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drawings/drawing12.xml" ContentType="application/vnd.openxmlformats-officedocument.drawingml.chartshapes+xml"/>
  <Override PartName="/xl/drawings/drawing18.xml" ContentType="application/vnd.openxmlformats-officedocument.drawingml.chartshapes+xml"/>
  <Override PartName="/xl/drawings/drawing16.xml" ContentType="application/vnd.openxmlformats-officedocument.drawingml.chartshapes+xml"/>
  <Override PartName="/xl/drawings/drawing20.xml" ContentType="application/vnd.openxmlformats-officedocument.drawingml.chartshapes+xml"/>
  <Override PartName="/xl/workbook.xml" ContentType="application/vnd.openxmlformats-officedocument.spreadsheetml.sheet.main+xml"/>
  <Override PartName="/xl/worksheets/sheet8.xml" ContentType="application/vnd.openxmlformats-officedocument.spreadsheetml.worksheet+xml"/>
  <Override PartName="/xl/charts/chart52.xml" ContentType="application/vnd.openxmlformats-officedocument.drawingml.chart+xml"/>
  <Override PartName="/xl/charts/chart53.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charts/chart51.xml" ContentType="application/vnd.openxmlformats-officedocument.drawingml.chart+xml"/>
  <Override PartName="/xl/charts/chart50.xml" ContentType="application/vnd.openxmlformats-officedocument.drawingml.chart+xml"/>
  <Override PartName="/xl/charts/chart49.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33.xml" ContentType="application/vnd.openxmlformats-officedocument.drawing+xml"/>
  <Override PartName="/xl/charts/chart48.xml" ContentType="application/vnd.openxmlformats-officedocument.drawingml.chart+xml"/>
  <Override PartName="/xl/charts/chart45.xml" ContentType="application/vnd.openxmlformats-officedocument.drawingml.chart+xml"/>
  <Override PartName="/xl/charts/chart44.xml" ContentType="application/vnd.openxmlformats-officedocument.drawingml.chart+xml"/>
  <Override PartName="/xl/charts/chart43.xml" ContentType="application/vnd.openxmlformats-officedocument.drawingml.chart+xml"/>
  <Override PartName="/xl/charts/chart31.xml" ContentType="application/vnd.openxmlformats-officedocument.drawingml.chart+xml"/>
  <Override PartName="/xl/drawings/drawing27.xml" ContentType="application/vnd.openxmlformats-officedocument.drawing+xml"/>
  <Override PartName="/xl/charts/chart32.xml" ContentType="application/vnd.openxmlformats-officedocument.drawingml.chart+xml"/>
  <Override PartName="/xl/drawings/drawing28.xml" ContentType="application/vnd.openxmlformats-officedocument.drawing+xml"/>
  <Override PartName="/xl/drawings/drawing26.xml" ContentType="application/vnd.openxmlformats-officedocument.drawing+xml"/>
  <Override PartName="/xl/charts/chart30.xml" ContentType="application/vnd.openxmlformats-officedocument.drawingml.chart+xml"/>
  <Override PartName="/xl/charts/chart28.xml" ContentType="application/vnd.openxmlformats-officedocument.drawingml.chart+xml"/>
  <Override PartName="/xl/drawings/drawing24.xml" ContentType="application/vnd.openxmlformats-officedocument.drawing+xml"/>
  <Override PartName="/xl/charts/chart29.xml" ContentType="application/vnd.openxmlformats-officedocument.drawingml.chart+xml"/>
  <Override PartName="/xl/drawings/drawing25.xml" ContentType="application/vnd.openxmlformats-officedocument.drawing+xml"/>
  <Override PartName="/xl/charts/chart33.xml" ContentType="application/vnd.openxmlformats-officedocument.drawingml.chart+xml"/>
  <Override PartName="/xl/drawings/drawing29.xml" ContentType="application/vnd.openxmlformats-officedocument.drawing+xml"/>
  <Override PartName="/xl/charts/chart34.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32.xml" ContentType="application/vnd.openxmlformats-officedocument.drawing+xml"/>
  <Override PartName="/xl/drawings/drawing31.xml" ContentType="application/vnd.openxmlformats-officedocument.drawing+xml"/>
  <Override PartName="/xl/charts/chart39.xml" ContentType="application/vnd.openxmlformats-officedocument.drawingml.chart+xml"/>
  <Override PartName="/xl/charts/chart38.xml" ContentType="application/vnd.openxmlformats-officedocument.drawingml.chart+xml"/>
  <Override PartName="/xl/drawings/drawing30.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23.xml" ContentType="application/vnd.openxmlformats-officedocument.drawing+xml"/>
  <Override PartName="/xl/worksheets/sheet1.xml" ContentType="application/vnd.openxmlformats-officedocument.spreadsheetml.worksheet+xml"/>
  <Override PartName="/xl/charts/chart27.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worksheets/sheet33.xml" ContentType="application/vnd.openxmlformats-officedocument.spreadsheetml.worksheet+xml"/>
  <Override PartName="/xl/charts/chart13.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worksheets/sheet34.xml" ContentType="application/vnd.openxmlformats-officedocument.spreadsheetml.worksheet+xml"/>
  <Override PartName="/xl/charts/chart11.xml" ContentType="application/vnd.openxmlformats-officedocument.drawingml.chart+xml"/>
  <Override PartName="/xl/charts/chart15.xml" ContentType="application/vnd.openxmlformats-officedocument.drawingml.chart+xml"/>
  <Override PartName="/xl/worksheets/sheet32.xml" ContentType="application/vnd.openxmlformats-officedocument.spreadsheetml.worksheet+xml"/>
  <Override PartName="/xl/worksheets/sheet31.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charts/chart17.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worksheets/sheet29.xml" ContentType="application/vnd.openxmlformats-officedocument.spreadsheetml.worksheet+xml"/>
  <Override PartName="/xl/worksheets/sheet30.xml" ContentType="application/vnd.openxmlformats-officedocument.spreadsheetml.worksheet+xml"/>
  <Override PartName="/xl/charts/chart10.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chart1.xml" ContentType="application/vnd.openxmlformats-officedocument.drawingml.char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worksheets/sheet35.xml" ContentType="application/vnd.openxmlformats-officedocument.spreadsheetml.worksheet+xml"/>
  <Override PartName="/xl/charts/chart8.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worksheets/sheet27.xml" ContentType="application/vnd.openxmlformats-officedocument.spreadsheetml.worksheet+xml"/>
  <Override PartName="/xl/charts/chart18.xml" ContentType="application/vnd.openxmlformats-officedocument.drawingml.chart+xml"/>
  <Override PartName="/xl/worksheets/sheet2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worksheets/sheet26.xml" ContentType="application/vnd.openxmlformats-officedocument.spreadsheetml.worksheet+xml"/>
  <Override PartName="/xl/chartsheets/sheet3.xml" ContentType="application/vnd.openxmlformats-officedocument.spreadsheetml.chartsheet+xml"/>
  <Override PartName="/xl/worksheets/sheet15.xml" ContentType="application/vnd.openxmlformats-officedocument.spreadsheetml.worksheet+xml"/>
  <Override PartName="/xl/worksheets/sheet14.xml" ContentType="application/vnd.openxmlformats-officedocument.spreadsheetml.worksheet+xml"/>
  <Override PartName="/xl/drawings/drawing21.xml" ContentType="application/vnd.openxmlformats-officedocument.drawing+xml"/>
  <Override PartName="/xl/worksheets/sheet9.xml" ContentType="application/vnd.openxmlformats-officedocument.spreadsheetml.worksheet+xml"/>
  <Override PartName="/xl/drawings/drawing22.xml" ContentType="application/vnd.openxmlformats-officedocument.drawing+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6.xml" ContentType="application/vnd.openxmlformats-officedocument.drawingml.chart+xml"/>
  <Override PartName="/xl/worksheets/sheet13.xml" ContentType="application/vnd.openxmlformats-officedocument.spreadsheetml.worksheet+xml"/>
  <Override PartName="/xl/drawings/drawing19.xml" ContentType="application/vnd.openxmlformats-officedocument.drawing+xml"/>
  <Override PartName="/xl/charts/chart25.xml" ContentType="application/vnd.openxmlformats-officedocument.drawingml.chart+xml"/>
  <Override PartName="/xl/worksheets/sheet19.xml" ContentType="application/vnd.openxmlformats-officedocument.spreadsheetml.worksheet+xml"/>
  <Override PartName="/xl/worksheets/sheet5.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charts/chart20.xml" ContentType="application/vnd.openxmlformats-officedocument.drawingml.chart+xml"/>
  <Override PartName="/xl/drawings/drawing13.xml" ContentType="application/vnd.openxmlformats-officedocument.drawing+xml"/>
  <Override PartName="/xl/worksheets/sheet24.xml" ContentType="application/vnd.openxmlformats-officedocument.spreadsheetml.worksheet+xml"/>
  <Override PartName="/xl/worksheets/sheet7.xml" ContentType="application/vnd.openxmlformats-officedocument.spreadsheetml.worksheet+xml"/>
  <Override PartName="/xl/charts/chart19.xml" ContentType="application/vnd.openxmlformats-officedocument.drawingml.chart+xml"/>
  <Override PartName="/xl/drawings/drawing11.xml" ContentType="application/vnd.openxmlformats-officedocument.drawing+xml"/>
  <Override PartName="/xl/drawings/drawing14.xml" ContentType="application/vnd.openxmlformats-officedocument.drawing+xml"/>
  <Override PartName="/xl/worksheets/sheet21.xml" ContentType="application/vnd.openxmlformats-officedocument.spreadsheetml.worksheet+xml"/>
  <Override PartName="/xl/charts/chart21.xml" ContentType="application/vnd.openxmlformats-officedocument.drawingml.chart+xml"/>
  <Override PartName="/xl/charts/chart23.xml" ContentType="application/vnd.openxmlformats-officedocument.drawingml.chart+xml"/>
  <Override PartName="/xl/worksheets/sheet6.xml" ContentType="application/vnd.openxmlformats-officedocument.spreadsheetml.worksheet+xml"/>
  <Override PartName="/xl/drawings/drawing15.xml" ContentType="application/vnd.openxmlformats-officedocument.drawing+xml"/>
  <Override PartName="/xl/charts/chart22.xml" ContentType="application/vnd.openxmlformats-officedocument.drawingml.chart+xml"/>
  <Override PartName="/xl/drawings/drawing17.xml" ContentType="application/vnd.openxmlformats-officedocument.drawing+xml"/>
  <Override PartName="/xl/charts/chart24.xml" ContentType="application/vnd.openxmlformats-officedocument.drawingml.chart+xml"/>
  <Override PartName="/xl/worksheets/sheet20.xml" ContentType="application/vnd.openxmlformats-officedocument.spreadsheetml.worksheet+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4.xml" ContentType="application/vnd.openxmlformats-officedocument.spreadsheetml.externalLink+xml"/>
  <Override PartName="/customXml/itemProps5.xml" ContentType="application/vnd.openxmlformats-officedocument.customXmlProperties+xml"/>
  <Override PartName="/customXml/itemProps4.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326"/>
  <workbookPr defaultThemeVersion="124226"/>
  <mc:AlternateContent xmlns:mc="http://schemas.openxmlformats.org/markup-compatibility/2006">
    <mc:Choice Requires="x15">
      <x15ac:absPath xmlns:x15ac="http://schemas.microsoft.com/office/spreadsheetml/2010/11/ac" url="C:\Users\smendoza\Documents\Socrata\DIA 2016\"/>
    </mc:Choice>
  </mc:AlternateContent>
  <bookViews>
    <workbookView xWindow="480" yWindow="80" windowWidth="18200" windowHeight="11820" activeTab="1"/>
  </bookViews>
  <sheets>
    <sheet name="Cover" sheetId="53" r:id="rId1"/>
    <sheet name="Country Selection" sheetId="18" r:id="rId2"/>
    <sheet name="2. Summary" sheetId="28" state="hidden" r:id="rId3"/>
    <sheet name="F3.1" sheetId="19" r:id="rId4"/>
    <sheet name="F3.2" sheetId="10" r:id="rId5"/>
    <sheet name="F3.3" sheetId="12" r:id="rId6"/>
    <sheet name="F3.4" sheetId="15" r:id="rId7"/>
    <sheet name="F3.7" sheetId="17" r:id="rId8"/>
    <sheet name="F4.1" sheetId="20" r:id="rId9"/>
    <sheet name="F4.2" sheetId="21" r:id="rId10"/>
    <sheet name="F4.3" sheetId="22" r:id="rId11"/>
    <sheet name="F4.5" sheetId="23" r:id="rId12"/>
    <sheet name="T4.1" sheetId="24" r:id="rId13"/>
    <sheet name="T4.3" sheetId="25" r:id="rId14"/>
    <sheet name="F4.8" sheetId="26" r:id="rId15"/>
    <sheet name="F4.9" sheetId="27" r:id="rId16"/>
    <sheet name="T5.1" sheetId="29" r:id="rId17"/>
    <sheet name="F5.3" sheetId="30" r:id="rId18"/>
    <sheet name="F5.8" sheetId="31" r:id="rId19"/>
    <sheet name="F7.1" sheetId="32" r:id="rId20"/>
    <sheet name="F7.2" sheetId="33" r:id="rId21"/>
    <sheet name="T7.5" sheetId="34" r:id="rId22"/>
    <sheet name="T8.1" sheetId="35" r:id="rId23"/>
    <sheet name="T8.2" sheetId="36" r:id="rId24"/>
    <sheet name="F8.1" sheetId="37" r:id="rId25"/>
    <sheet name="T8.3" sheetId="38" r:id="rId26"/>
    <sheet name="F8.2" sheetId="39" r:id="rId27"/>
    <sheet name="F9.1" sheetId="40" r:id="rId28"/>
    <sheet name="F9.3" sheetId="41" r:id="rId29"/>
    <sheet name="F9.4" sheetId="42" r:id="rId30"/>
    <sheet name="F9.5" sheetId="43" r:id="rId31"/>
    <sheet name="F9.6" sheetId="44" r:id="rId32"/>
    <sheet name="F9.7" sheetId="45" r:id="rId33"/>
    <sheet name="F10.2" sheetId="47" r:id="rId34"/>
    <sheet name="F10.3" sheetId="50" r:id="rId35"/>
    <sheet name="F10.4" sheetId="48" r:id="rId36"/>
    <sheet name="F10.5" sheetId="51" r:id="rId37"/>
    <sheet name="F10.6" sheetId="49" r:id="rId38"/>
  </sheets>
  <externalReferences>
    <externalReference r:id="rId39"/>
    <externalReference r:id="rId40"/>
    <externalReference r:id="rId41"/>
    <externalReference r:id="rId42"/>
  </externalReferences>
  <definedNames>
    <definedName name="_Fill" localSheetId="30" hidden="1">#REF!</definedName>
    <definedName name="_Fill" hidden="1">#REF!</definedName>
    <definedName name="_xlnm._FilterDatabase" localSheetId="5" hidden="1">'F3.3'!$B$51:$H$88</definedName>
    <definedName name="_xlnm._FilterDatabase" localSheetId="17" hidden="1">'F5.3'!$A$49:$I$262</definedName>
    <definedName name="_xlnm._FilterDatabase" localSheetId="30" hidden="1">'F9.5'!$B$28:$D$28</definedName>
    <definedName name="_xlnm._FilterDatabase" hidden="1">[1]AFPCHI_penprom!#REF!</definedName>
    <definedName name="_ftn1" localSheetId="2">'2. Summary'!$F$156</definedName>
    <definedName name="_ftn2" localSheetId="2">'2. Summary'!$AF$147</definedName>
    <definedName name="_ftn3" localSheetId="2">'2. Summary'!$AT$148</definedName>
    <definedName name="_ftnref1" localSheetId="2">'2. Summary'!$F$153</definedName>
    <definedName name="_Key1" localSheetId="30" hidden="1">#REF!</definedName>
    <definedName name="_Key1" hidden="1">#REF!</definedName>
    <definedName name="_Key2" hidden="1">#REF!</definedName>
    <definedName name="_Key2A" hidden="1">#REF!</definedName>
    <definedName name="_MatInverse_In" hidden="1">#REF!</definedName>
    <definedName name="_MatInverse_Out" hidden="1">#REF!</definedName>
    <definedName name="_MatMult_A" hidden="1">#REF!</definedName>
    <definedName name="_MatMult_AxB" hidden="1">#REF!</definedName>
    <definedName name="_MatMult_B" hidden="1">#REF!</definedName>
    <definedName name="_Order1" hidden="1">255</definedName>
    <definedName name="_Order2" hidden="1">0</definedName>
    <definedName name="_Sort" hidden="1">#REF!</definedName>
    <definedName name="a">#REF!</definedName>
    <definedName name="aaqqs" localSheetId="28" hidden="1">{"CAJA_SET96",#N/A,FALSE,"CAJA3";"ING_CORR_SET96",#N/A,FALSE,"CAJA3";"SUNAT_AD_SET96",#N/A,FALSE,"ADUANAS"}</definedName>
    <definedName name="aaqqs" localSheetId="29" hidden="1">{"CAJA_SET96",#N/A,FALSE,"CAJA3";"ING_CORR_SET96",#N/A,FALSE,"CAJA3";"SUNAT_AD_SET96",#N/A,FALSE,"ADUANAS"}</definedName>
    <definedName name="aaqqs" localSheetId="30" hidden="1">{"CAJA_SET96",#N/A,FALSE,"CAJA3";"ING_CORR_SET96",#N/A,FALSE,"CAJA3";"SUNAT_AD_SET96",#N/A,FALSE,"ADUANAS"}</definedName>
    <definedName name="aaqqs" localSheetId="31" hidden="1">{"CAJA_SET96",#N/A,FALSE,"CAJA3";"ING_CORR_SET96",#N/A,FALSE,"CAJA3";"SUNAT_AD_SET96",#N/A,FALSE,"ADUANAS"}</definedName>
    <definedName name="aaqqs" localSheetId="32" hidden="1">{"CAJA_SET96",#N/A,FALSE,"CAJA3";"ING_CORR_SET96",#N/A,FALSE,"CAJA3";"SUNAT_AD_SET96",#N/A,FALSE,"ADUANAS"}</definedName>
    <definedName name="aaqqs" hidden="1">{"CAJA_SET96",#N/A,FALSE,"CAJA3";"ING_CORR_SET96",#N/A,FALSE,"CAJA3";"SUNAT_AD_SET96",#N/A,FALSE,"ADUANAS"}</definedName>
    <definedName name="aaqqs1" hidden="1">{"CAJA_SET96",#N/A,FALSE,"CAJA3";"ING_CORR_SET96",#N/A,FALSE,"CAJA3";"SUNAT_AD_SET96",#N/A,FALSE,"ADUANAS"}</definedName>
    <definedName name="AP_Cost">#REF!</definedName>
    <definedName name="Area">[2]Calculations!$B$9</definedName>
    <definedName name="b">#REF!</definedName>
    <definedName name="Backup">[2]Guide!$E$45</definedName>
    <definedName name="Backup_Storage_per_laptop">#REF!</definedName>
    <definedName name="Basic_I_Hours">[2]OLPC!$C$64</definedName>
    <definedName name="Basic_I_skills">[2]OLPC!$B$64</definedName>
    <definedName name="Basic_R_Hours">[2]OLPC!$C$69</definedName>
    <definedName name="Basic_R_Skills">[2]OLPC!$B$69</definedName>
    <definedName name="Basic_Trainers">[3]OLPC!$D$68</definedName>
    <definedName name="Batteries_per_MBC">#REF!</definedName>
    <definedName name="C_AP">[2]Guide!$D$36</definedName>
    <definedName name="C_Cable">[2]Guide!$D$42</definedName>
    <definedName name="C_Computer_Room">[2]Guide!$D$94</definedName>
    <definedName name="C_Desktop">[2]Guide!$D$31</definedName>
    <definedName name="C_Dial_Monthly">[2]Guide!$D$113</definedName>
    <definedName name="C_Disk">[2]Guide!$D$35</definedName>
    <definedName name="C_DSL_Monthly">[2]Guide!$D$112</definedName>
    <definedName name="C_KW">[3]Guide!$D$66</definedName>
    <definedName name="C_Laptop">[2]Guide!$D$30</definedName>
    <definedName name="C_Large">[2]Guide!$D$33</definedName>
    <definedName name="C_M.Contract">[2]Guide!$D$114</definedName>
    <definedName name="C_Manual">[2]Guide!$D$53</definedName>
    <definedName name="C_Manual_T">[3]Guide!$D$54</definedName>
    <definedName name="C_Modem">[2]Guide!$D$89</definedName>
    <definedName name="C_NS">[2]Guide!$D$40</definedName>
    <definedName name="C_Online_course">[2]Guide!$D$85</definedName>
    <definedName name="C_Printer">[2]Guide!$D$93</definedName>
    <definedName name="C_Repair_Desktop">[2]Guide!$F$63</definedName>
    <definedName name="C_Repair_Laptop">[2]Guide!$D$63</definedName>
    <definedName name="C_small">[2]Guide!$D$32</definedName>
    <definedName name="C_Strip">[2]Guide!$D$43</definedName>
    <definedName name="C_T.Primary">[2]Guide!$D$73</definedName>
    <definedName name="C_T.Secondary">[2]Guide!$D$72</definedName>
    <definedName name="C_Technician.L">[2]Guide!$D$80</definedName>
    <definedName name="C_Technician.LRural">[2]Guide!$D$81</definedName>
    <definedName name="C_Technician.M">[2]Guide!$D$78</definedName>
    <definedName name="C_Technician.MRural">[2]Guide!$D$79</definedName>
    <definedName name="C_Trainer.L">[2]Guide!$D$84</definedName>
    <definedName name="C_Trainer.M">[2]Guide!$D$83</definedName>
    <definedName name="C_Travel">[2]Guide!$D$82</definedName>
    <definedName name="Cat5_Cost">#REF!</definedName>
    <definedName name="CGHJCGHJ" localSheetId="28" hidden="1">{"CAJA_SET96",#N/A,FALSE,"CAJA3";"ING_CORR_SET96",#N/A,FALSE,"CAJA3";"SUNAT_AD_SET96",#N/A,FALSE,"ADUANAS"}</definedName>
    <definedName name="CGHJCGHJ" localSheetId="29" hidden="1">{"CAJA_SET96",#N/A,FALSE,"CAJA3";"ING_CORR_SET96",#N/A,FALSE,"CAJA3";"SUNAT_AD_SET96",#N/A,FALSE,"ADUANAS"}</definedName>
    <definedName name="CGHJCGHJ" localSheetId="30" hidden="1">{"CAJA_SET96",#N/A,FALSE,"CAJA3";"ING_CORR_SET96",#N/A,FALSE,"CAJA3";"SUNAT_AD_SET96",#N/A,FALSE,"ADUANAS"}</definedName>
    <definedName name="CGHJCGHJ" localSheetId="31" hidden="1">{"CAJA_SET96",#N/A,FALSE,"CAJA3";"ING_CORR_SET96",#N/A,FALSE,"CAJA3";"SUNAT_AD_SET96",#N/A,FALSE,"ADUANAS"}</definedName>
    <definedName name="CGHJCGHJ" localSheetId="32" hidden="1">{"CAJA_SET96",#N/A,FALSE,"CAJA3";"ING_CORR_SET96",#N/A,FALSE,"CAJA3";"SUNAT_AD_SET96",#N/A,FALSE,"ADUANAS"}</definedName>
    <definedName name="CGHJCGHJ" hidden="1">{"CAJA_SET96",#N/A,FALSE,"CAJA3";"ING_CORR_SET96",#N/A,FALSE,"CAJA3";"SUNAT_AD_SET96",#N/A,FALSE,"ADUANAS"}</definedName>
    <definedName name="CGHJCHJ2" hidden="1">{"CAJA_SET96",#N/A,FALSE,"CAJA3";"ING_CORR_SET96",#N/A,FALSE,"CAJA3";"SUNAT_AD_SET96",#N/A,FALSE,"ADUANAS"}</definedName>
    <definedName name="Charge">[2]Guide!$E$49</definedName>
    <definedName name="Charge_Controller_Cost">#REF!</definedName>
    <definedName name="Charge_Controller_Efficiency">#REF!</definedName>
    <definedName name="Charge_Controller_KW">#REF!</definedName>
    <definedName name="Charge_day">[2]Calculations!$B$13</definedName>
    <definedName name="Charge_Time">#REF!</definedName>
    <definedName name="Charges_per_day">#REF!</definedName>
    <definedName name="Cuadro" localSheetId="28" hidden="1">{"CAJA_SET96",#N/A,FALSE,"CAJA3";"ING_CORR_SET96",#N/A,FALSE,"CAJA3";"SUNAT_AD_SET96",#N/A,FALSE,"ADUANAS"}</definedName>
    <definedName name="Cuadro" localSheetId="29" hidden="1">{"CAJA_SET96",#N/A,FALSE,"CAJA3";"ING_CORR_SET96",#N/A,FALSE,"CAJA3";"SUNAT_AD_SET96",#N/A,FALSE,"ADUANAS"}</definedName>
    <definedName name="Cuadro" localSheetId="30" hidden="1">{"CAJA_SET96",#N/A,FALSE,"CAJA3";"ING_CORR_SET96",#N/A,FALSE,"CAJA3";"SUNAT_AD_SET96",#N/A,FALSE,"ADUANAS"}</definedName>
    <definedName name="Cuadro" localSheetId="31" hidden="1">{"CAJA_SET96",#N/A,FALSE,"CAJA3";"ING_CORR_SET96",#N/A,FALSE,"CAJA3";"SUNAT_AD_SET96",#N/A,FALSE,"ADUANAS"}</definedName>
    <definedName name="Cuadro" localSheetId="32" hidden="1">{"CAJA_SET96",#N/A,FALSE,"CAJA3";"ING_CORR_SET96",#N/A,FALSE,"CAJA3";"SUNAT_AD_SET96",#N/A,FALSE,"ADUANAS"}</definedName>
    <definedName name="Cuadro" hidden="1">{"CAJA_SET96",#N/A,FALSE,"CAJA3";"ING_CORR_SET96",#N/A,FALSE,"CAJA3";"SUNAT_AD_SET96",#N/A,FALSE,"ADUANAS"}</definedName>
    <definedName name="d">#REF!</definedName>
    <definedName name="DC_Power_Share_Cost">#REF!</definedName>
    <definedName name="DC_Power_Share_per_person">#REF!</definedName>
    <definedName name="ddsssaa" localSheetId="28" hidden="1">{"CAJA_SET96",#N/A,FALSE,"CAJA3";"ING_CORR_SET96",#N/A,FALSE,"CAJA3";"SUNAT_AD_SET96",#N/A,FALSE,"ADUANAS"}</definedName>
    <definedName name="ddsssaa" localSheetId="29" hidden="1">{"CAJA_SET96",#N/A,FALSE,"CAJA3";"ING_CORR_SET96",#N/A,FALSE,"CAJA3";"SUNAT_AD_SET96",#N/A,FALSE,"ADUANAS"}</definedName>
    <definedName name="ddsssaa" localSheetId="30" hidden="1">{"CAJA_SET96",#N/A,FALSE,"CAJA3";"ING_CORR_SET96",#N/A,FALSE,"CAJA3";"SUNAT_AD_SET96",#N/A,FALSE,"ADUANAS"}</definedName>
    <definedName name="ddsssaa" localSheetId="31" hidden="1">{"CAJA_SET96",#N/A,FALSE,"CAJA3";"ING_CORR_SET96",#N/A,FALSE,"CAJA3";"SUNAT_AD_SET96",#N/A,FALSE,"ADUANAS"}</definedName>
    <definedName name="ddsssaa" localSheetId="32" hidden="1">{"CAJA_SET96",#N/A,FALSE,"CAJA3";"ING_CORR_SET96",#N/A,FALSE,"CAJA3";"SUNAT_AD_SET96",#N/A,FALSE,"ADUANAS"}</definedName>
    <definedName name="ddsssaa" hidden="1">{"CAJA_SET96",#N/A,FALSE,"CAJA3";"ING_CORR_SET96",#N/A,FALSE,"CAJA3";"SUNAT_AD_SET96",#N/A,FALSE,"ADUANAS"}</definedName>
    <definedName name="derffggf" localSheetId="28" hidden="1">{"SUNAT_AD_AGO96",#N/A,FALSE,"ADUANAS";"CAJA_AGO96",#N/A,FALSE,"CAJA3";"ING_CORR_AGO96",#N/A,FALSE,"CAJA3"}</definedName>
    <definedName name="derffggf" localSheetId="29" hidden="1">{"SUNAT_AD_AGO96",#N/A,FALSE,"ADUANAS";"CAJA_AGO96",#N/A,FALSE,"CAJA3";"ING_CORR_AGO96",#N/A,FALSE,"CAJA3"}</definedName>
    <definedName name="derffggf" localSheetId="30" hidden="1">{"SUNAT_AD_AGO96",#N/A,FALSE,"ADUANAS";"CAJA_AGO96",#N/A,FALSE,"CAJA3";"ING_CORR_AGO96",#N/A,FALSE,"CAJA3"}</definedName>
    <definedName name="derffggf" localSheetId="31" hidden="1">{"SUNAT_AD_AGO96",#N/A,FALSE,"ADUANAS";"CAJA_AGO96",#N/A,FALSE,"CAJA3";"ING_CORR_AGO96",#N/A,FALSE,"CAJA3"}</definedName>
    <definedName name="derffggf" localSheetId="32" hidden="1">{"SUNAT_AD_AGO96",#N/A,FALSE,"ADUANAS";"CAJA_AGO96",#N/A,FALSE,"CAJA3";"ING_CORR_AGO96",#N/A,FALSE,"CAJA3"}</definedName>
    <definedName name="derffggf" hidden="1">{"SUNAT_AD_AGO96",#N/A,FALSE,"ADUANAS";"CAJA_AGO96",#N/A,FALSE,"CAJA3";"ING_CORR_AGO96",#N/A,FALSE,"CAJA3"}</definedName>
    <definedName name="dewss" localSheetId="28" hidden="1">{"CAJA_SET96",#N/A,FALSE,"CAJA3";"ING_CORR_SET96",#N/A,FALSE,"CAJA3";"SUNAT_AD_SET96",#N/A,FALSE,"ADUANAS"}</definedName>
    <definedName name="dewss" localSheetId="29" hidden="1">{"CAJA_SET96",#N/A,FALSE,"CAJA3";"ING_CORR_SET96",#N/A,FALSE,"CAJA3";"SUNAT_AD_SET96",#N/A,FALSE,"ADUANAS"}</definedName>
    <definedName name="dewss" localSheetId="30" hidden="1">{"CAJA_SET96",#N/A,FALSE,"CAJA3";"ING_CORR_SET96",#N/A,FALSE,"CAJA3";"SUNAT_AD_SET96",#N/A,FALSE,"ADUANAS"}</definedName>
    <definedName name="dewss" localSheetId="31" hidden="1">{"CAJA_SET96",#N/A,FALSE,"CAJA3";"ING_CORR_SET96",#N/A,FALSE,"CAJA3";"SUNAT_AD_SET96",#N/A,FALSE,"ADUANAS"}</definedName>
    <definedName name="dewss" localSheetId="32" hidden="1">{"CAJA_SET96",#N/A,FALSE,"CAJA3";"ING_CORR_SET96",#N/A,FALSE,"CAJA3";"SUNAT_AD_SET96",#N/A,FALSE,"ADUANAS"}</definedName>
    <definedName name="dewss" hidden="1">{"CAJA_SET96",#N/A,FALSE,"CAJA3";"ING_CORR_SET96",#N/A,FALSE,"CAJA3";"SUNAT_AD_SET96",#N/A,FALSE,"ADUANAS"}</definedName>
    <definedName name="dewwwwwww" localSheetId="28" hidden="1">{"CAJA_SET96",#N/A,FALSE,"CAJA3";"ING_CORR_SET96",#N/A,FALSE,"CAJA3";"SUNAT_AD_SET96",#N/A,FALSE,"ADUANAS"}</definedName>
    <definedName name="dewwwwwww" localSheetId="29" hidden="1">{"CAJA_SET96",#N/A,FALSE,"CAJA3";"ING_CORR_SET96",#N/A,FALSE,"CAJA3";"SUNAT_AD_SET96",#N/A,FALSE,"ADUANAS"}</definedName>
    <definedName name="dewwwwwww" localSheetId="30" hidden="1">{"CAJA_SET96",#N/A,FALSE,"CAJA3";"ING_CORR_SET96",#N/A,FALSE,"CAJA3";"SUNAT_AD_SET96",#N/A,FALSE,"ADUANAS"}</definedName>
    <definedName name="dewwwwwww" localSheetId="31" hidden="1">{"CAJA_SET96",#N/A,FALSE,"CAJA3";"ING_CORR_SET96",#N/A,FALSE,"CAJA3";"SUNAT_AD_SET96",#N/A,FALSE,"ADUANAS"}</definedName>
    <definedName name="dewwwwwww" localSheetId="32" hidden="1">{"CAJA_SET96",#N/A,FALSE,"CAJA3";"ING_CORR_SET96",#N/A,FALSE,"CAJA3";"SUNAT_AD_SET96",#N/A,FALSE,"ADUANAS"}</definedName>
    <definedName name="dewwwwwww" hidden="1">{"CAJA_SET96",#N/A,FALSE,"CAJA3";"ING_CORR_SET96",#N/A,FALSE,"CAJA3";"SUNAT_AD_SET96",#N/A,FALSE,"ADUANAS"}</definedName>
    <definedName name="dfgdhfgujykuyolilkjlkl" localSheetId="28" hidden="1">{"CAJA_SET96",#N/A,FALSE,"CAJA3";"ING_CORR_SET96",#N/A,FALSE,"CAJA3";"SUNAT_AD_SET96",#N/A,FALSE,"ADUANAS"}</definedName>
    <definedName name="dfgdhfgujykuyolilkjlkl" localSheetId="29" hidden="1">{"CAJA_SET96",#N/A,FALSE,"CAJA3";"ING_CORR_SET96",#N/A,FALSE,"CAJA3";"SUNAT_AD_SET96",#N/A,FALSE,"ADUANAS"}</definedName>
    <definedName name="dfgdhfgujykuyolilkjlkl" localSheetId="30" hidden="1">{"CAJA_SET96",#N/A,FALSE,"CAJA3";"ING_CORR_SET96",#N/A,FALSE,"CAJA3";"SUNAT_AD_SET96",#N/A,FALSE,"ADUANAS"}</definedName>
    <definedName name="dfgdhfgujykuyolilkjlkl" localSheetId="31" hidden="1">{"CAJA_SET96",#N/A,FALSE,"CAJA3";"ING_CORR_SET96",#N/A,FALSE,"CAJA3";"SUNAT_AD_SET96",#N/A,FALSE,"ADUANAS"}</definedName>
    <definedName name="dfgdhfgujykuyolilkjlkl" localSheetId="32" hidden="1">{"CAJA_SET96",#N/A,FALSE,"CAJA3";"ING_CORR_SET96",#N/A,FALSE,"CAJA3";"SUNAT_AD_SET96",#N/A,FALSE,"ADUANAS"}</definedName>
    <definedName name="dfgdhfgujykuyolilkjlkl" hidden="1">{"CAJA_SET96",#N/A,FALSE,"CAJA3";"ING_CORR_SET96",#N/A,FALSE,"CAJA3";"SUNAT_AD_SET96",#N/A,FALSE,"ADUANAS"}</definedName>
    <definedName name="Disk">[2]Guide!$E$46</definedName>
    <definedName name="Disk_Cost">#REF!</definedName>
    <definedName name="Disk_size">[2]Guide!$E$35</definedName>
    <definedName name="DSL_Cost">#REF!</definedName>
    <definedName name="DSL_Monthly_Cost">#REF!</definedName>
    <definedName name="e">#REF!</definedName>
    <definedName name="edswqa" localSheetId="28" hidden="1">{"CAJA_SET96",#N/A,FALSE,"CAJA3";"ING_CORR_SET96",#N/A,FALSE,"CAJA3";"SUNAT_AD_SET96",#N/A,FALSE,"ADUANAS"}</definedName>
    <definedName name="edswqa" localSheetId="29" hidden="1">{"CAJA_SET96",#N/A,FALSE,"CAJA3";"ING_CORR_SET96",#N/A,FALSE,"CAJA3";"SUNAT_AD_SET96",#N/A,FALSE,"ADUANAS"}</definedName>
    <definedName name="edswqa" localSheetId="30" hidden="1">{"CAJA_SET96",#N/A,FALSE,"CAJA3";"ING_CORR_SET96",#N/A,FALSE,"CAJA3";"SUNAT_AD_SET96",#N/A,FALSE,"ADUANAS"}</definedName>
    <definedName name="edswqa" localSheetId="31" hidden="1">{"CAJA_SET96",#N/A,FALSE,"CAJA3";"ING_CORR_SET96",#N/A,FALSE,"CAJA3";"SUNAT_AD_SET96",#N/A,FALSE,"ADUANAS"}</definedName>
    <definedName name="edswqa" localSheetId="32" hidden="1">{"CAJA_SET96",#N/A,FALSE,"CAJA3";"ING_CORR_SET96",#N/A,FALSE,"CAJA3";"SUNAT_AD_SET96",#N/A,FALSE,"ADUANAS"}</definedName>
    <definedName name="edswqa" hidden="1">{"CAJA_SET96",#N/A,FALSE,"CAJA3";"ING_CORR_SET96",#N/A,FALSE,"CAJA3";"SUNAT_AD_SET96",#N/A,FALSE,"ADUANAS"}</definedName>
    <definedName name="Estimated_Repair_Cost">#REF!</definedName>
    <definedName name="Example_charging">#REF!</definedName>
    <definedName name="Example_DSL">#REF!</definedName>
    <definedName name="Example_GSM">#REF!</definedName>
    <definedName name="Example_infra_usage">#REF!</definedName>
    <definedName name="Example_laptop_usage">#REF!</definedName>
    <definedName name="Example_Other">#REF!</definedName>
    <definedName name="Example_power_storage">#REF!</definedName>
    <definedName name="Example_Sunlight_Hours">#REF!</definedName>
    <definedName name="Example_VSAT">#REF!</definedName>
    <definedName name="f" localSheetId="28" hidden="1">{"SUNAT_AD_AGO96",#N/A,FALSE,"ADUANAS";"CAJA_AGO96",#N/A,FALSE,"CAJA3";"ING_CORR_AGO96",#N/A,FALSE,"CAJA3"}</definedName>
    <definedName name="f" localSheetId="29" hidden="1">{"SUNAT_AD_AGO96",#N/A,FALSE,"ADUANAS";"CAJA_AGO96",#N/A,FALSE,"CAJA3";"ING_CORR_AGO96",#N/A,FALSE,"CAJA3"}</definedName>
    <definedName name="f" localSheetId="30" hidden="1">{"SUNAT_AD_AGO96",#N/A,FALSE,"ADUANAS";"CAJA_AGO96",#N/A,FALSE,"CAJA3";"ING_CORR_AGO96",#N/A,FALSE,"CAJA3"}</definedName>
    <definedName name="f" localSheetId="31" hidden="1">{"SUNAT_AD_AGO96",#N/A,FALSE,"ADUANAS";"CAJA_AGO96",#N/A,FALSE,"CAJA3";"ING_CORR_AGO96",#N/A,FALSE,"CAJA3"}</definedName>
    <definedName name="f" localSheetId="32" hidden="1">{"SUNAT_AD_AGO96",#N/A,FALSE,"ADUANAS";"CAJA_AGO96",#N/A,FALSE,"CAJA3";"ING_CORR_AGO96",#N/A,FALSE,"CAJA3"}</definedName>
    <definedName name="f" hidden="1">{"SUNAT_AD_AGO96",#N/A,FALSE,"ADUANAS";"CAJA_AGO96",#N/A,FALSE,"CAJA3";"ING_CORR_AGO96",#N/A,FALSE,"CAJA3"}</definedName>
    <definedName name="fdgfhzg" localSheetId="28" hidden="1">{"CAJA_SET96",#N/A,FALSE,"CAJA3";"ING_CORR_SET96",#N/A,FALSE,"CAJA3";"SUNAT_AD_SET96",#N/A,FALSE,"ADUANAS"}</definedName>
    <definedName name="fdgfhzg" localSheetId="29" hidden="1">{"CAJA_SET96",#N/A,FALSE,"CAJA3";"ING_CORR_SET96",#N/A,FALSE,"CAJA3";"SUNAT_AD_SET96",#N/A,FALSE,"ADUANAS"}</definedName>
    <definedName name="fdgfhzg" localSheetId="30" hidden="1">{"CAJA_SET96",#N/A,FALSE,"CAJA3";"ING_CORR_SET96",#N/A,FALSE,"CAJA3";"SUNAT_AD_SET96",#N/A,FALSE,"ADUANAS"}</definedName>
    <definedName name="fdgfhzg" localSheetId="31" hidden="1">{"CAJA_SET96",#N/A,FALSE,"CAJA3";"ING_CORR_SET96",#N/A,FALSE,"CAJA3";"SUNAT_AD_SET96",#N/A,FALSE,"ADUANAS"}</definedName>
    <definedName name="fdgfhzg" localSheetId="32" hidden="1">{"CAJA_SET96",#N/A,FALSE,"CAJA3";"ING_CORR_SET96",#N/A,FALSE,"CAJA3";"SUNAT_AD_SET96",#N/A,FALSE,"ADUANAS"}</definedName>
    <definedName name="fdgfhzg" hidden="1">{"CAJA_SET96",#N/A,FALSE,"CAJA3";"ING_CORR_SET96",#N/A,FALSE,"CAJA3";"SUNAT_AD_SET96",#N/A,FALSE,"ADUANAS"}</definedName>
    <definedName name="fdsfhjkklljkhhg" localSheetId="28" hidden="1">{"SUNAT_AD_AGO96",#N/A,FALSE,"ADUANAS";"CAJA_AGO96",#N/A,FALSE,"CAJA3";"ING_CORR_AGO96",#N/A,FALSE,"CAJA3"}</definedName>
    <definedName name="fdsfhjkklljkhhg" localSheetId="29" hidden="1">{"SUNAT_AD_AGO96",#N/A,FALSE,"ADUANAS";"CAJA_AGO96",#N/A,FALSE,"CAJA3";"ING_CORR_AGO96",#N/A,FALSE,"CAJA3"}</definedName>
    <definedName name="fdsfhjkklljkhhg" localSheetId="30" hidden="1">{"SUNAT_AD_AGO96",#N/A,FALSE,"ADUANAS";"CAJA_AGO96",#N/A,FALSE,"CAJA3";"ING_CORR_AGO96",#N/A,FALSE,"CAJA3"}</definedName>
    <definedName name="fdsfhjkklljkhhg" localSheetId="31" hidden="1">{"SUNAT_AD_AGO96",#N/A,FALSE,"ADUANAS";"CAJA_AGO96",#N/A,FALSE,"CAJA3";"ING_CORR_AGO96",#N/A,FALSE,"CAJA3"}</definedName>
    <definedName name="fdsfhjkklljkhhg" localSheetId="32" hidden="1">{"SUNAT_AD_AGO96",#N/A,FALSE,"ADUANAS";"CAJA_AGO96",#N/A,FALSE,"CAJA3";"ING_CORR_AGO96",#N/A,FALSE,"CAJA3"}</definedName>
    <definedName name="fdsfhjkklljkhhg" hidden="1">{"SUNAT_AD_AGO96",#N/A,FALSE,"ADUANAS";"CAJA_AGO96",#N/A,FALSE,"CAJA3";"ING_CORR_AGO96",#N/A,FALSE,"CAJA3"}</definedName>
    <definedName name="FFF" localSheetId="28" hidden="1">{"CAJA_SET96",#N/A,FALSE,"CAJA3";"ING_CORR_SET96",#N/A,FALSE,"CAJA3";"SUNAT_AD_SET96",#N/A,FALSE,"ADUANAS"}</definedName>
    <definedName name="FFF" localSheetId="29" hidden="1">{"CAJA_SET96",#N/A,FALSE,"CAJA3";"ING_CORR_SET96",#N/A,FALSE,"CAJA3";"SUNAT_AD_SET96",#N/A,FALSE,"ADUANAS"}</definedName>
    <definedName name="FFF" localSheetId="30" hidden="1">{"CAJA_SET96",#N/A,FALSE,"CAJA3";"ING_CORR_SET96",#N/A,FALSE,"CAJA3";"SUNAT_AD_SET96",#N/A,FALSE,"ADUANAS"}</definedName>
    <definedName name="FFF" localSheetId="31" hidden="1">{"CAJA_SET96",#N/A,FALSE,"CAJA3";"ING_CORR_SET96",#N/A,FALSE,"CAJA3";"SUNAT_AD_SET96",#N/A,FALSE,"ADUANAS"}</definedName>
    <definedName name="FFF" localSheetId="32" hidden="1">{"CAJA_SET96",#N/A,FALSE,"CAJA3";"ING_CORR_SET96",#N/A,FALSE,"CAJA3";"SUNAT_AD_SET96",#N/A,FALSE,"ADUANAS"}</definedName>
    <definedName name="FFF" hidden="1">{"CAJA_SET96",#N/A,FALSE,"CAJA3";"ING_CORR_SET96",#N/A,FALSE,"CAJA3";"SUNAT_AD_SET96",#N/A,FALSE,"ADUANAS"}</definedName>
    <definedName name="fgsfefwe4" localSheetId="28" hidden="1">{"CAJA_SET96",#N/A,FALSE,"CAJA3";"ING_CORR_SET96",#N/A,FALSE,"CAJA3";"SUNAT_AD_SET96",#N/A,FALSE,"ADUANAS"}</definedName>
    <definedName name="fgsfefwe4" localSheetId="29" hidden="1">{"CAJA_SET96",#N/A,FALSE,"CAJA3";"ING_CORR_SET96",#N/A,FALSE,"CAJA3";"SUNAT_AD_SET96",#N/A,FALSE,"ADUANAS"}</definedName>
    <definedName name="fgsfefwe4" localSheetId="30" hidden="1">{"CAJA_SET96",#N/A,FALSE,"CAJA3";"ING_CORR_SET96",#N/A,FALSE,"CAJA3";"SUNAT_AD_SET96",#N/A,FALSE,"ADUANAS"}</definedName>
    <definedName name="fgsfefwe4" localSheetId="31" hidden="1">{"CAJA_SET96",#N/A,FALSE,"CAJA3";"ING_CORR_SET96",#N/A,FALSE,"CAJA3";"SUNAT_AD_SET96",#N/A,FALSE,"ADUANAS"}</definedName>
    <definedName name="fgsfefwe4" localSheetId="32" hidden="1">{"CAJA_SET96",#N/A,FALSE,"CAJA3";"ING_CORR_SET96",#N/A,FALSE,"CAJA3";"SUNAT_AD_SET96",#N/A,FALSE,"ADUANAS"}</definedName>
    <definedName name="fgsfefwe4" hidden="1">{"CAJA_SET96",#N/A,FALSE,"CAJA3";"ING_CORR_SET96",#N/A,FALSE,"CAJA3";"SUNAT_AD_SET96",#N/A,FALSE,"ADUANAS"}</definedName>
    <definedName name="frdd" localSheetId="28" hidden="1">{"CAJA_SET96",#N/A,FALSE,"CAJA3";"ING_CORR_SET96",#N/A,FALSE,"CAJA3";"SUNAT_AD_SET96",#N/A,FALSE,"ADUANAS"}</definedName>
    <definedName name="frdd" localSheetId="29" hidden="1">{"CAJA_SET96",#N/A,FALSE,"CAJA3";"ING_CORR_SET96",#N/A,FALSE,"CAJA3";"SUNAT_AD_SET96",#N/A,FALSE,"ADUANAS"}</definedName>
    <definedName name="frdd" localSheetId="30" hidden="1">{"CAJA_SET96",#N/A,FALSE,"CAJA3";"ING_CORR_SET96",#N/A,FALSE,"CAJA3";"SUNAT_AD_SET96",#N/A,FALSE,"ADUANAS"}</definedName>
    <definedName name="frdd" localSheetId="31" hidden="1">{"CAJA_SET96",#N/A,FALSE,"CAJA3";"ING_CORR_SET96",#N/A,FALSE,"CAJA3";"SUNAT_AD_SET96",#N/A,FALSE,"ADUANAS"}</definedName>
    <definedName name="frdd" localSheetId="32" hidden="1">{"CAJA_SET96",#N/A,FALSE,"CAJA3";"ING_CORR_SET96",#N/A,FALSE,"CAJA3";"SUNAT_AD_SET96",#N/A,FALSE,"ADUANAS"}</definedName>
    <definedName name="frdd" hidden="1">{"CAJA_SET96",#N/A,FALSE,"CAJA3";"ING_CORR_SET96",#N/A,FALSE,"CAJA3";"SUNAT_AD_SET96",#N/A,FALSE,"ADUANAS"}</definedName>
    <definedName name="fresne" localSheetId="28" hidden="1">{"CAJA_SET96",#N/A,FALSE,"CAJA3";"ING_CORR_SET96",#N/A,FALSE,"CAJA3";"SUNAT_AD_SET96",#N/A,FALSE,"ADUANAS"}</definedName>
    <definedName name="fresne" localSheetId="29" hidden="1">{"CAJA_SET96",#N/A,FALSE,"CAJA3";"ING_CORR_SET96",#N/A,FALSE,"CAJA3";"SUNAT_AD_SET96",#N/A,FALSE,"ADUANAS"}</definedName>
    <definedName name="fresne" localSheetId="30" hidden="1">{"CAJA_SET96",#N/A,FALSE,"CAJA3";"ING_CORR_SET96",#N/A,FALSE,"CAJA3";"SUNAT_AD_SET96",#N/A,FALSE,"ADUANAS"}</definedName>
    <definedName name="fresne" localSheetId="31" hidden="1">{"CAJA_SET96",#N/A,FALSE,"CAJA3";"ING_CORR_SET96",#N/A,FALSE,"CAJA3";"SUNAT_AD_SET96",#N/A,FALSE,"ADUANAS"}</definedName>
    <definedName name="fresne" localSheetId="32" hidden="1">{"CAJA_SET96",#N/A,FALSE,"CAJA3";"ING_CORR_SET96",#N/A,FALSE,"CAJA3";"SUNAT_AD_SET96",#N/A,FALSE,"ADUANAS"}</definedName>
    <definedName name="fresne" hidden="1">{"CAJA_SET96",#N/A,FALSE,"CAJA3";"ING_CORR_SET96",#N/A,FALSE,"CAJA3";"SUNAT_AD_SET96",#N/A,FALSE,"ADUANAS"}</definedName>
    <definedName name="frewaq" localSheetId="28" hidden="1">{"SUNAT_AD_AGO96",#N/A,FALSE,"ADUANAS";"CAJA_AGO96",#N/A,FALSE,"CAJA3";"ING_CORR_AGO96",#N/A,FALSE,"CAJA3"}</definedName>
    <definedName name="frewaq" localSheetId="29" hidden="1">{"SUNAT_AD_AGO96",#N/A,FALSE,"ADUANAS";"CAJA_AGO96",#N/A,FALSE,"CAJA3";"ING_CORR_AGO96",#N/A,FALSE,"CAJA3"}</definedName>
    <definedName name="frewaq" localSheetId="30" hidden="1">{"SUNAT_AD_AGO96",#N/A,FALSE,"ADUANAS";"CAJA_AGO96",#N/A,FALSE,"CAJA3";"ING_CORR_AGO96",#N/A,FALSE,"CAJA3"}</definedName>
    <definedName name="frewaq" localSheetId="31" hidden="1">{"SUNAT_AD_AGO96",#N/A,FALSE,"ADUANAS";"CAJA_AGO96",#N/A,FALSE,"CAJA3";"ING_CORR_AGO96",#N/A,FALSE,"CAJA3"}</definedName>
    <definedName name="frewaq" localSheetId="32" hidden="1">{"SUNAT_AD_AGO96",#N/A,FALSE,"ADUANAS";"CAJA_AGO96",#N/A,FALSE,"CAJA3";"ING_CORR_AGO96",#N/A,FALSE,"CAJA3"}</definedName>
    <definedName name="frewaq" hidden="1">{"SUNAT_AD_AGO96",#N/A,FALSE,"ADUANAS";"CAJA_AGO96",#N/A,FALSE,"CAJA3";"ING_CORR_AGO96",#N/A,FALSE,"CAJA3"}</definedName>
    <definedName name="fsdffd" localSheetId="28" hidden="1">{"CAJA_SET96",#N/A,FALSE,"CAJA3";"ING_CORR_SET96",#N/A,FALSE,"CAJA3";"SUNAT_AD_SET96",#N/A,FALSE,"ADUANAS"}</definedName>
    <definedName name="fsdffd" localSheetId="29" hidden="1">{"CAJA_SET96",#N/A,FALSE,"CAJA3";"ING_CORR_SET96",#N/A,FALSE,"CAJA3";"SUNAT_AD_SET96",#N/A,FALSE,"ADUANAS"}</definedName>
    <definedName name="fsdffd" localSheetId="30" hidden="1">{"CAJA_SET96",#N/A,FALSE,"CAJA3";"ING_CORR_SET96",#N/A,FALSE,"CAJA3";"SUNAT_AD_SET96",#N/A,FALSE,"ADUANAS"}</definedName>
    <definedName name="fsdffd" localSheetId="31" hidden="1">{"CAJA_SET96",#N/A,FALSE,"CAJA3";"ING_CORR_SET96",#N/A,FALSE,"CAJA3";"SUNAT_AD_SET96",#N/A,FALSE,"ADUANAS"}</definedName>
    <definedName name="fsdffd" localSheetId="32" hidden="1">{"CAJA_SET96",#N/A,FALSE,"CAJA3";"ING_CORR_SET96",#N/A,FALSE,"CAJA3";"SUNAT_AD_SET96",#N/A,FALSE,"ADUANAS"}</definedName>
    <definedName name="fsdffd" hidden="1">{"CAJA_SET96",#N/A,FALSE,"CAJA3";"ING_CORR_SET96",#N/A,FALSE,"CAJA3";"SUNAT_AD_SET96",#N/A,FALSE,"ADUANAS"}</definedName>
    <definedName name="g">#REF!</definedName>
    <definedName name="GEEDFF" localSheetId="28" hidden="1">{"CAJA_SET96",#N/A,FALSE,"CAJA3";"ING_CORR_SET96",#N/A,FALSE,"CAJA3";"SUNAT_AD_SET96",#N/A,FALSE,"ADUANAS"}</definedName>
    <definedName name="GEEDFF" localSheetId="29" hidden="1">{"CAJA_SET96",#N/A,FALSE,"CAJA3";"ING_CORR_SET96",#N/A,FALSE,"CAJA3";"SUNAT_AD_SET96",#N/A,FALSE,"ADUANAS"}</definedName>
    <definedName name="GEEDFF" localSheetId="30" hidden="1">{"CAJA_SET96",#N/A,FALSE,"CAJA3";"ING_CORR_SET96",#N/A,FALSE,"CAJA3";"SUNAT_AD_SET96",#N/A,FALSE,"ADUANAS"}</definedName>
    <definedName name="GEEDFF" localSheetId="31" hidden="1">{"CAJA_SET96",#N/A,FALSE,"CAJA3";"ING_CORR_SET96",#N/A,FALSE,"CAJA3";"SUNAT_AD_SET96",#N/A,FALSE,"ADUANAS"}</definedName>
    <definedName name="GEEDFF" localSheetId="32" hidden="1">{"CAJA_SET96",#N/A,FALSE,"CAJA3";"ING_CORR_SET96",#N/A,FALSE,"CAJA3";"SUNAT_AD_SET96",#N/A,FALSE,"ADUANAS"}</definedName>
    <definedName name="GEEDFF" hidden="1">{"CAJA_SET96",#N/A,FALSE,"CAJA3";"ING_CORR_SET96",#N/A,FALSE,"CAJA3";"SUNAT_AD_SET96",#N/A,FALSE,"ADUANAS"}</definedName>
    <definedName name="Generator_Cost">#REF!</definedName>
    <definedName name="Generator_KW">#REF!</definedName>
    <definedName name="Generator_KW_Cost">#REF!</definedName>
    <definedName name="GJGJHVJHKVHJKLHJIHKJBIIIII" localSheetId="28" hidden="1">{"CAJA_SET96",#N/A,FALSE,"CAJA3";"ING_CORR_SET96",#N/A,FALSE,"CAJA3";"SUNAT_AD_SET96",#N/A,FALSE,"ADUANAS"}</definedName>
    <definedName name="GJGJHVJHKVHJKLHJIHKJBIIIII" localSheetId="29" hidden="1">{"CAJA_SET96",#N/A,FALSE,"CAJA3";"ING_CORR_SET96",#N/A,FALSE,"CAJA3";"SUNAT_AD_SET96",#N/A,FALSE,"ADUANAS"}</definedName>
    <definedName name="GJGJHVJHKVHJKLHJIHKJBIIIII" localSheetId="30" hidden="1">{"CAJA_SET96",#N/A,FALSE,"CAJA3";"ING_CORR_SET96",#N/A,FALSE,"CAJA3";"SUNAT_AD_SET96",#N/A,FALSE,"ADUANAS"}</definedName>
    <definedName name="GJGJHVJHKVHJKLHJIHKJBIIIII" localSheetId="31" hidden="1">{"CAJA_SET96",#N/A,FALSE,"CAJA3";"ING_CORR_SET96",#N/A,FALSE,"CAJA3";"SUNAT_AD_SET96",#N/A,FALSE,"ADUANAS"}</definedName>
    <definedName name="GJGJHVJHKVHJKLHJIHKJBIIIII" localSheetId="32" hidden="1">{"CAJA_SET96",#N/A,FALSE,"CAJA3";"ING_CORR_SET96",#N/A,FALSE,"CAJA3";"SUNAT_AD_SET96",#N/A,FALSE,"ADUANAS"}</definedName>
    <definedName name="GJGJHVJHKVHJKLHJIHKJBIIIII" hidden="1">{"CAJA_SET96",#N/A,FALSE,"CAJA3";"ING_CORR_SET96",#N/A,FALSE,"CAJA3";"SUNAT_AD_SET96",#N/A,FALSE,"ADUANAS"}</definedName>
    <definedName name="GSM_Cost">#REF!</definedName>
    <definedName name="GSM_Monthly_Cost">#REF!</definedName>
    <definedName name="GTRESW" localSheetId="28" hidden="1">{"SUNAT_AD_AGO96",#N/A,FALSE,"ADUANAS";"CAJA_AGO96",#N/A,FALSE,"CAJA3";"ING_CORR_AGO96",#N/A,FALSE,"CAJA3"}</definedName>
    <definedName name="GTRESW" localSheetId="29" hidden="1">{"SUNAT_AD_AGO96",#N/A,FALSE,"ADUANAS";"CAJA_AGO96",#N/A,FALSE,"CAJA3";"ING_CORR_AGO96",#N/A,FALSE,"CAJA3"}</definedName>
    <definedName name="GTRESW" localSheetId="30" hidden="1">{"SUNAT_AD_AGO96",#N/A,FALSE,"ADUANAS";"CAJA_AGO96",#N/A,FALSE,"CAJA3";"ING_CORR_AGO96",#N/A,FALSE,"CAJA3"}</definedName>
    <definedName name="GTRESW" localSheetId="31" hidden="1">{"SUNAT_AD_AGO96",#N/A,FALSE,"ADUANAS";"CAJA_AGO96",#N/A,FALSE,"CAJA3";"ING_CORR_AGO96",#N/A,FALSE,"CAJA3"}</definedName>
    <definedName name="GTRESW" localSheetId="32" hidden="1">{"SUNAT_AD_AGO96",#N/A,FALSE,"ADUANAS";"CAJA_AGO96",#N/A,FALSE,"CAJA3";"ING_CORR_AGO96",#N/A,FALSE,"CAJA3"}</definedName>
    <definedName name="GTRESW" hidden="1">{"SUNAT_AD_AGO96",#N/A,FALSE,"ADUANAS";"CAJA_AGO96",#N/A,FALSE,"CAJA3";"ING_CORR_AGO96",#N/A,FALSE,"CAJA3"}</definedName>
    <definedName name="gtrrrrrrr" localSheetId="28" hidden="1">{"CAJA_SET96",#N/A,FALSE,"CAJA3";"ING_CORR_SET96",#N/A,FALSE,"CAJA3";"SUNAT_AD_SET96",#N/A,FALSE,"ADUANAS"}</definedName>
    <definedName name="gtrrrrrrr" localSheetId="29" hidden="1">{"CAJA_SET96",#N/A,FALSE,"CAJA3";"ING_CORR_SET96",#N/A,FALSE,"CAJA3";"SUNAT_AD_SET96",#N/A,FALSE,"ADUANAS"}</definedName>
    <definedName name="gtrrrrrrr" localSheetId="30" hidden="1">{"CAJA_SET96",#N/A,FALSE,"CAJA3";"ING_CORR_SET96",#N/A,FALSE,"CAJA3";"SUNAT_AD_SET96",#N/A,FALSE,"ADUANAS"}</definedName>
    <definedName name="gtrrrrrrr" localSheetId="31" hidden="1">{"CAJA_SET96",#N/A,FALSE,"CAJA3";"ING_CORR_SET96",#N/A,FALSE,"CAJA3";"SUNAT_AD_SET96",#N/A,FALSE,"ADUANAS"}</definedName>
    <definedName name="gtrrrrrrr" localSheetId="32" hidden="1">{"CAJA_SET96",#N/A,FALSE,"CAJA3";"ING_CORR_SET96",#N/A,FALSE,"CAJA3";"SUNAT_AD_SET96",#N/A,FALSE,"ADUANAS"}</definedName>
    <definedName name="gtrrrrrrr" hidden="1">{"CAJA_SET96",#N/A,FALSE,"CAJA3";"ING_CORR_SET96",#N/A,FALSE,"CAJA3";"SUNAT_AD_SET96",#N/A,FALSE,"ADUANAS"}</definedName>
    <definedName name="h">#REF!</definedName>
    <definedName name="HHH" localSheetId="28" hidden="1">{"SUNAT_AD_AGO96",#N/A,FALSE,"ADUANAS";"CAJA_AGO96",#N/A,FALSE,"CAJA3";"ING_CORR_AGO96",#N/A,FALSE,"CAJA3"}</definedName>
    <definedName name="HHH" localSheetId="29" hidden="1">{"SUNAT_AD_AGO96",#N/A,FALSE,"ADUANAS";"CAJA_AGO96",#N/A,FALSE,"CAJA3";"ING_CORR_AGO96",#N/A,FALSE,"CAJA3"}</definedName>
    <definedName name="HHH" localSheetId="30" hidden="1">{"SUNAT_AD_AGO96",#N/A,FALSE,"ADUANAS";"CAJA_AGO96",#N/A,FALSE,"CAJA3";"ING_CORR_AGO96",#N/A,FALSE,"CAJA3"}</definedName>
    <definedName name="HHH" localSheetId="31" hidden="1">{"SUNAT_AD_AGO96",#N/A,FALSE,"ADUANAS";"CAJA_AGO96",#N/A,FALSE,"CAJA3";"ING_CORR_AGO96",#N/A,FALSE,"CAJA3"}</definedName>
    <definedName name="HHH" localSheetId="32" hidden="1">{"SUNAT_AD_AGO96",#N/A,FALSE,"ADUANAS";"CAJA_AGO96",#N/A,FALSE,"CAJA3";"ING_CORR_AGO96",#N/A,FALSE,"CAJA3"}</definedName>
    <definedName name="HHH" hidden="1">{"SUNAT_AD_AGO96",#N/A,FALSE,"ADUANAS";"CAJA_AGO96",#N/A,FALSE,"CAJA3";"ING_CORR_AGO96",#N/A,FALSE,"CAJA3"}</definedName>
    <definedName name="hjk" localSheetId="30" hidden="1">#REF!</definedName>
    <definedName name="hjk" hidden="1">#REF!</definedName>
    <definedName name="Hours_Lab">#REF!</definedName>
    <definedName name="Hours_Lab_Student">#REF!</definedName>
    <definedName name="Hours_operation">[2]Calculations!$B$17</definedName>
    <definedName name="HTML_CodePage" hidden="1">1252</definedName>
    <definedName name="HTML_Control" localSheetId="28" hidden="1">{"'CUODE'!$B$11:$O$98"}</definedName>
    <definedName name="HTML_Control" localSheetId="29" hidden="1">{"'CUODE'!$B$11:$O$98"}</definedName>
    <definedName name="HTML_Control" localSheetId="30" hidden="1">{"'CUODE'!$B$11:$O$98"}</definedName>
    <definedName name="HTML_Control" localSheetId="31" hidden="1">{"'CUODE'!$B$11:$O$98"}</definedName>
    <definedName name="HTML_Control" localSheetId="32" hidden="1">{"'CUODE'!$B$11:$O$98"}</definedName>
    <definedName name="HTML_Control" hidden="1">{"'CUODE'!$B$11:$O$98"}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"G:\PRODES\WWW\WEB1\ADUANAS\INFORMAE\mescuo.htm"</definedName>
    <definedName name="HTML_PathTemplate" hidden="1">"G:\PRODES\WWW\WEB1\MESCUO.HTM"</definedName>
    <definedName name="HTML_Title" hidden="1">""</definedName>
    <definedName name="HTML1_1" hidden="1">"[CUODE.XLS]CUODE!$B$8:$K$98"</definedName>
    <definedName name="HTML1_11" hidden="1">1</definedName>
    <definedName name="HTML1_12" hidden="1">"G:\WORKSE\LUCY\WEB1\FUENTE\Cuoset.htm"</definedName>
    <definedName name="HTML1_2" hidden="1">-4146</definedName>
    <definedName name="HTML1_3" hidden="1">"G:\WORKSE\LUCY\WEB1\cuoago.htm"</definedName>
    <definedName name="HTML2_1" hidden="1">"[CUODE.XLS]CUODE!$B$9:$K$100"</definedName>
    <definedName name="HTML2_11" hidden="1">1</definedName>
    <definedName name="HTML2_12" hidden="1">"G:\PRODES\WWW\WEB1\FUENTE\Cuoset.htm"</definedName>
    <definedName name="HTML2_2" hidden="1">-4146</definedName>
    <definedName name="HTML2_3" hidden="1">"G:\PRODES\WWW\WEB1\CUOAGO.HTM"</definedName>
    <definedName name="HTML3_1" hidden="1">"[CUODE.XLS]CUODE!$G$13:$I$99"</definedName>
    <definedName name="HTML3_11" hidden="1">1</definedName>
    <definedName name="HTML3_12" hidden="1">"G:\WORKSE\LUCY\WEB\MyHTML.htm"</definedName>
    <definedName name="HTML3_2" hidden="1">-4146</definedName>
    <definedName name="HTML3_3" hidden="1">"G:\WORKSE\LUCY\WEB1\CUOAGO.HTM"</definedName>
    <definedName name="HTML4_1" hidden="1">"[CUODE.XLS]CUODE!$B$10:$K$100"</definedName>
    <definedName name="HTML4_11" hidden="1">1</definedName>
    <definedName name="HTML4_12" hidden="1">"G:\PRODES\WWW\WEB1\FUENTE\Cuoset.htm"</definedName>
    <definedName name="HTML4_2" hidden="1">-4146</definedName>
    <definedName name="HTML4_3" hidden="1">"G:\PRODES\WWW\WEB1\CUOAGO.HTM"</definedName>
    <definedName name="HTML5_1" hidden="1">"[CUODE.XLS]CUODE!$B$10:$I$100"</definedName>
    <definedName name="HTML5_11" hidden="1">1</definedName>
    <definedName name="HTML5_12" hidden="1">"G:\PRODES\WWW\WEB1\FUENTE\Cuoset.htm"</definedName>
    <definedName name="HTML5_2" hidden="1">-4146</definedName>
    <definedName name="HTML5_3" hidden="1">"G:\PRODES\WWW\WEB1\CUOAGO.HTM"</definedName>
    <definedName name="HTML6_1" hidden="1">"[CUODE.XLS]CUODE!$B$10:$H$100"</definedName>
    <definedName name="HTML6_11" hidden="1">1</definedName>
    <definedName name="HTML6_12" hidden="1">"G:\PRODES\WWW\WEB1\FUENTE\JULIO\Cuoset.htm"</definedName>
    <definedName name="HTML6_2" hidden="1">-4146</definedName>
    <definedName name="HTML6_3" hidden="1">"G:\PRODES\WWW\WEB1\CUOAGO.HTM"</definedName>
    <definedName name="HTML7_1" hidden="1">"[MESCUO.XLS]CUODE!$B$11:$M$100"</definedName>
    <definedName name="HTML7_11" hidden="1">1</definedName>
    <definedName name="HTML7_12" hidden="1">"G:\PRODES\WWW\WEB1\FUENTE\JULIO\MESCUO.htm"</definedName>
    <definedName name="HTML7_2" hidden="1">-4146</definedName>
    <definedName name="HTML7_3" hidden="1">"G:\PRODES\WWW\WEB1\MESCUO.HTM"</definedName>
    <definedName name="HTML8_1" hidden="1">"[MESCUO.XLS]CUODE!$B$11:$K$99"</definedName>
    <definedName name="HTML8_11" hidden="1">1</definedName>
    <definedName name="HTML8_12" hidden="1">"G:\PRODES\WWW\WEB1\FUENTE\AGO\MESCUO.htm"</definedName>
    <definedName name="HTML8_2" hidden="1">-4146</definedName>
    <definedName name="HTML8_3" hidden="1">"G:\PRODES\WWW\WEB1\MESCUO.HTM"</definedName>
    <definedName name="HTML9_1" hidden="1">"[MESCUO.XLS]CUODE!$B$11:$J$99"</definedName>
    <definedName name="HTML9_11" hidden="1">1</definedName>
    <definedName name="HTML9_12" hidden="1">"G:\PRODES\WWW\WEB1\FUENTE\JULIO\Mescuo.htm"</definedName>
    <definedName name="HTML9_2" hidden="1">-4146</definedName>
    <definedName name="HTML9_3" hidden="1">"G:\PRODES\WWW\WEB1\MESCUO.HTM"</definedName>
    <definedName name="HTMLCount" hidden="1">9</definedName>
    <definedName name="htrfb" localSheetId="28" hidden="1">{"CAJA_SET96",#N/A,FALSE,"CAJA3";"ING_CORR_SET96",#N/A,FALSE,"CAJA3";"SUNAT_AD_SET96",#N/A,FALSE,"ADUANAS"}</definedName>
    <definedName name="htrfb" localSheetId="29" hidden="1">{"CAJA_SET96",#N/A,FALSE,"CAJA3";"ING_CORR_SET96",#N/A,FALSE,"CAJA3";"SUNAT_AD_SET96",#N/A,FALSE,"ADUANAS"}</definedName>
    <definedName name="htrfb" localSheetId="30" hidden="1">{"CAJA_SET96",#N/A,FALSE,"CAJA3";"ING_CORR_SET96",#N/A,FALSE,"CAJA3";"SUNAT_AD_SET96",#N/A,FALSE,"ADUANAS"}</definedName>
    <definedName name="htrfb" localSheetId="31" hidden="1">{"CAJA_SET96",#N/A,FALSE,"CAJA3";"ING_CORR_SET96",#N/A,FALSE,"CAJA3";"SUNAT_AD_SET96",#N/A,FALSE,"ADUANAS"}</definedName>
    <definedName name="htrfb" localSheetId="32" hidden="1">{"CAJA_SET96",#N/A,FALSE,"CAJA3";"ING_CORR_SET96",#N/A,FALSE,"CAJA3";"SUNAT_AD_SET96",#N/A,FALSE,"ADUANAS"}</definedName>
    <definedName name="htrfb" hidden="1">{"CAJA_SET96",#N/A,FALSE,"CAJA3";"ING_CORR_SET96",#N/A,FALSE,"CAJA3";"SUNAT_AD_SET96",#N/A,FALSE,"ADUANAS"}</definedName>
    <definedName name="hyui" localSheetId="28" hidden="1">{"SUNAT_AD_AGO96",#N/A,FALSE,"ADUANAS";"CAJA_AGO96",#N/A,FALSE,"CAJA3";"ING_CORR_AGO96",#N/A,FALSE,"CAJA3"}</definedName>
    <definedName name="hyui" localSheetId="29" hidden="1">{"SUNAT_AD_AGO96",#N/A,FALSE,"ADUANAS";"CAJA_AGO96",#N/A,FALSE,"CAJA3";"ING_CORR_AGO96",#N/A,FALSE,"CAJA3"}</definedName>
    <definedName name="hyui" localSheetId="30" hidden="1">{"SUNAT_AD_AGO96",#N/A,FALSE,"ADUANAS";"CAJA_AGO96",#N/A,FALSE,"CAJA3";"ING_CORR_AGO96",#N/A,FALSE,"CAJA3"}</definedName>
    <definedName name="hyui" localSheetId="31" hidden="1">{"SUNAT_AD_AGO96",#N/A,FALSE,"ADUANAS";"CAJA_AGO96",#N/A,FALSE,"CAJA3";"ING_CORR_AGO96",#N/A,FALSE,"CAJA3"}</definedName>
    <definedName name="hyui" localSheetId="32" hidden="1">{"SUNAT_AD_AGO96",#N/A,FALSE,"ADUANAS";"CAJA_AGO96",#N/A,FALSE,"CAJA3";"ING_CORR_AGO96",#N/A,FALSE,"CAJA3"}</definedName>
    <definedName name="hyui" hidden="1">{"SUNAT_AD_AGO96",#N/A,FALSE,"ADUANAS";"CAJA_AGO96",#N/A,FALSE,"CAJA3";"ING_CORR_AGO96",#N/A,FALSE,"CAJA3"}</definedName>
    <definedName name="i">#REF!</definedName>
    <definedName name="Infrastructure_per_day">#REF!</definedName>
    <definedName name="Internet">[2]Calculations!$B$11</definedName>
    <definedName name="Inverter_Cost">#REF!</definedName>
    <definedName name="Inverter_KW">#REF!</definedName>
    <definedName name="j">#REF!</definedName>
    <definedName name="jhgttfd" localSheetId="28" hidden="1">{"CAJA_SET96",#N/A,FALSE,"CAJA3";"ING_CORR_SET96",#N/A,FALSE,"CAJA3";"SUNAT_AD_SET96",#N/A,FALSE,"ADUANAS"}</definedName>
    <definedName name="jhgttfd" localSheetId="29" hidden="1">{"CAJA_SET96",#N/A,FALSE,"CAJA3";"ING_CORR_SET96",#N/A,FALSE,"CAJA3";"SUNAT_AD_SET96",#N/A,FALSE,"ADUANAS"}</definedName>
    <definedName name="jhgttfd" localSheetId="30" hidden="1">{"CAJA_SET96",#N/A,FALSE,"CAJA3";"ING_CORR_SET96",#N/A,FALSE,"CAJA3";"SUNAT_AD_SET96",#N/A,FALSE,"ADUANAS"}</definedName>
    <definedName name="jhgttfd" localSheetId="31" hidden="1">{"CAJA_SET96",#N/A,FALSE,"CAJA3";"ING_CORR_SET96",#N/A,FALSE,"CAJA3";"SUNAT_AD_SET96",#N/A,FALSE,"ADUANAS"}</definedName>
    <definedName name="jhgttfd" localSheetId="32" hidden="1">{"CAJA_SET96",#N/A,FALSE,"CAJA3";"ING_CORR_SET96",#N/A,FALSE,"CAJA3";"SUNAT_AD_SET96",#N/A,FALSE,"ADUANAS"}</definedName>
    <definedName name="jhgttfd" hidden="1">{"CAJA_SET96",#N/A,FALSE,"CAJA3";"ING_CORR_SET96",#N/A,FALSE,"CAJA3";"SUNAT_AD_SET96",#N/A,FALSE,"ADUANAS"}</definedName>
    <definedName name="jiuig" localSheetId="28" hidden="1">{"CAJA_SET96",#N/A,FALSE,"CAJA3";"ING_CORR_SET96",#N/A,FALSE,"CAJA3";"SUNAT_AD_SET96",#N/A,FALSE,"ADUANAS"}</definedName>
    <definedName name="jiuig" localSheetId="29" hidden="1">{"CAJA_SET96",#N/A,FALSE,"CAJA3";"ING_CORR_SET96",#N/A,FALSE,"CAJA3";"SUNAT_AD_SET96",#N/A,FALSE,"ADUANAS"}</definedName>
    <definedName name="jiuig" localSheetId="30" hidden="1">{"CAJA_SET96",#N/A,FALSE,"CAJA3";"ING_CORR_SET96",#N/A,FALSE,"CAJA3";"SUNAT_AD_SET96",#N/A,FALSE,"ADUANAS"}</definedName>
    <definedName name="jiuig" localSheetId="31" hidden="1">{"CAJA_SET96",#N/A,FALSE,"CAJA3";"ING_CORR_SET96",#N/A,FALSE,"CAJA3";"SUNAT_AD_SET96",#N/A,FALSE,"ADUANAS"}</definedName>
    <definedName name="jiuig" localSheetId="32" hidden="1">{"CAJA_SET96",#N/A,FALSE,"CAJA3";"ING_CORR_SET96",#N/A,FALSE,"CAJA3";"SUNAT_AD_SET96",#N/A,FALSE,"ADUANAS"}</definedName>
    <definedName name="jiuig" hidden="1">{"CAJA_SET96",#N/A,FALSE,"CAJA3";"ING_CORR_SET96",#N/A,FALSE,"CAJA3";"SUNAT_AD_SET96",#N/A,FALSE,"ADUANAS"}</definedName>
    <definedName name="jjjjjjjjjjjjjjjjjjjjjjjjjjjjjjjjjjjjjjjjjjjjjjjjjjjjjjjj" localSheetId="28" hidden="1">{"CAJA_SET96",#N/A,FALSE,"CAJA3";"ING_CORR_SET96",#N/A,FALSE,"CAJA3";"SUNAT_AD_SET96",#N/A,FALSE,"ADUANAS"}</definedName>
    <definedName name="jjjjjjjjjjjjjjjjjjjjjjjjjjjjjjjjjjjjjjjjjjjjjjjjjjjjjjjj" localSheetId="29" hidden="1">{"CAJA_SET96",#N/A,FALSE,"CAJA3";"ING_CORR_SET96",#N/A,FALSE,"CAJA3";"SUNAT_AD_SET96",#N/A,FALSE,"ADUANAS"}</definedName>
    <definedName name="jjjjjjjjjjjjjjjjjjjjjjjjjjjjjjjjjjjjjjjjjjjjjjjjjjjjjjjj" localSheetId="30" hidden="1">{"CAJA_SET96",#N/A,FALSE,"CAJA3";"ING_CORR_SET96",#N/A,FALSE,"CAJA3";"SUNAT_AD_SET96",#N/A,FALSE,"ADUANAS"}</definedName>
    <definedName name="jjjjjjjjjjjjjjjjjjjjjjjjjjjjjjjjjjjjjjjjjjjjjjjjjjjjjjjj" localSheetId="31" hidden="1">{"CAJA_SET96",#N/A,FALSE,"CAJA3";"ING_CORR_SET96",#N/A,FALSE,"CAJA3";"SUNAT_AD_SET96",#N/A,FALSE,"ADUANAS"}</definedName>
    <definedName name="jjjjjjjjjjjjjjjjjjjjjjjjjjjjjjjjjjjjjjjjjjjjjjjjjjjjjjjj" localSheetId="32" hidden="1">{"CAJA_SET96",#N/A,FALSE,"CAJA3";"ING_CORR_SET96",#N/A,FALSE,"CAJA3";"SUNAT_AD_SET96",#N/A,FALSE,"ADUANAS"}</definedName>
    <definedName name="jjjjjjjjjjjjjjjjjjjjjjjjjjjjjjjjjjjjjjjjjjjjjjjjjjjjjjjj" hidden="1">{"CAJA_SET96",#N/A,FALSE,"CAJA3";"ING_CORR_SET96",#N/A,FALSE,"CAJA3";"SUNAT_AD_SET96",#N/A,FALSE,"ADUANAS"}</definedName>
    <definedName name="juyfres" localSheetId="28" hidden="1">{"SUNAT_AD_AGO96",#N/A,FALSE,"ADUANAS";"CAJA_AGO96",#N/A,FALSE,"CAJA3";"ING_CORR_AGO96",#N/A,FALSE,"CAJA3"}</definedName>
    <definedName name="juyfres" localSheetId="29" hidden="1">{"SUNAT_AD_AGO96",#N/A,FALSE,"ADUANAS";"CAJA_AGO96",#N/A,FALSE,"CAJA3";"ING_CORR_AGO96",#N/A,FALSE,"CAJA3"}</definedName>
    <definedName name="juyfres" localSheetId="30" hidden="1">{"SUNAT_AD_AGO96",#N/A,FALSE,"ADUANAS";"CAJA_AGO96",#N/A,FALSE,"CAJA3";"ING_CORR_AGO96",#N/A,FALSE,"CAJA3"}</definedName>
    <definedName name="juyfres" localSheetId="31" hidden="1">{"SUNAT_AD_AGO96",#N/A,FALSE,"ADUANAS";"CAJA_AGO96",#N/A,FALSE,"CAJA3";"ING_CORR_AGO96",#N/A,FALSE,"CAJA3"}</definedName>
    <definedName name="juyfres" localSheetId="32" hidden="1">{"SUNAT_AD_AGO96",#N/A,FALSE,"ADUANAS";"CAJA_AGO96",#N/A,FALSE,"CAJA3";"ING_CORR_AGO96",#N/A,FALSE,"CAJA3"}</definedName>
    <definedName name="juyfres" hidden="1">{"SUNAT_AD_AGO96",#N/A,FALSE,"ADUANAS";"CAJA_AGO96",#N/A,FALSE,"CAJA3";"ING_CORR_AGO96",#N/A,FALSE,"CAJA3"}</definedName>
    <definedName name="KSJSYYEHNFJDKD5822" localSheetId="28" hidden="1">{"SUNAT_AD_AGO96",#N/A,FALSE,"ADUANAS";"CAJA_AGO96",#N/A,FALSE,"CAJA3";"ING_CORR_AGO96",#N/A,FALSE,"CAJA3"}</definedName>
    <definedName name="KSJSYYEHNFJDKD5822" localSheetId="29" hidden="1">{"SUNAT_AD_AGO96",#N/A,FALSE,"ADUANAS";"CAJA_AGO96",#N/A,FALSE,"CAJA3";"ING_CORR_AGO96",#N/A,FALSE,"CAJA3"}</definedName>
    <definedName name="KSJSYYEHNFJDKD5822" localSheetId="30" hidden="1">{"SUNAT_AD_AGO96",#N/A,FALSE,"ADUANAS";"CAJA_AGO96",#N/A,FALSE,"CAJA3";"ING_CORR_AGO96",#N/A,FALSE,"CAJA3"}</definedName>
    <definedName name="KSJSYYEHNFJDKD5822" localSheetId="31" hidden="1">{"SUNAT_AD_AGO96",#N/A,FALSE,"ADUANAS";"CAJA_AGO96",#N/A,FALSE,"CAJA3";"ING_CORR_AGO96",#N/A,FALSE,"CAJA3"}</definedName>
    <definedName name="KSJSYYEHNFJDKD5822" localSheetId="32" hidden="1">{"SUNAT_AD_AGO96",#N/A,FALSE,"ADUANAS";"CAJA_AGO96",#N/A,FALSE,"CAJA3";"ING_CORR_AGO96",#N/A,FALSE,"CAJA3"}</definedName>
    <definedName name="KSJSYYEHNFJDKD5822" hidden="1">{"SUNAT_AD_AGO96",#N/A,FALSE,"ADUANAS";"CAJA_AGO96",#N/A,FALSE,"CAJA3";"ING_CORR_AGO96",#N/A,FALSE,"CAJA3"}</definedName>
    <definedName name="KWH_cost">[2]Guide!$D$100</definedName>
    <definedName name="Lab_hours">#REF!</definedName>
    <definedName name="Lab_per_school">[2]Lab!$C$72</definedName>
    <definedName name="Lab_size">[2]Lab!$C$71</definedName>
    <definedName name="Laptop_Cost">#REF!</definedName>
    <definedName name="Laptop_Program_Costs">#REF!</definedName>
    <definedName name="Laptops_in_school">#REF!</definedName>
    <definedName name="Laptos">#REF!</definedName>
    <definedName name="Large_Battery_Cost">#REF!</definedName>
    <definedName name="Large_Server_Cost">#REF!</definedName>
    <definedName name="Large_Solar_Panel_Cost">#REF!</definedName>
    <definedName name="Level">[2]Calculations!$B$7</definedName>
    <definedName name="look_cd3">'[4]lookup score'!$A$122:$B$128</definedName>
    <definedName name="look_epl1b">'[4]lookup score'!$A$5:$B$11</definedName>
    <definedName name="look_epl2a1">'[4]lookup score'!$A$14:$B$20</definedName>
    <definedName name="look_epl2a2">'[4]lookup score'!$A$23:$B$29</definedName>
    <definedName name="look_epl2a3">'[4]lookup score'!$A$32:$B$38</definedName>
    <definedName name="look_epl2b1">'[4]lookup score'!$A$41:$B$47</definedName>
    <definedName name="look_epl2b2">'[4]lookup score'!$A$50:$B$56</definedName>
    <definedName name="look_epl2b3">'[4]lookup score'!$A$59:$B$65</definedName>
    <definedName name="look_epl3b">'[4]lookup score'!$A$68:$B$74</definedName>
    <definedName name="look_epl3c">'[4]lookup score'!$A$77:$B$83</definedName>
    <definedName name="look_epl3e">'[4]lookup score'!$A$86:$B$92</definedName>
    <definedName name="look_ft2">'[4]lookup score'!$A$95:$B$101</definedName>
    <definedName name="look_ft3">'[4]lookup score'!$A$104:$B$110</definedName>
    <definedName name="look_twa3">'[4]lookup score'!$A$113:$B$119</definedName>
    <definedName name="m" localSheetId="28" hidden="1">{"CAJA_SET96",#N/A,FALSE,"CAJA3";"ING_CORR_SET96",#N/A,FALSE,"CAJA3";"SUNAT_AD_SET96",#N/A,FALSE,"ADUANAS"}</definedName>
    <definedName name="m" localSheetId="29" hidden="1">{"CAJA_SET96",#N/A,FALSE,"CAJA3";"ING_CORR_SET96",#N/A,FALSE,"CAJA3";"SUNAT_AD_SET96",#N/A,FALSE,"ADUANAS"}</definedName>
    <definedName name="m" localSheetId="30" hidden="1">{"CAJA_SET96",#N/A,FALSE,"CAJA3";"ING_CORR_SET96",#N/A,FALSE,"CAJA3";"SUNAT_AD_SET96",#N/A,FALSE,"ADUANAS"}</definedName>
    <definedName name="m" localSheetId="31" hidden="1">{"CAJA_SET96",#N/A,FALSE,"CAJA3";"ING_CORR_SET96",#N/A,FALSE,"CAJA3";"SUNAT_AD_SET96",#N/A,FALSE,"ADUANAS"}</definedName>
    <definedName name="m" localSheetId="32" hidden="1">{"CAJA_SET96",#N/A,FALSE,"CAJA3";"ING_CORR_SET96",#N/A,FALSE,"CAJA3";"SUNAT_AD_SET96",#N/A,FALSE,"ADUANAS"}</definedName>
    <definedName name="m" hidden="1">{"CAJA_SET96",#N/A,FALSE,"CAJA3";"ING_CORR_SET96",#N/A,FALSE,"CAJA3";"SUNAT_AD_SET96",#N/A,FALSE,"ADUANAS"}</definedName>
    <definedName name="MBC_Efficiency">#REF!</definedName>
    <definedName name="MBC_Power_Factor">#REF!</definedName>
    <definedName name="Memory">[2]Guide!$E$47</definedName>
    <definedName name="Minimum_Disk_Storage">[2]Calculations!$B$41</definedName>
    <definedName name="Multi_Battery_Charger">#REF!</definedName>
    <definedName name="NADA" localSheetId="28" hidden="1">{"CAJA_SET96",#N/A,FALSE,"CAJA3";"ING_CORR_SET96",#N/A,FALSE,"CAJA3";"SUNAT_AD_SET96",#N/A,FALSE,"ADUANAS"}</definedName>
    <definedName name="NADA" localSheetId="29" hidden="1">{"CAJA_SET96",#N/A,FALSE,"CAJA3";"ING_CORR_SET96",#N/A,FALSE,"CAJA3";"SUNAT_AD_SET96",#N/A,FALSE,"ADUANAS"}</definedName>
    <definedName name="NADA" localSheetId="30" hidden="1">{"CAJA_SET96",#N/A,FALSE,"CAJA3";"ING_CORR_SET96",#N/A,FALSE,"CAJA3";"SUNAT_AD_SET96",#N/A,FALSE,"ADUANAS"}</definedName>
    <definedName name="NADA" localSheetId="31" hidden="1">{"CAJA_SET96",#N/A,FALSE,"CAJA3";"ING_CORR_SET96",#N/A,FALSE,"CAJA3";"SUNAT_AD_SET96",#N/A,FALSE,"ADUANAS"}</definedName>
    <definedName name="NADA" localSheetId="32" hidden="1">{"CAJA_SET96",#N/A,FALSE,"CAJA3";"ING_CORR_SET96",#N/A,FALSE,"CAJA3";"SUNAT_AD_SET96",#N/A,FALSE,"ADUANAS"}</definedName>
    <definedName name="NADA" hidden="1">{"CAJA_SET96",#N/A,FALSE,"CAJA3";"ING_CORR_SET96",#N/A,FALSE,"CAJA3";"SUNAT_AD_SET96",#N/A,FALSE,"ADUANAS"}</definedName>
    <definedName name="Number_APoints">[2]Calculations!$B$26</definedName>
    <definedName name="Number_of_Servers">[2]Calculations!$B$25</definedName>
    <definedName name="Number_of_Switches">[2]Calculations!$B$27</definedName>
    <definedName name="Other_Cost">#REF!</definedName>
    <definedName name="Other_monthly_cost">#REF!</definedName>
    <definedName name="Outlet_Cost">#REF!</definedName>
    <definedName name="pbi" localSheetId="28" hidden="1">{"CAJA_SET96",#N/A,FALSE,"CAJA3";"ING_CORR_SET96",#N/A,FALSE,"CAJA3";"SUNAT_AD_SET96",#N/A,FALSE,"ADUANAS"}</definedName>
    <definedName name="pbi" localSheetId="29" hidden="1">{"CAJA_SET96",#N/A,FALSE,"CAJA3";"ING_CORR_SET96",#N/A,FALSE,"CAJA3";"SUNAT_AD_SET96",#N/A,FALSE,"ADUANAS"}</definedName>
    <definedName name="pbi" localSheetId="30" hidden="1">{"CAJA_SET96",#N/A,FALSE,"CAJA3";"ING_CORR_SET96",#N/A,FALSE,"CAJA3";"SUNAT_AD_SET96",#N/A,FALSE,"ADUANAS"}</definedName>
    <definedName name="pbi" localSheetId="31" hidden="1">{"CAJA_SET96",#N/A,FALSE,"CAJA3";"ING_CORR_SET96",#N/A,FALSE,"CAJA3";"SUNAT_AD_SET96",#N/A,FALSE,"ADUANAS"}</definedName>
    <definedName name="pbi" localSheetId="32" hidden="1">{"CAJA_SET96",#N/A,FALSE,"CAJA3";"ING_CORR_SET96",#N/A,FALSE,"CAJA3";"SUNAT_AD_SET96",#N/A,FALSE,"ADUANAS"}</definedName>
    <definedName name="pbi" hidden="1">{"CAJA_SET96",#N/A,FALSE,"CAJA3";"ING_CORR_SET96",#N/A,FALSE,"CAJA3";"SUNAT_AD_SET96",#N/A,FALSE,"ADUANAS"}</definedName>
    <definedName name="POIU" localSheetId="28" hidden="1">{"CAJA_SET96",#N/A,FALSE,"CAJA3";"ING_CORR_SET96",#N/A,FALSE,"CAJA3";"SUNAT_AD_SET96",#N/A,FALSE,"ADUANAS"}</definedName>
    <definedName name="POIU" localSheetId="29" hidden="1">{"CAJA_SET96",#N/A,FALSE,"CAJA3";"ING_CORR_SET96",#N/A,FALSE,"CAJA3";"SUNAT_AD_SET96",#N/A,FALSE,"ADUANAS"}</definedName>
    <definedName name="POIU" localSheetId="30" hidden="1">{"CAJA_SET96",#N/A,FALSE,"CAJA3";"ING_CORR_SET96",#N/A,FALSE,"CAJA3";"SUNAT_AD_SET96",#N/A,FALSE,"ADUANAS"}</definedName>
    <definedName name="POIU" localSheetId="31" hidden="1">{"CAJA_SET96",#N/A,FALSE,"CAJA3";"ING_CORR_SET96",#N/A,FALSE,"CAJA3";"SUNAT_AD_SET96",#N/A,FALSE,"ADUANAS"}</definedName>
    <definedName name="POIU" localSheetId="32" hidden="1">{"CAJA_SET96",#N/A,FALSE,"CAJA3";"ING_CORR_SET96",#N/A,FALSE,"CAJA3";"SUNAT_AD_SET96",#N/A,FALSE,"ADUANAS"}</definedName>
    <definedName name="POIU" hidden="1">{"CAJA_SET96",#N/A,FALSE,"CAJA3";"ING_CORR_SET96",#N/A,FALSE,"CAJA3";"SUNAT_AD_SET96",#N/A,FALSE,"ADUANAS"}</definedName>
    <definedName name="Power_AP">[2]Guide!$E$36</definedName>
    <definedName name="Power_desktop">[3]Guide!$E$31</definedName>
    <definedName name="Power_Dial">[2]Guide!$E$88</definedName>
    <definedName name="Power_DSL">[2]Guide!$E$87</definedName>
    <definedName name="Power_laptop">[2]Guide!$E$30</definedName>
    <definedName name="Power_large">[2]Guide!$E$33</definedName>
    <definedName name="Power_NS">[2]Guide!$E$40</definedName>
    <definedName name="Power_required">[2]Calculations!$B$36</definedName>
    <definedName name="Power_small">[2]Guide!$E$32</definedName>
    <definedName name="_xlnm.Print_Area" localSheetId="2">'2. Summary'!$A$1:$T$78</definedName>
    <definedName name="_xlnm.Print_Area" localSheetId="33">'F10.2'!$A$1:$L$28</definedName>
    <definedName name="_xlnm.Print_Area" localSheetId="34">'F10.3'!$A$1:$P$36</definedName>
    <definedName name="_xlnm.Print_Area" localSheetId="35">'F10.4'!$A$1:$M$28</definedName>
    <definedName name="_xlnm.Print_Area" localSheetId="36">'F10.5'!$A$1:$M$35</definedName>
    <definedName name="_xlnm.Print_Area" localSheetId="37">'F10.6'!$A$1:$N$32</definedName>
    <definedName name="_xlnm.Print_Area" localSheetId="3">'F3.1'!$A$1:$Q$21</definedName>
    <definedName name="_xlnm.Print_Area" localSheetId="4">'F3.2'!$A$1:$Q$63</definedName>
    <definedName name="_xlnm.Print_Area" localSheetId="5">'F3.3'!$A$1:$Q$36</definedName>
    <definedName name="_xlnm.Print_Area" localSheetId="6">'F3.4'!$A$1:$Q$32</definedName>
    <definedName name="_xlnm.Print_Area" localSheetId="7">'F3.7'!$A$1:$T$23</definedName>
    <definedName name="_xlnm.Print_Area" localSheetId="8">'F4.1'!$A$1:$R$44</definedName>
    <definedName name="_xlnm.Print_Area" localSheetId="9">'F4.2'!$A$1:$R$24</definedName>
    <definedName name="_xlnm.Print_Area" localSheetId="10">'F4.3'!$A$1:$R$24</definedName>
    <definedName name="_xlnm.Print_Area" localSheetId="11">'F4.5'!$A$1:$T$38</definedName>
    <definedName name="_xlnm.Print_Area" localSheetId="14">'F4.8'!$A$1:$O$34</definedName>
    <definedName name="_xlnm.Print_Area" localSheetId="15">'F4.9'!$A$1:$O$32</definedName>
    <definedName name="_xlnm.Print_Area" localSheetId="17">'F5.3'!$A$1:$X$30</definedName>
    <definedName name="_xlnm.Print_Area" localSheetId="24">'F8.1'!$A$1:$P$23</definedName>
    <definedName name="_xlnm.Print_Area" localSheetId="26">'F8.2'!$A$1:$P$25</definedName>
    <definedName name="_xlnm.Print_Area" localSheetId="27">'F9.1'!$A$1:$M$20</definedName>
    <definedName name="_xlnm.Print_Area" localSheetId="28">'F9.3'!$A$1:$O$25</definedName>
    <definedName name="_xlnm.Print_Area" localSheetId="29">'F9.4'!$A$1:$M$27</definedName>
    <definedName name="_xlnm.Print_Area" localSheetId="30">'F9.5'!$A$1:$N$25</definedName>
    <definedName name="_xlnm.Print_Area" localSheetId="31">'F9.6'!$A$1:$O$25</definedName>
    <definedName name="_xlnm.Print_Area" localSheetId="32">'F9.7'!$A$1:$O$26</definedName>
    <definedName name="_xlnm.Print_Area" localSheetId="12">'T4.1'!$A$1:$L$29</definedName>
    <definedName name="_xlnm.Print_Area" localSheetId="13">'T4.3'!$A$1:$I$32</definedName>
    <definedName name="_xlnm.Print_Area" localSheetId="16">'T5.1'!$A$1:$Q$31</definedName>
    <definedName name="_xlnm.Print_Area" localSheetId="21">'T7.5'!$A$1:$K$23</definedName>
    <definedName name="_xlnm.Print_Area" localSheetId="22">'T8.1'!$A$1:$K$22</definedName>
    <definedName name="_xlnm.Print_Area" localSheetId="23">'T8.2'!$A$1:$F$10</definedName>
    <definedName name="_xlnm.Print_Area" localSheetId="25">'T8.3'!$A$1:$N$11</definedName>
    <definedName name="q" localSheetId="28" hidden="1">{"CAJA_SET96",#N/A,FALSE,"CAJA3";"ING_CORR_SET96",#N/A,FALSE,"CAJA3";"SUNAT_AD_SET96",#N/A,FALSE,"ADUANAS"}</definedName>
    <definedName name="q" localSheetId="29" hidden="1">{"CAJA_SET96",#N/A,FALSE,"CAJA3";"ING_CORR_SET96",#N/A,FALSE,"CAJA3";"SUNAT_AD_SET96",#N/A,FALSE,"ADUANAS"}</definedName>
    <definedName name="q" localSheetId="30" hidden="1">{"CAJA_SET96",#N/A,FALSE,"CAJA3";"ING_CORR_SET96",#N/A,FALSE,"CAJA3";"SUNAT_AD_SET96",#N/A,FALSE,"ADUANAS"}</definedName>
    <definedName name="q" localSheetId="31" hidden="1">{"CAJA_SET96",#N/A,FALSE,"CAJA3";"ING_CORR_SET96",#N/A,FALSE,"CAJA3";"SUNAT_AD_SET96",#N/A,FALSE,"ADUANAS"}</definedName>
    <definedName name="q" localSheetId="32" hidden="1">{"CAJA_SET96",#N/A,FALSE,"CAJA3";"ING_CORR_SET96",#N/A,FALSE,"CAJA3";"SUNAT_AD_SET96",#N/A,FALSE,"ADUANAS"}</definedName>
    <definedName name="q" hidden="1">{"CAJA_SET96",#N/A,FALSE,"CAJA3";"ING_CORR_SET96",#N/A,FALSE,"CAJA3";"SUNAT_AD_SET96",#N/A,FALSE,"ADUANAS"}</definedName>
    <definedName name="qwq" localSheetId="28" hidden="1">{"CAJA_SET96",#N/A,FALSE,"CAJA3";"ING_CORR_SET96",#N/A,FALSE,"CAJA3";"SUNAT_AD_SET96",#N/A,FALSE,"ADUANAS"}</definedName>
    <definedName name="qwq" localSheetId="29" hidden="1">{"CAJA_SET96",#N/A,FALSE,"CAJA3";"ING_CORR_SET96",#N/A,FALSE,"CAJA3";"SUNAT_AD_SET96",#N/A,FALSE,"ADUANAS"}</definedName>
    <definedName name="qwq" localSheetId="30" hidden="1">{"CAJA_SET96",#N/A,FALSE,"CAJA3";"ING_CORR_SET96",#N/A,FALSE,"CAJA3";"SUNAT_AD_SET96",#N/A,FALSE,"ADUANAS"}</definedName>
    <definedName name="qwq" localSheetId="31" hidden="1">{"CAJA_SET96",#N/A,FALSE,"CAJA3";"ING_CORR_SET96",#N/A,FALSE,"CAJA3";"SUNAT_AD_SET96",#N/A,FALSE,"ADUANAS"}</definedName>
    <definedName name="qwq" localSheetId="32" hidden="1">{"CAJA_SET96",#N/A,FALSE,"CAJA3";"ING_CORR_SET96",#N/A,FALSE,"CAJA3";"SUNAT_AD_SET96",#N/A,FALSE,"ADUANAS"}</definedName>
    <definedName name="qwq" hidden="1">{"CAJA_SET96",#N/A,FALSE,"CAJA3";"ING_CORR_SET96",#N/A,FALSE,"CAJA3";"SUNAT_AD_SET96",#N/A,FALSE,"ADUANAS"}</definedName>
    <definedName name="Repair_kit_Cost">#REF!</definedName>
    <definedName name="safdxhftjyjhg" localSheetId="28" hidden="1">{"CAJA_SET96",#N/A,FALSE,"CAJA3";"ING_CORR_SET96",#N/A,FALSE,"CAJA3";"SUNAT_AD_SET96",#N/A,FALSE,"ADUANAS"}</definedName>
    <definedName name="safdxhftjyjhg" localSheetId="29" hidden="1">{"CAJA_SET96",#N/A,FALSE,"CAJA3";"ING_CORR_SET96",#N/A,FALSE,"CAJA3";"SUNAT_AD_SET96",#N/A,FALSE,"ADUANAS"}</definedName>
    <definedName name="safdxhftjyjhg" localSheetId="30" hidden="1">{"CAJA_SET96",#N/A,FALSE,"CAJA3";"ING_CORR_SET96",#N/A,FALSE,"CAJA3";"SUNAT_AD_SET96",#N/A,FALSE,"ADUANAS"}</definedName>
    <definedName name="safdxhftjyjhg" localSheetId="31" hidden="1">{"CAJA_SET96",#N/A,FALSE,"CAJA3";"ING_CORR_SET96",#N/A,FALSE,"CAJA3";"SUNAT_AD_SET96",#N/A,FALSE,"ADUANAS"}</definedName>
    <definedName name="safdxhftjyjhg" localSheetId="32" hidden="1">{"CAJA_SET96",#N/A,FALSE,"CAJA3";"ING_CORR_SET96",#N/A,FALSE,"CAJA3";"SUNAT_AD_SET96",#N/A,FALSE,"ADUANAS"}</definedName>
    <definedName name="safdxhftjyjhg" hidden="1">{"CAJA_SET96",#N/A,FALSE,"CAJA3";"ING_CORR_SET96",#N/A,FALSE,"CAJA3";"SUNAT_AD_SET96",#N/A,FALSE,"ADUANAS"}</definedName>
    <definedName name="SAGDGZRE" localSheetId="28" hidden="1">{"CAJA_SET96",#N/A,FALSE,"CAJA3";"ING_CORR_SET96",#N/A,FALSE,"CAJA3";"SUNAT_AD_SET96",#N/A,FALSE,"ADUANAS"}</definedName>
    <definedName name="SAGDGZRE" localSheetId="29" hidden="1">{"CAJA_SET96",#N/A,FALSE,"CAJA3";"ING_CORR_SET96",#N/A,FALSE,"CAJA3";"SUNAT_AD_SET96",#N/A,FALSE,"ADUANAS"}</definedName>
    <definedName name="SAGDGZRE" localSheetId="30" hidden="1">{"CAJA_SET96",#N/A,FALSE,"CAJA3";"ING_CORR_SET96",#N/A,FALSE,"CAJA3";"SUNAT_AD_SET96",#N/A,FALSE,"ADUANAS"}</definedName>
    <definedName name="SAGDGZRE" localSheetId="31" hidden="1">{"CAJA_SET96",#N/A,FALSE,"CAJA3";"ING_CORR_SET96",#N/A,FALSE,"CAJA3";"SUNAT_AD_SET96",#N/A,FALSE,"ADUANAS"}</definedName>
    <definedName name="SAGDGZRE" localSheetId="32" hidden="1">{"CAJA_SET96",#N/A,FALSE,"CAJA3";"ING_CORR_SET96",#N/A,FALSE,"CAJA3";"SUNAT_AD_SET96",#N/A,FALSE,"ADUANAS"}</definedName>
    <definedName name="SAGDGZRE" hidden="1">{"CAJA_SET96",#N/A,FALSE,"CAJA3";"ING_CORR_SET96",#N/A,FALSE,"CAJA3";"SUNAT_AD_SET96",#N/A,FALSE,"ADUANAS"}</definedName>
    <definedName name="sajfhsidjgdgzsoñerkohtfg" localSheetId="28" hidden="1">{"CAJA_SET96",#N/A,FALSE,"CAJA3";"ING_CORR_SET96",#N/A,FALSE,"CAJA3";"SUNAT_AD_SET96",#N/A,FALSE,"ADUANAS"}</definedName>
    <definedName name="sajfhsidjgdgzsoñerkohtfg" localSheetId="29" hidden="1">{"CAJA_SET96",#N/A,FALSE,"CAJA3";"ING_CORR_SET96",#N/A,FALSE,"CAJA3";"SUNAT_AD_SET96",#N/A,FALSE,"ADUANAS"}</definedName>
    <definedName name="sajfhsidjgdgzsoñerkohtfg" localSheetId="30" hidden="1">{"CAJA_SET96",#N/A,FALSE,"CAJA3";"ING_CORR_SET96",#N/A,FALSE,"CAJA3";"SUNAT_AD_SET96",#N/A,FALSE,"ADUANAS"}</definedName>
    <definedName name="sajfhsidjgdgzsoñerkohtfg" localSheetId="31" hidden="1">{"CAJA_SET96",#N/A,FALSE,"CAJA3";"ING_CORR_SET96",#N/A,FALSE,"CAJA3";"SUNAT_AD_SET96",#N/A,FALSE,"ADUANAS"}</definedName>
    <definedName name="sajfhsidjgdgzsoñerkohtfg" localSheetId="32" hidden="1">{"CAJA_SET96",#N/A,FALSE,"CAJA3";"ING_CORR_SET96",#N/A,FALSE,"CAJA3";"SUNAT_AD_SET96",#N/A,FALSE,"ADUANAS"}</definedName>
    <definedName name="sajfhsidjgdgzsoñerkohtfg" hidden="1">{"CAJA_SET96",#N/A,FALSE,"CAJA3";"ING_CORR_SET96",#N/A,FALSE,"CAJA3";"SUNAT_AD_SET96",#N/A,FALSE,"ADUANAS"}</definedName>
    <definedName name="Scaling_up_4">"$'Step 3 _ Specs'.$#REF!$#REF!"</definedName>
    <definedName name="School_day">[2]Guide!$E$48</definedName>
    <definedName name="School_Days_in_Month">#REF!</definedName>
    <definedName name="School_year_months">[3]Calculations!$B$19</definedName>
    <definedName name="SFRWIOEONDTXRSWWA" localSheetId="28" hidden="1">{"CAJA_SET96",#N/A,FALSE,"CAJA3";"ING_CORR_SET96",#N/A,FALSE,"CAJA3";"SUNAT_AD_SET96",#N/A,FALSE,"ADUANAS"}</definedName>
    <definedName name="SFRWIOEONDTXRSWWA" localSheetId="29" hidden="1">{"CAJA_SET96",#N/A,FALSE,"CAJA3";"ING_CORR_SET96",#N/A,FALSE,"CAJA3";"SUNAT_AD_SET96",#N/A,FALSE,"ADUANAS"}</definedName>
    <definedName name="SFRWIOEONDTXRSWWA" localSheetId="30" hidden="1">{"CAJA_SET96",#N/A,FALSE,"CAJA3";"ING_CORR_SET96",#N/A,FALSE,"CAJA3";"SUNAT_AD_SET96",#N/A,FALSE,"ADUANAS"}</definedName>
    <definedName name="SFRWIOEONDTXRSWWA" localSheetId="31" hidden="1">{"CAJA_SET96",#N/A,FALSE,"CAJA3";"ING_CORR_SET96",#N/A,FALSE,"CAJA3";"SUNAT_AD_SET96",#N/A,FALSE,"ADUANAS"}</definedName>
    <definedName name="SFRWIOEONDTXRSWWA" localSheetId="32" hidden="1">{"CAJA_SET96",#N/A,FALSE,"CAJA3";"ING_CORR_SET96",#N/A,FALSE,"CAJA3";"SUNAT_AD_SET96",#N/A,FALSE,"ADUANAS"}</definedName>
    <definedName name="SFRWIOEONDTXRSWWA" hidden="1">{"CAJA_SET96",#N/A,FALSE,"CAJA3";"ING_CORR_SET96",#N/A,FALSE,"CAJA3";"SUNAT_AD_SET96",#N/A,FALSE,"ADUANAS"}</definedName>
    <definedName name="sgffhg" localSheetId="28" hidden="1">{"CAJA_SET96",#N/A,FALSE,"CAJA3";"ING_CORR_SET96",#N/A,FALSE,"CAJA3";"SUNAT_AD_SET96",#N/A,FALSE,"ADUANAS"}</definedName>
    <definedName name="sgffhg" localSheetId="29" hidden="1">{"CAJA_SET96",#N/A,FALSE,"CAJA3";"ING_CORR_SET96",#N/A,FALSE,"CAJA3";"SUNAT_AD_SET96",#N/A,FALSE,"ADUANAS"}</definedName>
    <definedName name="sgffhg" localSheetId="30" hidden="1">{"CAJA_SET96",#N/A,FALSE,"CAJA3";"ING_CORR_SET96",#N/A,FALSE,"CAJA3";"SUNAT_AD_SET96",#N/A,FALSE,"ADUANAS"}</definedName>
    <definedName name="sgffhg" localSheetId="31" hidden="1">{"CAJA_SET96",#N/A,FALSE,"CAJA3";"ING_CORR_SET96",#N/A,FALSE,"CAJA3";"SUNAT_AD_SET96",#N/A,FALSE,"ADUANAS"}</definedName>
    <definedName name="sgffhg" localSheetId="32" hidden="1">{"CAJA_SET96",#N/A,FALSE,"CAJA3";"ING_CORR_SET96",#N/A,FALSE,"CAJA3";"SUNAT_AD_SET96",#N/A,FALSE,"ADUANAS"}</definedName>
    <definedName name="sgffhg" hidden="1">{"CAJA_SET96",#N/A,FALSE,"CAJA3";"ING_CORR_SET96",#N/A,FALSE,"CAJA3";"SUNAT_AD_SET96",#N/A,FALSE,"ADUANAS"}</definedName>
    <definedName name="Simultaneous_Charging">#REF!</definedName>
    <definedName name="Small_Inverter_Cost">#REF!</definedName>
    <definedName name="Small_Inverter_KW">#REF!</definedName>
    <definedName name="Small_Server_Cost">#REF!</definedName>
    <definedName name="Small_Server_UPS_Cost">#REF!</definedName>
    <definedName name="Solar_Panel_Cost">#REF!</definedName>
    <definedName name="Specialized_Hours">#REF!</definedName>
    <definedName name="Specialized_I_Hours">[2]OLPCS!$C$69</definedName>
    <definedName name="Specialized_I_Skills">[2]OLPCS!$B$69</definedName>
    <definedName name="Specialized_PT_ratio">[2]OLPCS!$A$74</definedName>
    <definedName name="Specialized_R_Hours">[2]OLPCS!$C$74</definedName>
    <definedName name="Specialized_R_Hours_final">[2]OLPCS!$D$74</definedName>
    <definedName name="Specialized_R_skills">[2]OLPCS!$B$74</definedName>
    <definedName name="Specialized_recurrent">#REF!</definedName>
    <definedName name="Specialized_Training_ratio">#REF!</definedName>
    <definedName name="ssdd" localSheetId="28" hidden="1">{"CAJA_SET96",#N/A,FALSE,"CAJA3";"ING_CORR_SET96",#N/A,FALSE,"CAJA3";"SUNAT_AD_SET96",#N/A,FALSE,"ADUANAS"}</definedName>
    <definedName name="ssdd" localSheetId="29" hidden="1">{"CAJA_SET96",#N/A,FALSE,"CAJA3";"ING_CORR_SET96",#N/A,FALSE,"CAJA3";"SUNAT_AD_SET96",#N/A,FALSE,"ADUANAS"}</definedName>
    <definedName name="ssdd" localSheetId="30" hidden="1">{"CAJA_SET96",#N/A,FALSE,"CAJA3";"ING_CORR_SET96",#N/A,FALSE,"CAJA3";"SUNAT_AD_SET96",#N/A,FALSE,"ADUANAS"}</definedName>
    <definedName name="ssdd" localSheetId="31" hidden="1">{"CAJA_SET96",#N/A,FALSE,"CAJA3";"ING_CORR_SET96",#N/A,FALSE,"CAJA3";"SUNAT_AD_SET96",#N/A,FALSE,"ADUANAS"}</definedName>
    <definedName name="ssdd" localSheetId="32" hidden="1">{"CAJA_SET96",#N/A,FALSE,"CAJA3";"ING_CORR_SET96",#N/A,FALSE,"CAJA3";"SUNAT_AD_SET96",#N/A,FALSE,"ADUANAS"}</definedName>
    <definedName name="ssdd" hidden="1">{"CAJA_SET96",#N/A,FALSE,"CAJA3";"ING_CORR_SET96",#N/A,FALSE,"CAJA3";"SUNAT_AD_SET96",#N/A,FALSE,"ADUANAS"}</definedName>
    <definedName name="Storage_Days">#REF!</definedName>
    <definedName name="Student_per_strip">[2]Guide!$E$44</definedName>
    <definedName name="Student_ULP_laptop">[3]Guide!$D$99</definedName>
    <definedName name="Students_in_class">[3]Calculations!$B$11</definedName>
    <definedName name="Students_per_outlet">#REF!</definedName>
    <definedName name="Students_per_school">[2]Calculations!$B$5</definedName>
    <definedName name="Students_per_strip">#REF!</definedName>
    <definedName name="Students_per_XOP_Bundle">#REF!</definedName>
    <definedName name="Sunlight_Hours">#REF!</definedName>
    <definedName name="SW_Cost">#REF!</definedName>
    <definedName name="swqghykii" localSheetId="28" hidden="1">{"SUNAT_AD_AGO96",#N/A,FALSE,"ADUANAS";"CAJA_AGO96",#N/A,FALSE,"CAJA3";"ING_CORR_AGO96",#N/A,FALSE,"CAJA3"}</definedName>
    <definedName name="swqghykii" localSheetId="29" hidden="1">{"SUNAT_AD_AGO96",#N/A,FALSE,"ADUANAS";"CAJA_AGO96",#N/A,FALSE,"CAJA3";"ING_CORR_AGO96",#N/A,FALSE,"CAJA3"}</definedName>
    <definedName name="swqghykii" localSheetId="30" hidden="1">{"SUNAT_AD_AGO96",#N/A,FALSE,"ADUANAS";"CAJA_AGO96",#N/A,FALSE,"CAJA3";"ING_CORR_AGO96",#N/A,FALSE,"CAJA3"}</definedName>
    <definedName name="swqghykii" localSheetId="31" hidden="1">{"SUNAT_AD_AGO96",#N/A,FALSE,"ADUANAS";"CAJA_AGO96",#N/A,FALSE,"CAJA3";"ING_CORR_AGO96",#N/A,FALSE,"CAJA3"}</definedName>
    <definedName name="swqghykii" localSheetId="32" hidden="1">{"SUNAT_AD_AGO96",#N/A,FALSE,"ADUANAS";"CAJA_AGO96",#N/A,FALSE,"CAJA3";"ING_CORR_AGO96",#N/A,FALSE,"CAJA3"}</definedName>
    <definedName name="swqghykii" hidden="1">{"SUNAT_AD_AGO96",#N/A,FALSE,"ADUANAS";"CAJA_AGO96",#N/A,FALSE,"CAJA3";"ING_CORR_AGO96",#N/A,FALSE,"CAJA3"}</definedName>
    <definedName name="szdfghutrff" localSheetId="28" hidden="1">{"CAJA_SET96",#N/A,FALSE,"CAJA3";"ING_CORR_SET96",#N/A,FALSE,"CAJA3";"SUNAT_AD_SET96",#N/A,FALSE,"ADUANAS"}</definedName>
    <definedName name="szdfghutrff" localSheetId="29" hidden="1">{"CAJA_SET96",#N/A,FALSE,"CAJA3";"ING_CORR_SET96",#N/A,FALSE,"CAJA3";"SUNAT_AD_SET96",#N/A,FALSE,"ADUANAS"}</definedName>
    <definedName name="szdfghutrff" localSheetId="30" hidden="1">{"CAJA_SET96",#N/A,FALSE,"CAJA3";"ING_CORR_SET96",#N/A,FALSE,"CAJA3";"SUNAT_AD_SET96",#N/A,FALSE,"ADUANAS"}</definedName>
    <definedName name="szdfghutrff" localSheetId="31" hidden="1">{"CAJA_SET96",#N/A,FALSE,"CAJA3";"ING_CORR_SET96",#N/A,FALSE,"CAJA3";"SUNAT_AD_SET96",#N/A,FALSE,"ADUANAS"}</definedName>
    <definedName name="szdfghutrff" localSheetId="32" hidden="1">{"CAJA_SET96",#N/A,FALSE,"CAJA3";"ING_CORR_SET96",#N/A,FALSE,"CAJA3";"SUNAT_AD_SET96",#N/A,FALSE,"ADUANAS"}</definedName>
    <definedName name="szdfghutrff" hidden="1">{"CAJA_SET96",#N/A,FALSE,"CAJA3";"ING_CORR_SET96",#N/A,FALSE,"CAJA3";"SUNAT_AD_SET96",#N/A,FALSE,"ADUANAS"}</definedName>
    <definedName name="Teacher_per_school">[2]OLPC!$C$58</definedName>
    <definedName name="Teachers_Instructor_Ratio">[2]OLPC!$A$64</definedName>
    <definedName name="TTT" localSheetId="28" hidden="1">{"CAJA_SET96",#N/A,FALSE,"CAJA3";"ING_CORR_SET96",#N/A,FALSE,"CAJA3";"SUNAT_AD_SET96",#N/A,FALSE,"ADUANAS"}</definedName>
    <definedName name="TTT" localSheetId="29" hidden="1">{"CAJA_SET96",#N/A,FALSE,"CAJA3";"ING_CORR_SET96",#N/A,FALSE,"CAJA3";"SUNAT_AD_SET96",#N/A,FALSE,"ADUANAS"}</definedName>
    <definedName name="TTT" localSheetId="30" hidden="1">{"CAJA_SET96",#N/A,FALSE,"CAJA3";"ING_CORR_SET96",#N/A,FALSE,"CAJA3";"SUNAT_AD_SET96",#N/A,FALSE,"ADUANAS"}</definedName>
    <definedName name="TTT" localSheetId="31" hidden="1">{"CAJA_SET96",#N/A,FALSE,"CAJA3";"ING_CORR_SET96",#N/A,FALSE,"CAJA3";"SUNAT_AD_SET96",#N/A,FALSE,"ADUANAS"}</definedName>
    <definedName name="TTT" localSheetId="32" hidden="1">{"CAJA_SET96",#N/A,FALSE,"CAJA3";"ING_CORR_SET96",#N/A,FALSE,"CAJA3";"SUNAT_AD_SET96",#N/A,FALSE,"ADUANAS"}</definedName>
    <definedName name="TTT" hidden="1">{"CAJA_SET96",#N/A,FALSE,"CAJA3";"ING_CORR_SET96",#N/A,FALSE,"CAJA3";"SUNAT_AD_SET96",#N/A,FALSE,"ADUANAS"}</definedName>
    <definedName name="vddtytjji" localSheetId="28" hidden="1">{"CAJA_SET96",#N/A,FALSE,"CAJA3";"ING_CORR_SET96",#N/A,FALSE,"CAJA3";"SUNAT_AD_SET96",#N/A,FALSE,"ADUANAS"}</definedName>
    <definedName name="vddtytjji" localSheetId="29" hidden="1">{"CAJA_SET96",#N/A,FALSE,"CAJA3";"ING_CORR_SET96",#N/A,FALSE,"CAJA3";"SUNAT_AD_SET96",#N/A,FALSE,"ADUANAS"}</definedName>
    <definedName name="vddtytjji" localSheetId="30" hidden="1">{"CAJA_SET96",#N/A,FALSE,"CAJA3";"ING_CORR_SET96",#N/A,FALSE,"CAJA3";"SUNAT_AD_SET96",#N/A,FALSE,"ADUANAS"}</definedName>
    <definedName name="vddtytjji" localSheetId="31" hidden="1">{"CAJA_SET96",#N/A,FALSE,"CAJA3";"ING_CORR_SET96",#N/A,FALSE,"CAJA3";"SUNAT_AD_SET96",#N/A,FALSE,"ADUANAS"}</definedName>
    <definedName name="vddtytjji" localSheetId="32" hidden="1">{"CAJA_SET96",#N/A,FALSE,"CAJA3";"ING_CORR_SET96",#N/A,FALSE,"CAJA3";"SUNAT_AD_SET96",#N/A,FALSE,"ADUANAS"}</definedName>
    <definedName name="vddtytjji" hidden="1">{"CAJA_SET96",#N/A,FALSE,"CAJA3";"ING_CORR_SET96",#N/A,FALSE,"CAJA3";"SUNAT_AD_SET96",#N/A,FALSE,"ADUANAS"}</definedName>
    <definedName name="VSAT_Cost">#REF!</definedName>
    <definedName name="VSAT_Monthly_Cost">#REF!</definedName>
    <definedName name="W_AP">#REF!</definedName>
    <definedName name="W_DSL">#REF!</definedName>
    <definedName name="W_GSM">#REF!</definedName>
    <definedName name="W_laptop">#REF!</definedName>
    <definedName name="W_large_server">#REF!</definedName>
    <definedName name="W_Other">#REF!</definedName>
    <definedName name="W_small_server">#REF!</definedName>
    <definedName name="W_SW">#REF!</definedName>
    <definedName name="W_VSAT">#REF!</definedName>
    <definedName name="Wind_Generator_Cost">#REF!</definedName>
    <definedName name="wrn.Briefing._.Tables." localSheetId="28" hidden="1">{#N/A,#N/A,TRUE,"Tab_1 Economic Ind.";#N/A,#N/A,TRUE,"Tab_2  Public Sector Op.";#N/A,#N/A,TRUE,"Tab_3";#N/A,#N/A,TRUE,"Tab_4 Monetary";#N/A,#N/A,TRUE,"Tab_5 Medium-Term Outlook";#N/A,#N/A,TRUE,"Tab_6";#N/A,#N/A,TRUE,"Tab_7 Indicators of Ext. Vul."}</definedName>
    <definedName name="wrn.Briefing._.Tables." localSheetId="29" hidden="1">{#N/A,#N/A,TRUE,"Tab_1 Economic Ind.";#N/A,#N/A,TRUE,"Tab_2  Public Sector Op.";#N/A,#N/A,TRUE,"Tab_3";#N/A,#N/A,TRUE,"Tab_4 Monetary";#N/A,#N/A,TRUE,"Tab_5 Medium-Term Outlook";#N/A,#N/A,TRUE,"Tab_6";#N/A,#N/A,TRUE,"Tab_7 Indicators of Ext. Vul."}</definedName>
    <definedName name="wrn.Briefing._.Tables." localSheetId="30" hidden="1">{#N/A,#N/A,TRUE,"Tab_1 Economic Ind.";#N/A,#N/A,TRUE,"Tab_2  Public Sector Op.";#N/A,#N/A,TRUE,"Tab_3";#N/A,#N/A,TRUE,"Tab_4 Monetary";#N/A,#N/A,TRUE,"Tab_5 Medium-Term Outlook";#N/A,#N/A,TRUE,"Tab_6";#N/A,#N/A,TRUE,"Tab_7 Indicators of Ext. Vul."}</definedName>
    <definedName name="wrn.Briefing._.Tables." localSheetId="31" hidden="1">{#N/A,#N/A,TRUE,"Tab_1 Economic Ind.";#N/A,#N/A,TRUE,"Tab_2  Public Sector Op.";#N/A,#N/A,TRUE,"Tab_3";#N/A,#N/A,TRUE,"Tab_4 Monetary";#N/A,#N/A,TRUE,"Tab_5 Medium-Term Outlook";#N/A,#N/A,TRUE,"Tab_6";#N/A,#N/A,TRUE,"Tab_7 Indicators of Ext. Vul."}</definedName>
    <definedName name="wrn.Briefing._.Tables." localSheetId="32"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AJA_AGO96." localSheetId="28" hidden="1">{"SUNAT_AD_AGO96",#N/A,FALSE,"ADUANAS";"CAJA_AGO96",#N/A,FALSE,"CAJA3";"ING_CORR_AGO96",#N/A,FALSE,"CAJA3"}</definedName>
    <definedName name="wrn.CAJA_AGO96." localSheetId="29" hidden="1">{"SUNAT_AD_AGO96",#N/A,FALSE,"ADUANAS";"CAJA_AGO96",#N/A,FALSE,"CAJA3";"ING_CORR_AGO96",#N/A,FALSE,"CAJA3"}</definedName>
    <definedName name="wrn.CAJA_AGO96." localSheetId="30" hidden="1">{"SUNAT_AD_AGO96",#N/A,FALSE,"ADUANAS";"CAJA_AGO96",#N/A,FALSE,"CAJA3";"ING_CORR_AGO96",#N/A,FALSE,"CAJA3"}</definedName>
    <definedName name="wrn.CAJA_AGO96." localSheetId="31" hidden="1">{"SUNAT_AD_AGO96",#N/A,FALSE,"ADUANAS";"CAJA_AGO96",#N/A,FALSE,"CAJA3";"ING_CORR_AGO96",#N/A,FALSE,"CAJA3"}</definedName>
    <definedName name="wrn.CAJA_AGO96." localSheetId="32" hidden="1">{"SUNAT_AD_AGO96",#N/A,FALSE,"ADUANAS";"CAJA_AGO96",#N/A,FALSE,"CAJA3";"ING_CORR_AGO96",#N/A,FALSE,"CAJA3"}</definedName>
    <definedName name="wrn.CAJA_AGO96." hidden="1">{"SUNAT_AD_AGO96",#N/A,FALSE,"ADUANAS";"CAJA_AGO96",#N/A,FALSE,"CAJA3";"ING_CORR_AGO96",#N/A,FALSE,"CAJA3"}</definedName>
    <definedName name="wrn.CAJA_SET96." localSheetId="28" hidden="1">{"CAJA_SET96",#N/A,FALSE,"CAJA3";"ING_CORR_SET96",#N/A,FALSE,"CAJA3";"SUNAT_AD_SET96",#N/A,FALSE,"ADUANAS"}</definedName>
    <definedName name="wrn.CAJA_SET96." localSheetId="29" hidden="1">{"CAJA_SET96",#N/A,FALSE,"CAJA3";"ING_CORR_SET96",#N/A,FALSE,"CAJA3";"SUNAT_AD_SET96",#N/A,FALSE,"ADUANAS"}</definedName>
    <definedName name="wrn.CAJA_SET96." localSheetId="30" hidden="1">{"CAJA_SET96",#N/A,FALSE,"CAJA3";"ING_CORR_SET96",#N/A,FALSE,"CAJA3";"SUNAT_AD_SET96",#N/A,FALSE,"ADUANAS"}</definedName>
    <definedName name="wrn.CAJA_SET96." localSheetId="31" hidden="1">{"CAJA_SET96",#N/A,FALSE,"CAJA3";"ING_CORR_SET96",#N/A,FALSE,"CAJA3";"SUNAT_AD_SET96",#N/A,FALSE,"ADUANAS"}</definedName>
    <definedName name="wrn.CAJA_SET96." localSheetId="32" hidden="1">{"CAJA_SET96",#N/A,FALSE,"CAJA3";"ING_CORR_SET96",#N/A,FALSE,"CAJA3";"SUNAT_AD_SET96",#N/A,FALSE,"ADUANAS"}</definedName>
    <definedName name="wrn.CAJA_SET96." hidden="1">{"CAJA_SET96",#N/A,FALSE,"CAJA3";"ING_CORR_SET96",#N/A,FALSE,"CAJA3";"SUNAT_AD_SET96",#N/A,FALSE,"ADUANAS"}</definedName>
    <definedName name="WTESD" localSheetId="28" hidden="1">{"CAJA_SET96",#N/A,FALSE,"CAJA3";"ING_CORR_SET96",#N/A,FALSE,"CAJA3";"SUNAT_AD_SET96",#N/A,FALSE,"ADUANAS"}</definedName>
    <definedName name="WTESD" localSheetId="29" hidden="1">{"CAJA_SET96",#N/A,FALSE,"CAJA3";"ING_CORR_SET96",#N/A,FALSE,"CAJA3";"SUNAT_AD_SET96",#N/A,FALSE,"ADUANAS"}</definedName>
    <definedName name="WTESD" localSheetId="30" hidden="1">{"CAJA_SET96",#N/A,FALSE,"CAJA3";"ING_CORR_SET96",#N/A,FALSE,"CAJA3";"SUNAT_AD_SET96",#N/A,FALSE,"ADUANAS"}</definedName>
    <definedName name="WTESD" localSheetId="31" hidden="1">{"CAJA_SET96",#N/A,FALSE,"CAJA3";"ING_CORR_SET96",#N/A,FALSE,"CAJA3";"SUNAT_AD_SET96",#N/A,FALSE,"ADUANAS"}</definedName>
    <definedName name="WTESD" localSheetId="32" hidden="1">{"CAJA_SET96",#N/A,FALSE,"CAJA3";"ING_CORR_SET96",#N/A,FALSE,"CAJA3";"SUNAT_AD_SET96",#N/A,FALSE,"ADUANAS"}</definedName>
    <definedName name="WTESD" hidden="1">{"CAJA_SET96",#N/A,FALSE,"CAJA3";"ING_CORR_SET96",#N/A,FALSE,"CAJA3";"SUNAT_AD_SET96",#N/A,FALSE,"ADUANAS"}</definedName>
    <definedName name="XO_Adapter_Efficiency">#REF!</definedName>
    <definedName name="XO_Adapter_Power_Factor">#REF!</definedName>
    <definedName name="XO_Battery_Cost">#REF!</definedName>
    <definedName name="XO_Power_Adapter_Cost">#REF!</definedName>
    <definedName name="XOP_Bundle">#REF!</definedName>
    <definedName name="XOP_Bundle_Cost">#REF!</definedName>
    <definedName name="XOP_Distributed">#REF!</definedName>
    <definedName name="XOP_Distributed_Cost">#REF!</definedName>
    <definedName name="XOP_Distributed_per_Student">#REF!</definedName>
    <definedName name="XOP_Efficiency">#REF!</definedName>
    <definedName name="XOP_Power_Factor">#REF!</definedName>
    <definedName name="XOP_Rack">#REF!</definedName>
    <definedName name="XOP_Rack_per_student">#REF!</definedName>
    <definedName name="XS_Disk_space">#REF!</definedName>
    <definedName name="XS_Mem_per_laptop">#REF!</definedName>
    <definedName name="YTJYTR" localSheetId="28" hidden="1">{"CAJA_SET96",#N/A,FALSE,"CAJA3";"ING_CORR_SET96",#N/A,FALSE,"CAJA3";"SUNAT_AD_SET96",#N/A,FALSE,"ADUANAS"}</definedName>
    <definedName name="YTJYTR" localSheetId="29" hidden="1">{"CAJA_SET96",#N/A,FALSE,"CAJA3";"ING_CORR_SET96",#N/A,FALSE,"CAJA3";"SUNAT_AD_SET96",#N/A,FALSE,"ADUANAS"}</definedName>
    <definedName name="YTJYTR" localSheetId="30" hidden="1">{"CAJA_SET96",#N/A,FALSE,"CAJA3";"ING_CORR_SET96",#N/A,FALSE,"CAJA3";"SUNAT_AD_SET96",#N/A,FALSE,"ADUANAS"}</definedName>
    <definedName name="YTJYTR" localSheetId="31" hidden="1">{"CAJA_SET96",#N/A,FALSE,"CAJA3";"ING_CORR_SET96",#N/A,FALSE,"CAJA3";"SUNAT_AD_SET96",#N/A,FALSE,"ADUANAS"}</definedName>
    <definedName name="YTJYTR" localSheetId="32" hidden="1">{"CAJA_SET96",#N/A,FALSE,"CAJA3";"ING_CORR_SET96",#N/A,FALSE,"CAJA3";"SUNAT_AD_SET96",#N/A,FALSE,"ADUANAS"}</definedName>
    <definedName name="YTJYTR" hidden="1">{"CAJA_SET96",#N/A,FALSE,"CAJA3";"ING_CORR_SET96",#N/A,FALSE,"CAJA3";"SUNAT_AD_SET96",#N/A,FALSE,"ADUANAS"}</definedName>
    <definedName name="yu" localSheetId="30" hidden="1">#REF!</definedName>
    <definedName name="yu" hidden="1">#REF!</definedName>
    <definedName name="zxs" localSheetId="28" hidden="1">{"CAJA_SET96",#N/A,FALSE,"CAJA3";"ING_CORR_SET96",#N/A,FALSE,"CAJA3";"SUNAT_AD_SET96",#N/A,FALSE,"ADUANAS"}</definedName>
    <definedName name="zxs" localSheetId="29" hidden="1">{"CAJA_SET96",#N/A,FALSE,"CAJA3";"ING_CORR_SET96",#N/A,FALSE,"CAJA3";"SUNAT_AD_SET96",#N/A,FALSE,"ADUANAS"}</definedName>
    <definedName name="zxs" localSheetId="30" hidden="1">{"CAJA_SET96",#N/A,FALSE,"CAJA3";"ING_CORR_SET96",#N/A,FALSE,"CAJA3";"SUNAT_AD_SET96",#N/A,FALSE,"ADUANAS"}</definedName>
    <definedName name="zxs" localSheetId="31" hidden="1">{"CAJA_SET96",#N/A,FALSE,"CAJA3";"ING_CORR_SET96",#N/A,FALSE,"CAJA3";"SUNAT_AD_SET96",#N/A,FALSE,"ADUANAS"}</definedName>
    <definedName name="zxs" localSheetId="32" hidden="1">{"CAJA_SET96",#N/A,FALSE,"CAJA3";"ING_CORR_SET96",#N/A,FALSE,"CAJA3";"SUNAT_AD_SET96",#N/A,FALSE,"ADUANAS"}</definedName>
    <definedName name="zxs" hidden="1">{"CAJA_SET96",#N/A,FALSE,"CAJA3";"ING_CORR_SET96",#N/A,FALSE,"CAJA3";"SUNAT_AD_SET96",#N/A,FALSE,"ADUANAS"}</definedName>
  </definedNames>
  <calcPr calcId="171027"/>
  <fileRecoveryPr repairLoad="1"/>
</workbook>
</file>

<file path=xl/calcChain.xml><?xml version="1.0" encoding="utf-8"?>
<calcChain xmlns="http://schemas.openxmlformats.org/spreadsheetml/2006/main">
  <c r="P28" i="19" l="1"/>
  <c r="O28" i="19"/>
  <c r="N28" i="19"/>
  <c r="M28" i="19"/>
  <c r="L28" i="19"/>
  <c r="K28" i="19"/>
  <c r="J28" i="19"/>
  <c r="I28" i="19"/>
  <c r="H28" i="19"/>
  <c r="G28" i="19"/>
  <c r="F28" i="19"/>
  <c r="E28" i="19"/>
  <c r="P27" i="19"/>
  <c r="O27" i="19"/>
  <c r="N27" i="19"/>
  <c r="M27" i="19"/>
  <c r="L27" i="19"/>
  <c r="K27" i="19"/>
  <c r="J27" i="19"/>
  <c r="I27" i="19"/>
  <c r="H27" i="19"/>
  <c r="G27" i="19"/>
  <c r="F27" i="19"/>
  <c r="E27" i="19"/>
  <c r="P26" i="19"/>
  <c r="O26" i="19"/>
  <c r="N26" i="19"/>
  <c r="M26" i="19"/>
  <c r="L26" i="19"/>
  <c r="K26" i="19"/>
  <c r="J26" i="19"/>
  <c r="I26" i="19"/>
  <c r="H26" i="19"/>
  <c r="G26" i="19"/>
  <c r="F26" i="19"/>
  <c r="E26" i="19"/>
  <c r="P25" i="19"/>
  <c r="O25" i="19"/>
  <c r="N25" i="19"/>
  <c r="M25" i="19"/>
  <c r="L25" i="19"/>
  <c r="K25" i="19"/>
  <c r="J25" i="19"/>
  <c r="I25" i="19"/>
  <c r="H25" i="19"/>
  <c r="G25" i="19"/>
  <c r="F25" i="19"/>
  <c r="E25" i="19"/>
  <c r="E38" i="51" l="1"/>
  <c r="C48" i="51" s="1"/>
  <c r="D48" i="51" s="1"/>
  <c r="D193" i="51"/>
  <c r="D194" i="51"/>
  <c r="D195" i="51"/>
  <c r="D196" i="51"/>
  <c r="D197" i="51"/>
  <c r="D198" i="51"/>
  <c r="D199" i="51"/>
  <c r="D200" i="51"/>
  <c r="D201" i="51"/>
  <c r="D202" i="51"/>
  <c r="D203" i="51"/>
  <c r="D204" i="51"/>
  <c r="D205" i="51"/>
  <c r="D206" i="51"/>
  <c r="D207" i="51"/>
  <c r="D208" i="51"/>
  <c r="D209" i="51"/>
  <c r="D210" i="51"/>
  <c r="D211" i="51"/>
  <c r="D212" i="51"/>
  <c r="D213" i="51"/>
  <c r="D214" i="51"/>
  <c r="D215" i="51"/>
  <c r="D216" i="51"/>
  <c r="D217" i="51"/>
  <c r="D218" i="51"/>
  <c r="D219" i="51"/>
  <c r="D220" i="51"/>
  <c r="D221" i="51"/>
  <c r="D222" i="51"/>
  <c r="D223" i="51"/>
  <c r="D224" i="51"/>
  <c r="D225" i="51"/>
  <c r="D226" i="51"/>
  <c r="D227" i="51"/>
  <c r="D228" i="51"/>
  <c r="D229" i="51"/>
  <c r="D230" i="51"/>
  <c r="D231" i="51"/>
  <c r="D232" i="51"/>
  <c r="D233" i="51"/>
  <c r="D234" i="51"/>
  <c r="D235" i="51"/>
  <c r="D236" i="51"/>
  <c r="D237" i="51"/>
  <c r="D238" i="51"/>
  <c r="D239" i="51"/>
  <c r="D240" i="51"/>
  <c r="D241" i="51"/>
  <c r="D242" i="51"/>
  <c r="D243" i="51"/>
  <c r="D244" i="51"/>
  <c r="D245" i="51"/>
  <c r="D246" i="51"/>
  <c r="D247" i="51"/>
  <c r="D248" i="51"/>
  <c r="D249" i="51"/>
  <c r="D250" i="51"/>
  <c r="D251" i="51"/>
  <c r="D252" i="51"/>
  <c r="D253" i="51"/>
  <c r="D254" i="51"/>
  <c r="D255" i="51"/>
  <c r="D256" i="51"/>
  <c r="D257" i="51"/>
  <c r="D258" i="51"/>
  <c r="D259" i="51"/>
  <c r="D260" i="51"/>
  <c r="D261" i="51"/>
  <c r="D262" i="51"/>
  <c r="D263" i="51"/>
  <c r="D264" i="51"/>
  <c r="D265" i="51"/>
  <c r="D266" i="51"/>
  <c r="D267" i="51"/>
  <c r="D268" i="51"/>
  <c r="D269" i="51"/>
  <c r="D270" i="51"/>
  <c r="D271" i="51"/>
  <c r="D272" i="51"/>
  <c r="D273" i="51"/>
  <c r="D274" i="51"/>
  <c r="D275" i="51"/>
  <c r="D276" i="51"/>
  <c r="D277" i="51"/>
  <c r="D278" i="51"/>
  <c r="D279" i="51"/>
  <c r="D280" i="51"/>
  <c r="D281" i="51"/>
  <c r="D282" i="51"/>
  <c r="D283" i="51"/>
  <c r="D284" i="51"/>
  <c r="D285" i="51"/>
  <c r="D286" i="51"/>
  <c r="D287" i="51"/>
  <c r="D288" i="51"/>
  <c r="D289" i="51"/>
  <c r="D290" i="51"/>
  <c r="D291" i="51"/>
  <c r="D292" i="51"/>
  <c r="D293" i="51"/>
  <c r="D294" i="51"/>
  <c r="D295" i="51"/>
  <c r="D296" i="51"/>
  <c r="D297" i="51"/>
  <c r="D298" i="51"/>
  <c r="D299" i="51"/>
  <c r="D300" i="51"/>
  <c r="D301" i="51"/>
  <c r="D302" i="51"/>
  <c r="D303" i="51"/>
  <c r="D304" i="51"/>
  <c r="D305" i="51"/>
  <c r="D306" i="51"/>
  <c r="D307" i="51"/>
  <c r="D308" i="51"/>
  <c r="D309" i="51"/>
  <c r="D310" i="51"/>
  <c r="D311" i="51"/>
  <c r="D312" i="51"/>
  <c r="D313" i="51"/>
  <c r="D314" i="51"/>
  <c r="D315" i="51"/>
  <c r="D316" i="51"/>
  <c r="D317" i="51"/>
  <c r="D318" i="51"/>
  <c r="D319" i="51"/>
  <c r="D320" i="51"/>
  <c r="D321" i="51"/>
  <c r="D322" i="51"/>
  <c r="D323" i="51"/>
  <c r="D324" i="51"/>
  <c r="D325" i="51"/>
  <c r="D326" i="51"/>
  <c r="D327" i="51"/>
  <c r="D328" i="51"/>
  <c r="D329" i="51"/>
  <c r="D330" i="51"/>
  <c r="D331" i="51"/>
  <c r="D332" i="51"/>
  <c r="D333" i="51"/>
  <c r="D334" i="51"/>
  <c r="D335" i="51"/>
  <c r="D336" i="51"/>
  <c r="D337" i="51"/>
  <c r="D338" i="51"/>
  <c r="D339" i="51"/>
  <c r="D340" i="51"/>
  <c r="D341" i="51"/>
  <c r="D342" i="51"/>
  <c r="D343" i="51"/>
  <c r="D344" i="51"/>
  <c r="D345" i="51"/>
  <c r="D346" i="51"/>
  <c r="D347" i="51"/>
  <c r="D348" i="51"/>
  <c r="D349" i="51"/>
  <c r="D350" i="51"/>
  <c r="D351" i="51"/>
  <c r="D352" i="51"/>
  <c r="D353" i="51"/>
  <c r="D354" i="51"/>
  <c r="D355" i="51"/>
  <c r="D356" i="51"/>
  <c r="D357" i="51"/>
  <c r="D358" i="51"/>
  <c r="D359" i="51"/>
  <c r="D360" i="51"/>
  <c r="D361" i="51"/>
  <c r="D362" i="51"/>
  <c r="D363" i="51"/>
  <c r="D364" i="51"/>
  <c r="D365" i="51"/>
  <c r="D366" i="51"/>
  <c r="D367" i="51"/>
  <c r="D368" i="51"/>
  <c r="D369" i="51"/>
  <c r="D370" i="51"/>
  <c r="D371" i="51"/>
  <c r="D372" i="51"/>
  <c r="D373" i="51"/>
  <c r="D374" i="51"/>
  <c r="D375" i="51"/>
  <c r="D376" i="51"/>
  <c r="D377" i="51"/>
  <c r="D378" i="51"/>
  <c r="D379" i="51"/>
  <c r="D380" i="51"/>
  <c r="D381" i="51"/>
  <c r="D382" i="51"/>
  <c r="D383" i="51"/>
  <c r="D384" i="51"/>
  <c r="D385" i="51"/>
  <c r="D386" i="51"/>
  <c r="D387" i="51"/>
  <c r="D388" i="51"/>
  <c r="D389" i="51"/>
  <c r="D390" i="51"/>
  <c r="D391" i="51"/>
  <c r="D392" i="51"/>
  <c r="D393" i="51"/>
  <c r="D394" i="51"/>
  <c r="D395" i="51"/>
  <c r="D396" i="51"/>
  <c r="D397" i="51"/>
  <c r="D398" i="51"/>
  <c r="D399" i="51"/>
  <c r="D400" i="51"/>
  <c r="D401" i="51"/>
  <c r="D402" i="51"/>
  <c r="D403" i="51"/>
  <c r="D404" i="51"/>
  <c r="D405" i="51"/>
  <c r="D406" i="51"/>
  <c r="D407" i="51"/>
  <c r="D408" i="51"/>
  <c r="D409" i="51"/>
  <c r="D410" i="51"/>
  <c r="D411" i="51"/>
  <c r="D412" i="51"/>
  <c r="D413" i="51"/>
  <c r="D414" i="51"/>
  <c r="D415" i="51"/>
  <c r="D416" i="51"/>
  <c r="D417" i="51"/>
  <c r="D418" i="51"/>
  <c r="D419" i="51"/>
  <c r="D420" i="51"/>
  <c r="D421" i="51"/>
  <c r="D422" i="51"/>
  <c r="D423" i="51"/>
  <c r="D424" i="51"/>
  <c r="D425" i="51"/>
  <c r="D426" i="51"/>
  <c r="D427" i="51"/>
  <c r="D428" i="51"/>
  <c r="D429" i="51"/>
  <c r="D430" i="51"/>
  <c r="D431" i="51"/>
  <c r="D432" i="51"/>
  <c r="D433" i="51"/>
  <c r="D434" i="51"/>
  <c r="D435" i="51"/>
  <c r="D436" i="51"/>
  <c r="D437" i="51"/>
  <c r="D438" i="51"/>
  <c r="D439" i="51"/>
  <c r="D440" i="51"/>
  <c r="D441" i="51"/>
  <c r="D442" i="51"/>
  <c r="D443" i="51"/>
  <c r="D444" i="51"/>
  <c r="D445" i="51"/>
  <c r="D446" i="51"/>
  <c r="D447" i="51"/>
  <c r="D448" i="51"/>
  <c r="D449" i="51"/>
  <c r="D450" i="51"/>
  <c r="D451" i="51"/>
  <c r="D452" i="51"/>
  <c r="D453" i="51"/>
  <c r="D454" i="51"/>
  <c r="D455" i="51"/>
  <c r="D456" i="51"/>
  <c r="D457" i="51"/>
  <c r="D458" i="51"/>
  <c r="D459" i="51"/>
  <c r="D460" i="51"/>
  <c r="D461" i="51"/>
  <c r="D462" i="51"/>
  <c r="D463" i="51"/>
  <c r="D464" i="51"/>
  <c r="D465" i="51"/>
  <c r="D466" i="51"/>
  <c r="D467" i="51"/>
  <c r="D468" i="51"/>
  <c r="D469" i="51"/>
  <c r="D470" i="51"/>
  <c r="D471" i="51"/>
  <c r="D472" i="51"/>
  <c r="D473" i="51"/>
  <c r="D474" i="51"/>
  <c r="D475" i="51"/>
  <c r="D476" i="51"/>
  <c r="D477" i="51"/>
  <c r="D478" i="51"/>
  <c r="D479" i="51"/>
  <c r="D480" i="51"/>
  <c r="D481" i="51"/>
  <c r="D482" i="51"/>
  <c r="D483" i="51"/>
  <c r="D484" i="51"/>
  <c r="D485" i="51"/>
  <c r="D486" i="51"/>
  <c r="D487" i="51"/>
  <c r="D488" i="51"/>
  <c r="D489" i="51"/>
  <c r="D490" i="51"/>
  <c r="D491" i="51"/>
  <c r="D492" i="51"/>
  <c r="D493" i="51"/>
  <c r="D494" i="51"/>
  <c r="D495" i="51"/>
  <c r="D496" i="51"/>
  <c r="D497" i="51"/>
  <c r="D498" i="51"/>
  <c r="D499" i="51"/>
  <c r="D500" i="51"/>
  <c r="D501" i="51"/>
  <c r="D502" i="51"/>
  <c r="D503" i="51"/>
  <c r="D504" i="51"/>
  <c r="D505" i="51"/>
  <c r="D506" i="51"/>
  <c r="D507" i="51"/>
  <c r="D508" i="51"/>
  <c r="D509" i="51"/>
  <c r="D510" i="51"/>
  <c r="D511" i="51"/>
  <c r="D512" i="51"/>
  <c r="D513" i="51"/>
  <c r="D514" i="51"/>
  <c r="D515" i="51"/>
  <c r="D516" i="51"/>
  <c r="D517" i="51"/>
  <c r="D518" i="51"/>
  <c r="D519" i="51"/>
  <c r="D520" i="51"/>
  <c r="D521" i="51"/>
  <c r="D522" i="51"/>
  <c r="D523" i="51"/>
  <c r="D524" i="51"/>
  <c r="D525" i="51"/>
  <c r="D526" i="51"/>
  <c r="D527" i="51"/>
  <c r="D528" i="51"/>
  <c r="D529" i="51"/>
  <c r="D530" i="51"/>
  <c r="D531" i="51"/>
  <c r="D532" i="51"/>
  <c r="D533" i="51"/>
  <c r="D534" i="51"/>
  <c r="D535" i="51"/>
  <c r="D536" i="51"/>
  <c r="D537" i="51"/>
  <c r="D538" i="51"/>
  <c r="D539" i="51"/>
  <c r="D540" i="51"/>
  <c r="D541" i="51"/>
  <c r="D542" i="51"/>
  <c r="D543" i="51"/>
  <c r="D544" i="51"/>
  <c r="D545" i="51"/>
  <c r="D546" i="51"/>
  <c r="D547" i="51"/>
  <c r="D548" i="51"/>
  <c r="D549" i="51"/>
  <c r="D550" i="51"/>
  <c r="D551" i="51"/>
  <c r="D552" i="51"/>
  <c r="D553" i="51"/>
  <c r="D554" i="51"/>
  <c r="D555" i="51"/>
  <c r="D556" i="51"/>
  <c r="D557" i="51"/>
  <c r="D558" i="51"/>
  <c r="D559" i="51"/>
  <c r="D560" i="51"/>
  <c r="D561" i="51"/>
  <c r="D562" i="51"/>
  <c r="D563" i="51"/>
  <c r="D564" i="51"/>
  <c r="D565" i="51"/>
  <c r="D566" i="51"/>
  <c r="D567" i="51"/>
  <c r="D568" i="51"/>
  <c r="D569" i="51"/>
  <c r="D570" i="51"/>
  <c r="D571" i="51"/>
  <c r="D572" i="51"/>
  <c r="D573" i="51"/>
  <c r="D574" i="51"/>
  <c r="D575" i="51"/>
  <c r="D576" i="51"/>
  <c r="D577" i="51"/>
  <c r="D578" i="51"/>
  <c r="D579" i="51"/>
  <c r="D580" i="51"/>
  <c r="D581" i="51"/>
  <c r="D582" i="51"/>
  <c r="D583" i="51"/>
  <c r="D584" i="51"/>
  <c r="D585" i="51"/>
  <c r="D586" i="51"/>
  <c r="D587" i="51"/>
  <c r="D588" i="51"/>
  <c r="D589" i="51"/>
  <c r="D590" i="51"/>
  <c r="D591" i="51"/>
  <c r="D592" i="51"/>
  <c r="D593" i="51"/>
  <c r="D594" i="51"/>
  <c r="D595" i="51"/>
  <c r="D596" i="51"/>
  <c r="D597" i="51"/>
  <c r="D598" i="51"/>
  <c r="D599" i="51"/>
  <c r="D600" i="51"/>
  <c r="D601" i="51"/>
  <c r="D602" i="51"/>
  <c r="D603" i="51"/>
  <c r="D604" i="51"/>
  <c r="D605" i="51"/>
  <c r="D606" i="51"/>
  <c r="D607" i="51"/>
  <c r="D608" i="51"/>
  <c r="D609" i="51"/>
  <c r="D610" i="51"/>
  <c r="D611" i="51"/>
  <c r="D612" i="51"/>
  <c r="D613" i="51"/>
  <c r="D614" i="51"/>
  <c r="D615" i="51"/>
  <c r="D616" i="51"/>
  <c r="D617" i="51"/>
  <c r="D618" i="51"/>
  <c r="D619" i="51"/>
  <c r="D620" i="51"/>
  <c r="D621" i="51"/>
  <c r="D622" i="51"/>
  <c r="D623" i="51"/>
  <c r="D624" i="51"/>
  <c r="D625" i="51"/>
  <c r="D626" i="51"/>
  <c r="D627" i="51"/>
  <c r="D628" i="51"/>
  <c r="D629" i="51"/>
  <c r="D630" i="51"/>
  <c r="D631" i="51"/>
  <c r="D632" i="51"/>
  <c r="D633" i="51"/>
  <c r="D634" i="51"/>
  <c r="D635" i="51"/>
  <c r="D636" i="51"/>
  <c r="D637" i="51"/>
  <c r="D638" i="51"/>
  <c r="D639" i="51"/>
  <c r="D640" i="51"/>
  <c r="D641" i="51"/>
  <c r="D642" i="51"/>
  <c r="D643" i="51"/>
  <c r="D644" i="51"/>
  <c r="D645" i="51"/>
  <c r="D646" i="51"/>
  <c r="D647" i="51"/>
  <c r="D648" i="51"/>
  <c r="D649" i="51"/>
  <c r="D650" i="51"/>
  <c r="D651" i="51"/>
  <c r="D652" i="51"/>
  <c r="D653" i="51"/>
  <c r="D654" i="51"/>
  <c r="D655" i="51"/>
  <c r="D656" i="51"/>
  <c r="D657" i="51"/>
  <c r="D658" i="51"/>
  <c r="D659" i="51"/>
  <c r="D660" i="51"/>
  <c r="D661" i="51"/>
  <c r="D662" i="51"/>
  <c r="D663" i="51"/>
  <c r="D664" i="51"/>
  <c r="D665" i="51"/>
  <c r="D666" i="51"/>
  <c r="D667" i="51"/>
  <c r="D668" i="51"/>
  <c r="D669" i="51"/>
  <c r="D670" i="51"/>
  <c r="D671" i="51"/>
  <c r="D672" i="51"/>
  <c r="D673" i="51"/>
  <c r="D674" i="51"/>
  <c r="D675" i="51"/>
  <c r="D676" i="51"/>
  <c r="D677" i="51"/>
  <c r="D678" i="51"/>
  <c r="D679" i="51"/>
  <c r="D680" i="51"/>
  <c r="D681" i="51"/>
  <c r="D682" i="51"/>
  <c r="D683" i="51"/>
  <c r="D684" i="51"/>
  <c r="D685" i="51"/>
  <c r="D686" i="51"/>
  <c r="D687" i="51"/>
  <c r="D688" i="51"/>
  <c r="D689" i="51"/>
  <c r="D690" i="51"/>
  <c r="D691" i="51"/>
  <c r="D692" i="51"/>
  <c r="D693" i="51"/>
  <c r="D694" i="51"/>
  <c r="D695" i="51"/>
  <c r="D696" i="51"/>
  <c r="D697" i="51"/>
  <c r="D698" i="51"/>
  <c r="D699" i="51"/>
  <c r="D700" i="51"/>
  <c r="D701" i="51"/>
  <c r="D702" i="51"/>
  <c r="D703" i="51"/>
  <c r="D704" i="51"/>
  <c r="D705" i="51"/>
  <c r="D706" i="51"/>
  <c r="D707" i="51"/>
  <c r="D708" i="51"/>
  <c r="D709" i="51"/>
  <c r="D710" i="51"/>
  <c r="D711" i="51"/>
  <c r="D712" i="51"/>
  <c r="D713" i="51"/>
  <c r="D714" i="51"/>
  <c r="D715" i="51"/>
  <c r="D716" i="51"/>
  <c r="D717" i="51"/>
  <c r="D718" i="51"/>
  <c r="D719" i="51"/>
  <c r="D720" i="51"/>
  <c r="D721" i="51"/>
  <c r="D722" i="51"/>
  <c r="D723" i="51"/>
  <c r="D724" i="51"/>
  <c r="D725" i="51"/>
  <c r="D726" i="51"/>
  <c r="D727" i="51"/>
  <c r="D728" i="51"/>
  <c r="D729" i="51"/>
  <c r="D730" i="51"/>
  <c r="D731" i="51"/>
  <c r="D732" i="51"/>
  <c r="D733" i="51"/>
  <c r="D734" i="51"/>
  <c r="D735" i="51"/>
  <c r="D736" i="51"/>
  <c r="D737" i="51"/>
  <c r="D738" i="51"/>
  <c r="D739" i="51"/>
  <c r="D740" i="51"/>
  <c r="D741" i="51"/>
  <c r="D742" i="51"/>
  <c r="D743" i="51"/>
  <c r="D744" i="51"/>
  <c r="D745" i="51"/>
  <c r="D746" i="51"/>
  <c r="D747" i="51"/>
  <c r="D748" i="51"/>
  <c r="D749" i="51"/>
  <c r="D750" i="51"/>
  <c r="D751" i="51"/>
  <c r="D752" i="51"/>
  <c r="D753" i="51"/>
  <c r="D754" i="51"/>
  <c r="D755" i="51"/>
  <c r="D756" i="51"/>
  <c r="D757" i="51"/>
  <c r="D758" i="51"/>
  <c r="D759" i="51"/>
  <c r="D760" i="51"/>
  <c r="D761" i="51"/>
  <c r="D762" i="51"/>
  <c r="D763" i="51"/>
  <c r="D764" i="51"/>
  <c r="D765" i="51"/>
  <c r="D766" i="51"/>
  <c r="D767" i="51"/>
  <c r="D768" i="51"/>
  <c r="D769" i="51"/>
  <c r="D770" i="51"/>
  <c r="D771" i="51"/>
  <c r="D772" i="51"/>
  <c r="D773" i="51"/>
  <c r="D774" i="51"/>
  <c r="D775" i="51"/>
  <c r="D776" i="51"/>
  <c r="D777" i="51"/>
  <c r="D778" i="51"/>
  <c r="D779" i="51"/>
  <c r="D780" i="51"/>
  <c r="D781" i="51"/>
  <c r="D782" i="51"/>
  <c r="D783" i="51"/>
  <c r="D784" i="51"/>
  <c r="D785" i="51"/>
  <c r="D786" i="51"/>
  <c r="D787" i="51"/>
  <c r="D788" i="51"/>
  <c r="D789" i="51"/>
  <c r="D790" i="51"/>
  <c r="D791" i="51"/>
  <c r="D792" i="51"/>
  <c r="D793" i="51"/>
  <c r="D794" i="51"/>
  <c r="D795" i="51"/>
  <c r="D796" i="51"/>
  <c r="D797" i="51"/>
  <c r="D798" i="51"/>
  <c r="D799" i="51"/>
  <c r="D800" i="51"/>
  <c r="D801" i="51"/>
  <c r="D802" i="51"/>
  <c r="D803" i="51"/>
  <c r="D804" i="51"/>
  <c r="D805" i="51"/>
  <c r="D806" i="51"/>
  <c r="D807" i="51"/>
  <c r="D808" i="51"/>
  <c r="D809" i="51"/>
  <c r="D810" i="51"/>
  <c r="D811" i="51"/>
  <c r="D812" i="51"/>
  <c r="D813" i="51"/>
  <c r="D814" i="51"/>
  <c r="D815" i="51"/>
  <c r="D816" i="51"/>
  <c r="D817" i="51"/>
  <c r="D818" i="51"/>
  <c r="D819" i="51"/>
  <c r="D820" i="51"/>
  <c r="D821" i="51"/>
  <c r="D822" i="51"/>
  <c r="D823" i="51"/>
  <c r="D824" i="51"/>
  <c r="D825" i="51"/>
  <c r="D826" i="51"/>
  <c r="D827" i="51"/>
  <c r="D828" i="51"/>
  <c r="D829" i="51"/>
  <c r="D830" i="51"/>
  <c r="D831" i="51"/>
  <c r="D832" i="51"/>
  <c r="D833" i="51"/>
  <c r="D834" i="51"/>
  <c r="D835" i="51"/>
  <c r="D836" i="51"/>
  <c r="D837" i="51"/>
  <c r="D838" i="51"/>
  <c r="D839" i="51"/>
  <c r="D840" i="51"/>
  <c r="D841" i="51"/>
  <c r="D842" i="51"/>
  <c r="D843" i="51"/>
  <c r="D844" i="51"/>
  <c r="D845" i="51"/>
  <c r="D846" i="51"/>
  <c r="D847" i="51"/>
  <c r="D848" i="51"/>
  <c r="D849" i="51"/>
  <c r="D850" i="51"/>
  <c r="D851" i="51"/>
  <c r="D852" i="51"/>
  <c r="D853" i="51"/>
  <c r="D854" i="51"/>
  <c r="D855" i="51"/>
  <c r="D856" i="51"/>
  <c r="D857" i="51"/>
  <c r="D858" i="51"/>
  <c r="D859" i="51"/>
  <c r="D860" i="51"/>
  <c r="D861" i="51"/>
  <c r="D862" i="51"/>
  <c r="D863" i="51"/>
  <c r="D864" i="51"/>
  <c r="D865" i="51"/>
  <c r="D866" i="51"/>
  <c r="D867" i="51"/>
  <c r="D868" i="51"/>
  <c r="D869" i="51"/>
  <c r="D870" i="51"/>
  <c r="D871" i="51"/>
  <c r="D872" i="51"/>
  <c r="D873" i="51"/>
  <c r="D874" i="51"/>
  <c r="D875" i="51"/>
  <c r="D876" i="51"/>
  <c r="D877" i="51"/>
  <c r="D878" i="51"/>
  <c r="D879" i="51"/>
  <c r="D880" i="51"/>
  <c r="D881" i="51"/>
  <c r="D882" i="51"/>
  <c r="D883" i="51"/>
  <c r="D884" i="51"/>
  <c r="D885" i="51"/>
  <c r="D886" i="51"/>
  <c r="D887" i="51"/>
  <c r="D888" i="51"/>
  <c r="D889" i="51"/>
  <c r="D890" i="51"/>
  <c r="D891" i="51"/>
  <c r="D892" i="51"/>
  <c r="D893" i="51"/>
  <c r="D894" i="51"/>
  <c r="D895" i="51"/>
  <c r="D896" i="51"/>
  <c r="D897" i="51"/>
  <c r="D898" i="51"/>
  <c r="D899" i="51"/>
  <c r="D900" i="51"/>
  <c r="D901" i="51"/>
  <c r="D902" i="51"/>
  <c r="D192" i="51"/>
  <c r="D191" i="51"/>
  <c r="D190" i="51"/>
  <c r="D189" i="51"/>
  <c r="D188" i="51"/>
  <c r="D187" i="51"/>
  <c r="D186" i="51"/>
  <c r="D185" i="51"/>
  <c r="D184" i="51"/>
  <c r="D183" i="51"/>
  <c r="D182" i="51"/>
  <c r="D181" i="51"/>
  <c r="D180" i="51"/>
  <c r="D179" i="51"/>
  <c r="D178" i="51"/>
  <c r="D177" i="51"/>
  <c r="D176" i="51"/>
  <c r="D175" i="51"/>
  <c r="D174" i="51"/>
  <c r="D173" i="51"/>
  <c r="D172" i="51"/>
  <c r="D171" i="51"/>
  <c r="D170" i="51"/>
  <c r="D169" i="51"/>
  <c r="D168" i="51"/>
  <c r="D167" i="51"/>
  <c r="D166" i="51"/>
  <c r="D165" i="51"/>
  <c r="D164" i="51"/>
  <c r="D163" i="51"/>
  <c r="D162" i="51"/>
  <c r="D161" i="51"/>
  <c r="D160" i="51"/>
  <c r="D159" i="51"/>
  <c r="D158" i="51"/>
  <c r="D157" i="51"/>
  <c r="D156" i="51"/>
  <c r="D155" i="51"/>
  <c r="D154" i="51"/>
  <c r="D153" i="51"/>
  <c r="D152" i="51"/>
  <c r="D151" i="51"/>
  <c r="D150" i="51"/>
  <c r="D149" i="51"/>
  <c r="D148" i="51"/>
  <c r="D147" i="51"/>
  <c r="D146" i="51"/>
  <c r="D145" i="51"/>
  <c r="D144" i="51"/>
  <c r="D143" i="51"/>
  <c r="D142" i="51"/>
  <c r="D141" i="51"/>
  <c r="D140" i="51"/>
  <c r="D139" i="51"/>
  <c r="D138" i="51"/>
  <c r="D137" i="51"/>
  <c r="D136" i="51"/>
  <c r="D135" i="51"/>
  <c r="D134" i="51"/>
  <c r="D133" i="51"/>
  <c r="D132" i="51"/>
  <c r="D131" i="51"/>
  <c r="D130" i="51"/>
  <c r="D129" i="51"/>
  <c r="D128" i="51"/>
  <c r="D127" i="51"/>
  <c r="D126" i="51"/>
  <c r="D125" i="51"/>
  <c r="D124" i="51"/>
  <c r="D123" i="51"/>
  <c r="D122" i="51"/>
  <c r="C109" i="51" l="1"/>
  <c r="D109" i="51" s="1"/>
  <c r="Y109" i="51" s="1"/>
  <c r="C81" i="51"/>
  <c r="D81" i="51" s="1"/>
  <c r="H81" i="51" s="1"/>
  <c r="C103" i="51"/>
  <c r="D103" i="51" s="1"/>
  <c r="W103" i="51" s="1"/>
  <c r="C66" i="51"/>
  <c r="D66" i="51" s="1"/>
  <c r="I66" i="51" s="1"/>
  <c r="C93" i="51"/>
  <c r="D93" i="51" s="1"/>
  <c r="Y93" i="51" s="1"/>
  <c r="C60" i="51"/>
  <c r="D60" i="51" s="1"/>
  <c r="X60" i="51" s="1"/>
  <c r="C114" i="51"/>
  <c r="D114" i="51" s="1"/>
  <c r="K114" i="51" s="1"/>
  <c r="C87" i="51"/>
  <c r="D87" i="51" s="1"/>
  <c r="F87" i="51" s="1"/>
  <c r="C53" i="51"/>
  <c r="D53" i="51" s="1"/>
  <c r="Y53" i="51" s="1"/>
  <c r="C98" i="51"/>
  <c r="D98" i="51" s="1"/>
  <c r="H98" i="51" s="1"/>
  <c r="C74" i="51"/>
  <c r="D74" i="51" s="1"/>
  <c r="L114" i="51"/>
  <c r="G114" i="51"/>
  <c r="V114" i="51"/>
  <c r="T114" i="51"/>
  <c r="X114" i="51"/>
  <c r="S114" i="51"/>
  <c r="F48" i="51"/>
  <c r="I48" i="51"/>
  <c r="N48" i="51"/>
  <c r="G48" i="51"/>
  <c r="H48" i="51"/>
  <c r="M48" i="51"/>
  <c r="Q48" i="51"/>
  <c r="K48" i="51"/>
  <c r="R48" i="51"/>
  <c r="L48" i="51"/>
  <c r="S48" i="51"/>
  <c r="V48" i="51"/>
  <c r="T48" i="51"/>
  <c r="W48" i="51"/>
  <c r="Y48" i="51"/>
  <c r="X48" i="51"/>
  <c r="I98" i="51"/>
  <c r="L98" i="51"/>
  <c r="V98" i="51"/>
  <c r="W98" i="51"/>
  <c r="F66" i="51"/>
  <c r="L66" i="51"/>
  <c r="H66" i="51"/>
  <c r="K66" i="51"/>
  <c r="T66" i="51"/>
  <c r="G66" i="51"/>
  <c r="N66" i="51"/>
  <c r="V66" i="51"/>
  <c r="R66" i="51"/>
  <c r="M66" i="51"/>
  <c r="W66" i="51"/>
  <c r="X66" i="51"/>
  <c r="I87" i="51"/>
  <c r="K87" i="51"/>
  <c r="Q87" i="51"/>
  <c r="M87" i="51"/>
  <c r="H87" i="51"/>
  <c r="L87" i="51"/>
  <c r="T87" i="51"/>
  <c r="Y87" i="51"/>
  <c r="R87" i="51"/>
  <c r="G87" i="51"/>
  <c r="W87" i="51"/>
  <c r="S87" i="51"/>
  <c r="I81" i="51"/>
  <c r="Q81" i="51"/>
  <c r="R81" i="51"/>
  <c r="W81" i="51"/>
  <c r="C46" i="51"/>
  <c r="D46" i="51" s="1"/>
  <c r="C111" i="51"/>
  <c r="D111" i="51" s="1"/>
  <c r="C106" i="51"/>
  <c r="D106" i="51" s="1"/>
  <c r="C101" i="51"/>
  <c r="D101" i="51" s="1"/>
  <c r="C95" i="51"/>
  <c r="D95" i="51" s="1"/>
  <c r="C90" i="51"/>
  <c r="D90" i="51" s="1"/>
  <c r="C85" i="51"/>
  <c r="D85" i="51" s="1"/>
  <c r="C77" i="51"/>
  <c r="D77" i="51" s="1"/>
  <c r="C70" i="51"/>
  <c r="D70" i="51" s="1"/>
  <c r="C56" i="51"/>
  <c r="D56" i="51" s="1"/>
  <c r="C49" i="51"/>
  <c r="D49" i="51" s="1"/>
  <c r="R109" i="51"/>
  <c r="S103" i="51"/>
  <c r="C115" i="51"/>
  <c r="D115" i="51" s="1"/>
  <c r="C110" i="51"/>
  <c r="D110" i="51" s="1"/>
  <c r="C105" i="51"/>
  <c r="D105" i="51" s="1"/>
  <c r="C99" i="51"/>
  <c r="D99" i="51" s="1"/>
  <c r="C94" i="51"/>
  <c r="D94" i="51" s="1"/>
  <c r="C89" i="51"/>
  <c r="D89" i="51" s="1"/>
  <c r="C82" i="51"/>
  <c r="D82" i="51" s="1"/>
  <c r="C76" i="51"/>
  <c r="D76" i="51" s="1"/>
  <c r="C69" i="51"/>
  <c r="D69" i="51" s="1"/>
  <c r="C61" i="51"/>
  <c r="D61" i="51" s="1"/>
  <c r="C54" i="51"/>
  <c r="D54" i="51" s="1"/>
  <c r="N53" i="51"/>
  <c r="G53" i="51"/>
  <c r="H53" i="51"/>
  <c r="L53" i="51"/>
  <c r="T53" i="51"/>
  <c r="R53" i="51"/>
  <c r="X53" i="51"/>
  <c r="F60" i="51"/>
  <c r="M60" i="51"/>
  <c r="G60" i="51"/>
  <c r="W60" i="51"/>
  <c r="I74" i="51"/>
  <c r="H74" i="51"/>
  <c r="K74" i="51"/>
  <c r="Q74" i="51"/>
  <c r="L74" i="51"/>
  <c r="M74" i="51"/>
  <c r="F74" i="51"/>
  <c r="G74" i="51"/>
  <c r="S74" i="51"/>
  <c r="V74" i="51"/>
  <c r="R74" i="51"/>
  <c r="X74" i="51"/>
  <c r="T74" i="51"/>
  <c r="Y74" i="51"/>
  <c r="N74" i="51"/>
  <c r="W74" i="51"/>
  <c r="C47" i="51"/>
  <c r="D47" i="51" s="1"/>
  <c r="C51" i="51"/>
  <c r="D51" i="51" s="1"/>
  <c r="C55" i="51"/>
  <c r="D55" i="51" s="1"/>
  <c r="C59" i="51"/>
  <c r="D59" i="51" s="1"/>
  <c r="C63" i="51"/>
  <c r="D63" i="51" s="1"/>
  <c r="C67" i="51"/>
  <c r="D67" i="51" s="1"/>
  <c r="C71" i="51"/>
  <c r="D71" i="51" s="1"/>
  <c r="C75" i="51"/>
  <c r="D75" i="51" s="1"/>
  <c r="C79" i="51"/>
  <c r="D79" i="51" s="1"/>
  <c r="C83" i="51"/>
  <c r="D83" i="51" s="1"/>
  <c r="C52" i="51"/>
  <c r="D52" i="51" s="1"/>
  <c r="C57" i="51"/>
  <c r="D57" i="51" s="1"/>
  <c r="C62" i="51"/>
  <c r="D62" i="51" s="1"/>
  <c r="C68" i="51"/>
  <c r="D68" i="51" s="1"/>
  <c r="C73" i="51"/>
  <c r="D73" i="51" s="1"/>
  <c r="C78" i="51"/>
  <c r="D78" i="51" s="1"/>
  <c r="C84" i="51"/>
  <c r="D84" i="51" s="1"/>
  <c r="C88" i="51"/>
  <c r="D88" i="51" s="1"/>
  <c r="C92" i="51"/>
  <c r="D92" i="51" s="1"/>
  <c r="C96" i="51"/>
  <c r="D96" i="51" s="1"/>
  <c r="C100" i="51"/>
  <c r="D100" i="51" s="1"/>
  <c r="C104" i="51"/>
  <c r="D104" i="51" s="1"/>
  <c r="C108" i="51"/>
  <c r="D108" i="51" s="1"/>
  <c r="C112" i="51"/>
  <c r="D112" i="51" s="1"/>
  <c r="C116" i="51"/>
  <c r="D116" i="51" s="1"/>
  <c r="C113" i="51"/>
  <c r="D113" i="51" s="1"/>
  <c r="C107" i="51"/>
  <c r="D107" i="51" s="1"/>
  <c r="C102" i="51"/>
  <c r="D102" i="51" s="1"/>
  <c r="C97" i="51"/>
  <c r="D97" i="51" s="1"/>
  <c r="C91" i="51"/>
  <c r="D91" i="51" s="1"/>
  <c r="C86" i="51"/>
  <c r="D86" i="51" s="1"/>
  <c r="C80" i="51"/>
  <c r="D80" i="51" s="1"/>
  <c r="C72" i="51"/>
  <c r="D72" i="51" s="1"/>
  <c r="C65" i="51"/>
  <c r="D65" i="51" s="1"/>
  <c r="C58" i="51"/>
  <c r="D58" i="51" s="1"/>
  <c r="C50" i="51"/>
  <c r="D50" i="51" s="1"/>
  <c r="I103" i="51"/>
  <c r="F103" i="51"/>
  <c r="K103" i="51"/>
  <c r="Q103" i="51"/>
  <c r="M103" i="51"/>
  <c r="N103" i="51"/>
  <c r="H103" i="51"/>
  <c r="L103" i="51"/>
  <c r="T103" i="51"/>
  <c r="V103" i="51"/>
  <c r="G103" i="51"/>
  <c r="Y103" i="51"/>
  <c r="R103" i="51"/>
  <c r="X103" i="51"/>
  <c r="G109" i="51"/>
  <c r="K109" i="51"/>
  <c r="N109" i="51"/>
  <c r="Q109" i="51"/>
  <c r="M109" i="51"/>
  <c r="S109" i="51"/>
  <c r="H93" i="51"/>
  <c r="G93" i="51"/>
  <c r="L93" i="51"/>
  <c r="F93" i="51"/>
  <c r="V93" i="51"/>
  <c r="T93" i="51"/>
  <c r="X93" i="51"/>
  <c r="S93" i="51"/>
  <c r="C64" i="51"/>
  <c r="D64" i="51" s="1"/>
  <c r="E39" i="50"/>
  <c r="C165" i="50"/>
  <c r="C166" i="50"/>
  <c r="C167" i="50"/>
  <c r="C168" i="50"/>
  <c r="C169" i="50"/>
  <c r="C170" i="50"/>
  <c r="C171" i="50"/>
  <c r="C172" i="50"/>
  <c r="C173" i="50"/>
  <c r="C174" i="50"/>
  <c r="C175" i="50"/>
  <c r="C176" i="50"/>
  <c r="C177" i="50"/>
  <c r="C178" i="50"/>
  <c r="C179" i="50"/>
  <c r="C180" i="50"/>
  <c r="C181" i="50"/>
  <c r="C182" i="50"/>
  <c r="C183" i="50"/>
  <c r="C184" i="50"/>
  <c r="C185" i="50"/>
  <c r="C186" i="50"/>
  <c r="C187" i="50"/>
  <c r="C188" i="50"/>
  <c r="C189" i="50"/>
  <c r="C190" i="50"/>
  <c r="C191" i="50"/>
  <c r="C192" i="50"/>
  <c r="C193" i="50"/>
  <c r="C194" i="50"/>
  <c r="C195" i="50"/>
  <c r="C196" i="50"/>
  <c r="C197" i="50"/>
  <c r="C198" i="50"/>
  <c r="C199" i="50"/>
  <c r="C200" i="50"/>
  <c r="C201" i="50"/>
  <c r="C202" i="50"/>
  <c r="C203" i="50"/>
  <c r="C204" i="50"/>
  <c r="C205" i="50"/>
  <c r="C206" i="50"/>
  <c r="C207" i="50"/>
  <c r="C208" i="50"/>
  <c r="C209" i="50"/>
  <c r="C210" i="50"/>
  <c r="C211" i="50"/>
  <c r="C212" i="50"/>
  <c r="C213" i="50"/>
  <c r="C214" i="50"/>
  <c r="C215" i="50"/>
  <c r="C216" i="50"/>
  <c r="C217" i="50"/>
  <c r="C218" i="50"/>
  <c r="C219" i="50"/>
  <c r="C220" i="50"/>
  <c r="C221" i="50"/>
  <c r="C222" i="50"/>
  <c r="C223" i="50"/>
  <c r="C224" i="50"/>
  <c r="C225" i="50"/>
  <c r="C226" i="50"/>
  <c r="C227" i="50"/>
  <c r="C228" i="50"/>
  <c r="C229" i="50"/>
  <c r="C230" i="50"/>
  <c r="C231" i="50"/>
  <c r="C232" i="50"/>
  <c r="C233" i="50"/>
  <c r="C234" i="50"/>
  <c r="C235" i="50"/>
  <c r="C236" i="50"/>
  <c r="C237" i="50"/>
  <c r="C238" i="50"/>
  <c r="C239" i="50"/>
  <c r="C240" i="50"/>
  <c r="C241" i="50"/>
  <c r="C242" i="50"/>
  <c r="C243" i="50"/>
  <c r="C244" i="50"/>
  <c r="C245" i="50"/>
  <c r="C246" i="50"/>
  <c r="C247" i="50"/>
  <c r="C248" i="50"/>
  <c r="C249" i="50"/>
  <c r="C250" i="50"/>
  <c r="C251" i="50"/>
  <c r="C252" i="50"/>
  <c r="C253" i="50"/>
  <c r="C254" i="50"/>
  <c r="C255" i="50"/>
  <c r="C256" i="50"/>
  <c r="C257" i="50"/>
  <c r="C258" i="50"/>
  <c r="C259" i="50"/>
  <c r="C260" i="50"/>
  <c r="C261" i="50"/>
  <c r="C262" i="50"/>
  <c r="C263" i="50"/>
  <c r="C264" i="50"/>
  <c r="C265" i="50"/>
  <c r="C266" i="50"/>
  <c r="C267" i="50"/>
  <c r="C268" i="50"/>
  <c r="C269" i="50"/>
  <c r="C270" i="50"/>
  <c r="C271" i="50"/>
  <c r="C272" i="50"/>
  <c r="C273" i="50"/>
  <c r="C274" i="50"/>
  <c r="C275" i="50"/>
  <c r="C276" i="50"/>
  <c r="C277" i="50"/>
  <c r="C278" i="50"/>
  <c r="C279" i="50"/>
  <c r="C280" i="50"/>
  <c r="C281" i="50"/>
  <c r="C282" i="50"/>
  <c r="C283" i="50"/>
  <c r="C284" i="50"/>
  <c r="C285" i="50"/>
  <c r="C286" i="50"/>
  <c r="C287" i="50"/>
  <c r="C288" i="50"/>
  <c r="C289" i="50"/>
  <c r="C290" i="50"/>
  <c r="C291" i="50"/>
  <c r="C292" i="50"/>
  <c r="C293" i="50"/>
  <c r="C294" i="50"/>
  <c r="C295" i="50"/>
  <c r="C296" i="50"/>
  <c r="C297" i="50"/>
  <c r="C298" i="50"/>
  <c r="C299" i="50"/>
  <c r="C300" i="50"/>
  <c r="C301" i="50"/>
  <c r="C302" i="50"/>
  <c r="C303" i="50"/>
  <c r="C304" i="50"/>
  <c r="C305" i="50"/>
  <c r="C306" i="50"/>
  <c r="C307" i="50"/>
  <c r="C308" i="50"/>
  <c r="C309" i="50"/>
  <c r="C310" i="50"/>
  <c r="C311" i="50"/>
  <c r="C312" i="50"/>
  <c r="C313" i="50"/>
  <c r="C314" i="50"/>
  <c r="C315" i="50"/>
  <c r="C316" i="50"/>
  <c r="C317" i="50"/>
  <c r="C318" i="50"/>
  <c r="C319" i="50"/>
  <c r="C320" i="50"/>
  <c r="C321" i="50"/>
  <c r="C322" i="50"/>
  <c r="C323" i="50"/>
  <c r="C324" i="50"/>
  <c r="C325" i="50"/>
  <c r="C326" i="50"/>
  <c r="C327" i="50"/>
  <c r="C328" i="50"/>
  <c r="C329" i="50"/>
  <c r="C330" i="50"/>
  <c r="C331" i="50"/>
  <c r="C332" i="50"/>
  <c r="C333" i="50"/>
  <c r="C334" i="50"/>
  <c r="C335" i="50"/>
  <c r="C336" i="50"/>
  <c r="C337" i="50"/>
  <c r="C338" i="50"/>
  <c r="C339" i="50"/>
  <c r="C340" i="50"/>
  <c r="C341" i="50"/>
  <c r="C342" i="50"/>
  <c r="C343" i="50"/>
  <c r="C344" i="50"/>
  <c r="C345" i="50"/>
  <c r="C346" i="50"/>
  <c r="C347" i="50"/>
  <c r="C348" i="50"/>
  <c r="C349" i="50"/>
  <c r="C350" i="50"/>
  <c r="C351" i="50"/>
  <c r="C352" i="50"/>
  <c r="C353" i="50"/>
  <c r="C354" i="50"/>
  <c r="C355" i="50"/>
  <c r="C356" i="50"/>
  <c r="C357" i="50"/>
  <c r="C358" i="50"/>
  <c r="C359" i="50"/>
  <c r="C360" i="50"/>
  <c r="C361" i="50"/>
  <c r="C362" i="50"/>
  <c r="C363" i="50"/>
  <c r="C364" i="50"/>
  <c r="C365" i="50"/>
  <c r="C366" i="50"/>
  <c r="C367" i="50"/>
  <c r="C368" i="50"/>
  <c r="C369" i="50"/>
  <c r="C370" i="50"/>
  <c r="C371" i="50"/>
  <c r="C372" i="50"/>
  <c r="C373" i="50"/>
  <c r="C374" i="50"/>
  <c r="C375" i="50"/>
  <c r="C376" i="50"/>
  <c r="C377" i="50"/>
  <c r="C378" i="50"/>
  <c r="C379" i="50"/>
  <c r="C380" i="50"/>
  <c r="C381" i="50"/>
  <c r="C382" i="50"/>
  <c r="C383" i="50"/>
  <c r="C384" i="50"/>
  <c r="C385" i="50"/>
  <c r="C386" i="50"/>
  <c r="C387" i="50"/>
  <c r="C388" i="50"/>
  <c r="C389" i="50"/>
  <c r="C390" i="50"/>
  <c r="C391" i="50"/>
  <c r="C392" i="50"/>
  <c r="C393" i="50"/>
  <c r="C394" i="50"/>
  <c r="C395" i="50"/>
  <c r="C396" i="50"/>
  <c r="C397" i="50"/>
  <c r="C398" i="50"/>
  <c r="C399" i="50"/>
  <c r="C400" i="50"/>
  <c r="C401" i="50"/>
  <c r="C402" i="50"/>
  <c r="C403" i="50"/>
  <c r="C404" i="50"/>
  <c r="C405" i="50"/>
  <c r="C406" i="50"/>
  <c r="C407" i="50"/>
  <c r="C408" i="50"/>
  <c r="C409" i="50"/>
  <c r="C410" i="50"/>
  <c r="C411" i="50"/>
  <c r="C412" i="50"/>
  <c r="C413" i="50"/>
  <c r="C414" i="50"/>
  <c r="C415" i="50"/>
  <c r="C416" i="50"/>
  <c r="C417" i="50"/>
  <c r="C418" i="50"/>
  <c r="C419" i="50"/>
  <c r="C420" i="50"/>
  <c r="C421" i="50"/>
  <c r="C422" i="50"/>
  <c r="C423" i="50"/>
  <c r="C424" i="50"/>
  <c r="C425" i="50"/>
  <c r="C426" i="50"/>
  <c r="C427" i="50"/>
  <c r="C428" i="50"/>
  <c r="C429" i="50"/>
  <c r="C430" i="50"/>
  <c r="C431" i="50"/>
  <c r="C432" i="50"/>
  <c r="C433" i="50"/>
  <c r="C434" i="50"/>
  <c r="C435" i="50"/>
  <c r="C436" i="50"/>
  <c r="C437" i="50"/>
  <c r="C438" i="50"/>
  <c r="C439" i="50"/>
  <c r="C440" i="50"/>
  <c r="C441" i="50"/>
  <c r="C442" i="50"/>
  <c r="C443" i="50"/>
  <c r="C444" i="50"/>
  <c r="C445" i="50"/>
  <c r="C446" i="50"/>
  <c r="C447" i="50"/>
  <c r="C448" i="50"/>
  <c r="C449" i="50"/>
  <c r="C450" i="50"/>
  <c r="C451" i="50"/>
  <c r="C452" i="50"/>
  <c r="C453" i="50"/>
  <c r="C454" i="50"/>
  <c r="C455" i="50"/>
  <c r="C456" i="50"/>
  <c r="C457" i="50"/>
  <c r="C458" i="50"/>
  <c r="C459" i="50"/>
  <c r="C460" i="50"/>
  <c r="C461" i="50"/>
  <c r="C462" i="50"/>
  <c r="C463" i="50"/>
  <c r="C464" i="50"/>
  <c r="C465" i="50"/>
  <c r="C466" i="50"/>
  <c r="C467" i="50"/>
  <c r="C468" i="50"/>
  <c r="C469" i="50"/>
  <c r="C470" i="50"/>
  <c r="C471" i="50"/>
  <c r="C472" i="50"/>
  <c r="C473" i="50"/>
  <c r="C474" i="50"/>
  <c r="C475" i="50"/>
  <c r="C476" i="50"/>
  <c r="C477" i="50"/>
  <c r="C478" i="50"/>
  <c r="C479" i="50"/>
  <c r="C480" i="50"/>
  <c r="C481" i="50"/>
  <c r="C482" i="50"/>
  <c r="C483" i="50"/>
  <c r="C484" i="50"/>
  <c r="C485" i="50"/>
  <c r="C486" i="50"/>
  <c r="C487" i="50"/>
  <c r="C488" i="50"/>
  <c r="C489" i="50"/>
  <c r="C490" i="50"/>
  <c r="C491" i="50"/>
  <c r="C492" i="50"/>
  <c r="C493" i="50"/>
  <c r="C494" i="50"/>
  <c r="C495" i="50"/>
  <c r="C496" i="50"/>
  <c r="C497" i="50"/>
  <c r="C498" i="50"/>
  <c r="C499" i="50"/>
  <c r="C500" i="50"/>
  <c r="C501" i="50"/>
  <c r="C502" i="50"/>
  <c r="C503" i="50"/>
  <c r="C504" i="50"/>
  <c r="C505" i="50"/>
  <c r="C506" i="50"/>
  <c r="C507" i="50"/>
  <c r="C508" i="50"/>
  <c r="C509" i="50"/>
  <c r="C510" i="50"/>
  <c r="C511" i="50"/>
  <c r="C512" i="50"/>
  <c r="C513" i="50"/>
  <c r="C514" i="50"/>
  <c r="C515" i="50"/>
  <c r="C516" i="50"/>
  <c r="C517" i="50"/>
  <c r="C518" i="50"/>
  <c r="C519" i="50"/>
  <c r="C520" i="50"/>
  <c r="C521" i="50"/>
  <c r="C522" i="50"/>
  <c r="C523" i="50"/>
  <c r="C524" i="50"/>
  <c r="C164" i="50"/>
  <c r="C163" i="50"/>
  <c r="C162" i="50"/>
  <c r="C161" i="50"/>
  <c r="C160" i="50"/>
  <c r="C159" i="50"/>
  <c r="C158" i="50"/>
  <c r="C157" i="50"/>
  <c r="C156" i="50"/>
  <c r="C155" i="50"/>
  <c r="C154" i="50"/>
  <c r="C153" i="50"/>
  <c r="C152" i="50"/>
  <c r="C151" i="50"/>
  <c r="C150" i="50"/>
  <c r="C149" i="50"/>
  <c r="C148" i="50"/>
  <c r="C147" i="50"/>
  <c r="C146" i="50"/>
  <c r="C145" i="50"/>
  <c r="C144" i="50"/>
  <c r="C143" i="50"/>
  <c r="C142" i="50"/>
  <c r="C141" i="50"/>
  <c r="C140" i="50"/>
  <c r="C139" i="50"/>
  <c r="C138" i="50"/>
  <c r="C137" i="50"/>
  <c r="C136" i="50"/>
  <c r="C135" i="50"/>
  <c r="C134" i="50"/>
  <c r="C133" i="50"/>
  <c r="C132" i="50"/>
  <c r="C131" i="50"/>
  <c r="C130" i="50"/>
  <c r="C129" i="50"/>
  <c r="Y81" i="51" l="1"/>
  <c r="S81" i="51"/>
  <c r="N81" i="51"/>
  <c r="K81" i="51"/>
  <c r="Y98" i="51"/>
  <c r="T98" i="51"/>
  <c r="S98" i="51"/>
  <c r="Q98" i="51"/>
  <c r="M93" i="51"/>
  <c r="R93" i="51"/>
  <c r="Q93" i="51"/>
  <c r="I93" i="51"/>
  <c r="T109" i="51"/>
  <c r="F109" i="51"/>
  <c r="H109" i="51"/>
  <c r="Y60" i="51"/>
  <c r="V60" i="51"/>
  <c r="R60" i="51"/>
  <c r="N60" i="51"/>
  <c r="W53" i="51"/>
  <c r="M53" i="51"/>
  <c r="Q53" i="51"/>
  <c r="I53" i="51"/>
  <c r="X109" i="51"/>
  <c r="X81" i="51"/>
  <c r="M81" i="51"/>
  <c r="L81" i="51"/>
  <c r="G81" i="51"/>
  <c r="R98" i="51"/>
  <c r="F98" i="51"/>
  <c r="G98" i="51"/>
  <c r="K98" i="51"/>
  <c r="W93" i="51"/>
  <c r="N93" i="51"/>
  <c r="K93" i="51"/>
  <c r="W109" i="51"/>
  <c r="V109" i="51"/>
  <c r="L109" i="51"/>
  <c r="I109" i="51"/>
  <c r="K60" i="51"/>
  <c r="L60" i="51"/>
  <c r="Q60" i="51"/>
  <c r="I60" i="51"/>
  <c r="V53" i="51"/>
  <c r="S53" i="51"/>
  <c r="K53" i="51"/>
  <c r="F53" i="51"/>
  <c r="T81" i="51"/>
  <c r="V81" i="51"/>
  <c r="F81" i="51"/>
  <c r="X87" i="51"/>
  <c r="V87" i="51"/>
  <c r="N87" i="51"/>
  <c r="Y66" i="51"/>
  <c r="S66" i="51"/>
  <c r="Q66" i="51"/>
  <c r="X98" i="51"/>
  <c r="N98" i="51"/>
  <c r="M98" i="51"/>
  <c r="T60" i="51"/>
  <c r="S60" i="51"/>
  <c r="H60" i="51"/>
  <c r="N114" i="51"/>
  <c r="H114" i="51"/>
  <c r="W114" i="51"/>
  <c r="F114" i="51"/>
  <c r="M114" i="51"/>
  <c r="I114" i="51"/>
  <c r="Y114" i="51"/>
  <c r="R114" i="51"/>
  <c r="Q114" i="51"/>
  <c r="F64" i="51"/>
  <c r="I64" i="51"/>
  <c r="L64" i="51"/>
  <c r="H64" i="51"/>
  <c r="K64" i="51"/>
  <c r="Q64" i="51"/>
  <c r="R64" i="51"/>
  <c r="G64" i="51"/>
  <c r="N64" i="51"/>
  <c r="V64" i="51"/>
  <c r="M64" i="51"/>
  <c r="S64" i="51"/>
  <c r="W64" i="51"/>
  <c r="Y64" i="51"/>
  <c r="T64" i="51"/>
  <c r="X64" i="51"/>
  <c r="I72" i="51"/>
  <c r="G72" i="51"/>
  <c r="F72" i="51"/>
  <c r="K72" i="51"/>
  <c r="Q72" i="51"/>
  <c r="H72" i="51"/>
  <c r="N72" i="51"/>
  <c r="M72" i="51"/>
  <c r="V72" i="51"/>
  <c r="S72" i="51"/>
  <c r="L72" i="51"/>
  <c r="T72" i="51"/>
  <c r="W72" i="51"/>
  <c r="R72" i="51"/>
  <c r="Y72" i="51"/>
  <c r="X72" i="51"/>
  <c r="I97" i="51"/>
  <c r="H97" i="51"/>
  <c r="G97" i="51"/>
  <c r="K97" i="51"/>
  <c r="Q97" i="51"/>
  <c r="F97" i="51"/>
  <c r="L97" i="51"/>
  <c r="N97" i="51"/>
  <c r="R97" i="51"/>
  <c r="V97" i="51"/>
  <c r="M97" i="51"/>
  <c r="S97" i="51"/>
  <c r="W97" i="51"/>
  <c r="T97" i="51"/>
  <c r="X97" i="51"/>
  <c r="Y97" i="51"/>
  <c r="I116" i="51"/>
  <c r="G116" i="51"/>
  <c r="F116" i="51"/>
  <c r="K116" i="51"/>
  <c r="N116" i="51"/>
  <c r="M116" i="51"/>
  <c r="Q116" i="51"/>
  <c r="V116" i="51"/>
  <c r="S116" i="51"/>
  <c r="H116" i="51"/>
  <c r="T116" i="51"/>
  <c r="L116" i="51"/>
  <c r="R116" i="51"/>
  <c r="Y116" i="51"/>
  <c r="X116" i="51"/>
  <c r="W116" i="51"/>
  <c r="I100" i="51"/>
  <c r="G100" i="51"/>
  <c r="F100" i="51"/>
  <c r="K100" i="51"/>
  <c r="Q100" i="51"/>
  <c r="N100" i="51"/>
  <c r="M100" i="51"/>
  <c r="V100" i="51"/>
  <c r="T100" i="51"/>
  <c r="L100" i="51"/>
  <c r="H100" i="51"/>
  <c r="S100" i="51"/>
  <c r="Y100" i="51"/>
  <c r="R100" i="51"/>
  <c r="W100" i="51"/>
  <c r="X100" i="51"/>
  <c r="I84" i="51"/>
  <c r="G84" i="51"/>
  <c r="F84" i="51"/>
  <c r="K84" i="51"/>
  <c r="Q84" i="51"/>
  <c r="N84" i="51"/>
  <c r="M84" i="51"/>
  <c r="V84" i="51"/>
  <c r="T84" i="51"/>
  <c r="H84" i="51"/>
  <c r="W84" i="51"/>
  <c r="L84" i="51"/>
  <c r="S84" i="51"/>
  <c r="Y84" i="51"/>
  <c r="R84" i="51"/>
  <c r="X84" i="51"/>
  <c r="F62" i="51"/>
  <c r="I62" i="51"/>
  <c r="L62" i="51"/>
  <c r="H62" i="51"/>
  <c r="K62" i="51"/>
  <c r="Q62" i="51"/>
  <c r="T62" i="51"/>
  <c r="G62" i="51"/>
  <c r="N62" i="51"/>
  <c r="S62" i="51"/>
  <c r="V62" i="51"/>
  <c r="Y62" i="51"/>
  <c r="M62" i="51"/>
  <c r="W62" i="51"/>
  <c r="X62" i="51"/>
  <c r="R62" i="51"/>
  <c r="I79" i="51"/>
  <c r="F79" i="51"/>
  <c r="K79" i="51"/>
  <c r="Q79" i="51"/>
  <c r="M79" i="51"/>
  <c r="N79" i="51"/>
  <c r="G79" i="51"/>
  <c r="H79" i="51"/>
  <c r="L79" i="51"/>
  <c r="T79" i="51"/>
  <c r="V79" i="51"/>
  <c r="S79" i="51"/>
  <c r="R79" i="51"/>
  <c r="X79" i="51"/>
  <c r="Y79" i="51"/>
  <c r="W79" i="51"/>
  <c r="F63" i="51"/>
  <c r="I63" i="51"/>
  <c r="G63" i="51"/>
  <c r="L63" i="51"/>
  <c r="K63" i="51"/>
  <c r="Q63" i="51"/>
  <c r="M63" i="51"/>
  <c r="N63" i="51"/>
  <c r="H63" i="51"/>
  <c r="T63" i="51"/>
  <c r="V63" i="51"/>
  <c r="S63" i="51"/>
  <c r="Y63" i="51"/>
  <c r="R63" i="51"/>
  <c r="X63" i="51"/>
  <c r="W63" i="51"/>
  <c r="F47" i="51"/>
  <c r="I47" i="51"/>
  <c r="N47" i="51"/>
  <c r="G47" i="51"/>
  <c r="M47" i="51"/>
  <c r="H47" i="51"/>
  <c r="L47" i="51"/>
  <c r="Q47" i="51"/>
  <c r="R47" i="51"/>
  <c r="K47" i="51"/>
  <c r="T47" i="51"/>
  <c r="V47" i="51"/>
  <c r="Y47" i="51"/>
  <c r="S47" i="51"/>
  <c r="X47" i="51"/>
  <c r="W47" i="51"/>
  <c r="F61" i="51"/>
  <c r="I61" i="51"/>
  <c r="N61" i="51"/>
  <c r="G61" i="51"/>
  <c r="K61" i="51"/>
  <c r="Q61" i="51"/>
  <c r="H61" i="51"/>
  <c r="L61" i="51"/>
  <c r="S61" i="51"/>
  <c r="M61" i="51"/>
  <c r="T61" i="51"/>
  <c r="R61" i="51"/>
  <c r="V61" i="51"/>
  <c r="W61" i="51"/>
  <c r="X61" i="51"/>
  <c r="Y61" i="51"/>
  <c r="I89" i="51"/>
  <c r="H89" i="51"/>
  <c r="G89" i="51"/>
  <c r="K89" i="51"/>
  <c r="Q89" i="51"/>
  <c r="F89" i="51"/>
  <c r="L89" i="51"/>
  <c r="N89" i="51"/>
  <c r="R89" i="51"/>
  <c r="V89" i="51"/>
  <c r="X89" i="51"/>
  <c r="M89" i="51"/>
  <c r="T89" i="51"/>
  <c r="W89" i="51"/>
  <c r="S89" i="51"/>
  <c r="Y89" i="51"/>
  <c r="I110" i="51"/>
  <c r="H110" i="51"/>
  <c r="K110" i="51"/>
  <c r="F110" i="51"/>
  <c r="L110" i="51"/>
  <c r="G110" i="51"/>
  <c r="M110" i="51"/>
  <c r="Q110" i="51"/>
  <c r="V110" i="51"/>
  <c r="X110" i="51"/>
  <c r="R110" i="51"/>
  <c r="N110" i="51"/>
  <c r="T110" i="51"/>
  <c r="W110" i="51"/>
  <c r="S110" i="51"/>
  <c r="Y110" i="51"/>
  <c r="F70" i="51"/>
  <c r="I70" i="51"/>
  <c r="H70" i="51"/>
  <c r="K70" i="51"/>
  <c r="Q70" i="51"/>
  <c r="L70" i="51"/>
  <c r="G70" i="51"/>
  <c r="M70" i="51"/>
  <c r="S70" i="51"/>
  <c r="V70" i="51"/>
  <c r="N70" i="51"/>
  <c r="T70" i="51"/>
  <c r="X70" i="51"/>
  <c r="Y70" i="51"/>
  <c r="R70" i="51"/>
  <c r="W70" i="51"/>
  <c r="I95" i="51"/>
  <c r="F95" i="51"/>
  <c r="K95" i="51"/>
  <c r="Q95" i="51"/>
  <c r="M95" i="51"/>
  <c r="N95" i="51"/>
  <c r="H95" i="51"/>
  <c r="L95" i="51"/>
  <c r="T95" i="51"/>
  <c r="V95" i="51"/>
  <c r="S95" i="51"/>
  <c r="G95" i="51"/>
  <c r="R95" i="51"/>
  <c r="X95" i="51"/>
  <c r="Y95" i="51"/>
  <c r="W95" i="51"/>
  <c r="Y46" i="51"/>
  <c r="T46" i="51"/>
  <c r="N46" i="51"/>
  <c r="I46" i="51"/>
  <c r="S46" i="51"/>
  <c r="L46" i="51"/>
  <c r="F46" i="51"/>
  <c r="R46" i="51"/>
  <c r="H46" i="51"/>
  <c r="X46" i="51"/>
  <c r="Q46" i="51"/>
  <c r="G46" i="51"/>
  <c r="W46" i="51"/>
  <c r="M46" i="51"/>
  <c r="V46" i="51"/>
  <c r="K46" i="51"/>
  <c r="F50" i="51"/>
  <c r="I50" i="51"/>
  <c r="N50" i="51"/>
  <c r="L50" i="51"/>
  <c r="H50" i="51"/>
  <c r="K50" i="51"/>
  <c r="Q50" i="51"/>
  <c r="M50" i="51"/>
  <c r="T50" i="51"/>
  <c r="G50" i="51"/>
  <c r="S50" i="51"/>
  <c r="V50" i="51"/>
  <c r="X50" i="51"/>
  <c r="R50" i="51"/>
  <c r="Y50" i="51"/>
  <c r="W50" i="51"/>
  <c r="I80" i="51"/>
  <c r="G80" i="51"/>
  <c r="F80" i="51"/>
  <c r="K80" i="51"/>
  <c r="Q80" i="51"/>
  <c r="H80" i="51"/>
  <c r="N80" i="51"/>
  <c r="M80" i="51"/>
  <c r="V80" i="51"/>
  <c r="R80" i="51"/>
  <c r="W80" i="51"/>
  <c r="L80" i="51"/>
  <c r="T80" i="51"/>
  <c r="Y80" i="51"/>
  <c r="S80" i="51"/>
  <c r="X80" i="51"/>
  <c r="I102" i="51"/>
  <c r="H102" i="51"/>
  <c r="K102" i="51"/>
  <c r="Q102" i="51"/>
  <c r="F102" i="51"/>
  <c r="L102" i="51"/>
  <c r="G102" i="51"/>
  <c r="M102" i="51"/>
  <c r="S102" i="51"/>
  <c r="V102" i="51"/>
  <c r="N102" i="51"/>
  <c r="T102" i="51"/>
  <c r="R102" i="51"/>
  <c r="W102" i="51"/>
  <c r="X102" i="51"/>
  <c r="Y102" i="51"/>
  <c r="I112" i="51"/>
  <c r="G112" i="51"/>
  <c r="F112" i="51"/>
  <c r="K112" i="51"/>
  <c r="H112" i="51"/>
  <c r="N112" i="51"/>
  <c r="M112" i="51"/>
  <c r="Q112" i="51"/>
  <c r="V112" i="51"/>
  <c r="S112" i="51"/>
  <c r="T112" i="51"/>
  <c r="L112" i="51"/>
  <c r="R112" i="51"/>
  <c r="Y112" i="51"/>
  <c r="X112" i="51"/>
  <c r="W112" i="51"/>
  <c r="I96" i="51"/>
  <c r="G96" i="51"/>
  <c r="F96" i="51"/>
  <c r="K96" i="51"/>
  <c r="Q96" i="51"/>
  <c r="H96" i="51"/>
  <c r="N96" i="51"/>
  <c r="M96" i="51"/>
  <c r="V96" i="51"/>
  <c r="R96" i="51"/>
  <c r="L96" i="51"/>
  <c r="T96" i="51"/>
  <c r="Y96" i="51"/>
  <c r="X96" i="51"/>
  <c r="S96" i="51"/>
  <c r="W96" i="51"/>
  <c r="I78" i="51"/>
  <c r="H78" i="51"/>
  <c r="K78" i="51"/>
  <c r="Q78" i="51"/>
  <c r="F78" i="51"/>
  <c r="L78" i="51"/>
  <c r="G78" i="51"/>
  <c r="M78" i="51"/>
  <c r="S78" i="51"/>
  <c r="V78" i="51"/>
  <c r="X78" i="51"/>
  <c r="R78" i="51"/>
  <c r="Y78" i="51"/>
  <c r="N78" i="51"/>
  <c r="W78" i="51"/>
  <c r="T78" i="51"/>
  <c r="F57" i="51"/>
  <c r="I57" i="51"/>
  <c r="N57" i="51"/>
  <c r="G57" i="51"/>
  <c r="K57" i="51"/>
  <c r="Q57" i="51"/>
  <c r="H57" i="51"/>
  <c r="S57" i="51"/>
  <c r="T57" i="51"/>
  <c r="M57" i="51"/>
  <c r="R57" i="51"/>
  <c r="V57" i="51"/>
  <c r="W57" i="51"/>
  <c r="L57" i="51"/>
  <c r="X57" i="51"/>
  <c r="Y57" i="51"/>
  <c r="I75" i="51"/>
  <c r="F75" i="51"/>
  <c r="K75" i="51"/>
  <c r="Q75" i="51"/>
  <c r="G75" i="51"/>
  <c r="M75" i="51"/>
  <c r="H75" i="51"/>
  <c r="N75" i="51"/>
  <c r="L75" i="51"/>
  <c r="T75" i="51"/>
  <c r="V75" i="51"/>
  <c r="S75" i="51"/>
  <c r="X75" i="51"/>
  <c r="Y75" i="51"/>
  <c r="W75" i="51"/>
  <c r="R75" i="51"/>
  <c r="F59" i="51"/>
  <c r="I59" i="51"/>
  <c r="N59" i="51"/>
  <c r="G59" i="51"/>
  <c r="M59" i="51"/>
  <c r="L59" i="51"/>
  <c r="Q59" i="51"/>
  <c r="K59" i="51"/>
  <c r="R59" i="51"/>
  <c r="H59" i="51"/>
  <c r="T59" i="51"/>
  <c r="V59" i="51"/>
  <c r="S59" i="51"/>
  <c r="X59" i="51"/>
  <c r="Y59" i="51"/>
  <c r="W59" i="51"/>
  <c r="F69" i="51"/>
  <c r="I69" i="51"/>
  <c r="G69" i="51"/>
  <c r="K69" i="51"/>
  <c r="Q69" i="51"/>
  <c r="H69" i="51"/>
  <c r="L69" i="51"/>
  <c r="N69" i="51"/>
  <c r="R69" i="51"/>
  <c r="V69" i="51"/>
  <c r="S69" i="51"/>
  <c r="X69" i="51"/>
  <c r="M69" i="51"/>
  <c r="W69" i="51"/>
  <c r="T69" i="51"/>
  <c r="Y69" i="51"/>
  <c r="I94" i="51"/>
  <c r="H94" i="51"/>
  <c r="K94" i="51"/>
  <c r="Q94" i="51"/>
  <c r="F94" i="51"/>
  <c r="L94" i="51"/>
  <c r="G94" i="51"/>
  <c r="M94" i="51"/>
  <c r="S94" i="51"/>
  <c r="V94" i="51"/>
  <c r="X94" i="51"/>
  <c r="R94" i="51"/>
  <c r="N94" i="51"/>
  <c r="W94" i="51"/>
  <c r="Y94" i="51"/>
  <c r="T94" i="51"/>
  <c r="I115" i="51"/>
  <c r="F115" i="51"/>
  <c r="K115" i="51"/>
  <c r="G115" i="51"/>
  <c r="M115" i="51"/>
  <c r="H115" i="51"/>
  <c r="N115" i="51"/>
  <c r="L115" i="51"/>
  <c r="Q115" i="51"/>
  <c r="V115" i="51"/>
  <c r="R115" i="51"/>
  <c r="S115" i="51"/>
  <c r="X115" i="51"/>
  <c r="T115" i="51"/>
  <c r="W115" i="51"/>
  <c r="Y115" i="51"/>
  <c r="I77" i="51"/>
  <c r="H77" i="51"/>
  <c r="G77" i="51"/>
  <c r="K77" i="51"/>
  <c r="Q77" i="51"/>
  <c r="L77" i="51"/>
  <c r="F77" i="51"/>
  <c r="N77" i="51"/>
  <c r="R77" i="51"/>
  <c r="V77" i="51"/>
  <c r="T77" i="51"/>
  <c r="M77" i="51"/>
  <c r="X77" i="51"/>
  <c r="S77" i="51"/>
  <c r="W77" i="51"/>
  <c r="Y77" i="51"/>
  <c r="I101" i="51"/>
  <c r="H101" i="51"/>
  <c r="G101" i="51"/>
  <c r="K101" i="51"/>
  <c r="Q101" i="51"/>
  <c r="L101" i="51"/>
  <c r="F101" i="51"/>
  <c r="N101" i="51"/>
  <c r="R101" i="51"/>
  <c r="V101" i="51"/>
  <c r="W101" i="51"/>
  <c r="S101" i="51"/>
  <c r="M101" i="51"/>
  <c r="Y101" i="51"/>
  <c r="T101" i="51"/>
  <c r="X101" i="51"/>
  <c r="F58" i="51"/>
  <c r="I58" i="51"/>
  <c r="N58" i="51"/>
  <c r="L58" i="51"/>
  <c r="H58" i="51"/>
  <c r="K58" i="51"/>
  <c r="Q58" i="51"/>
  <c r="M58" i="51"/>
  <c r="T58" i="51"/>
  <c r="G58" i="51"/>
  <c r="S58" i="51"/>
  <c r="V58" i="51"/>
  <c r="X58" i="51"/>
  <c r="Y58" i="51"/>
  <c r="R58" i="51"/>
  <c r="W58" i="51"/>
  <c r="I86" i="51"/>
  <c r="H86" i="51"/>
  <c r="K86" i="51"/>
  <c r="Q86" i="51"/>
  <c r="F86" i="51"/>
  <c r="L86" i="51"/>
  <c r="G86" i="51"/>
  <c r="M86" i="51"/>
  <c r="S86" i="51"/>
  <c r="V86" i="51"/>
  <c r="N86" i="51"/>
  <c r="T86" i="51"/>
  <c r="Y86" i="51"/>
  <c r="R86" i="51"/>
  <c r="W86" i="51"/>
  <c r="X86" i="51"/>
  <c r="I107" i="51"/>
  <c r="F107" i="51"/>
  <c r="K107" i="51"/>
  <c r="G107" i="51"/>
  <c r="M107" i="51"/>
  <c r="H107" i="51"/>
  <c r="N107" i="51"/>
  <c r="L107" i="51"/>
  <c r="Q107" i="51"/>
  <c r="V107" i="51"/>
  <c r="R107" i="51"/>
  <c r="Y107" i="51"/>
  <c r="S107" i="51"/>
  <c r="X107" i="51"/>
  <c r="W107" i="51"/>
  <c r="T107" i="51"/>
  <c r="I108" i="51"/>
  <c r="G108" i="51"/>
  <c r="F108" i="51"/>
  <c r="K108" i="51"/>
  <c r="N108" i="51"/>
  <c r="M108" i="51"/>
  <c r="Q108" i="51"/>
  <c r="V108" i="51"/>
  <c r="L108" i="51"/>
  <c r="S108" i="51"/>
  <c r="T108" i="51"/>
  <c r="H108" i="51"/>
  <c r="R108" i="51"/>
  <c r="Y108" i="51"/>
  <c r="W108" i="51"/>
  <c r="X108" i="51"/>
  <c r="I92" i="51"/>
  <c r="G92" i="51"/>
  <c r="F92" i="51"/>
  <c r="K92" i="51"/>
  <c r="Q92" i="51"/>
  <c r="N92" i="51"/>
  <c r="M92" i="51"/>
  <c r="V92" i="51"/>
  <c r="H92" i="51"/>
  <c r="L92" i="51"/>
  <c r="R92" i="51"/>
  <c r="S92" i="51"/>
  <c r="W92" i="51"/>
  <c r="Y92" i="51"/>
  <c r="T92" i="51"/>
  <c r="X92" i="51"/>
  <c r="I73" i="51"/>
  <c r="H73" i="51"/>
  <c r="G73" i="51"/>
  <c r="K73" i="51"/>
  <c r="Q73" i="51"/>
  <c r="F73" i="51"/>
  <c r="L73" i="51"/>
  <c r="N73" i="51"/>
  <c r="R73" i="51"/>
  <c r="V73" i="51"/>
  <c r="X73" i="51"/>
  <c r="M73" i="51"/>
  <c r="T73" i="51"/>
  <c r="W73" i="51"/>
  <c r="Y73" i="51"/>
  <c r="S73" i="51"/>
  <c r="F52" i="51"/>
  <c r="I52" i="51"/>
  <c r="N52" i="51"/>
  <c r="H52" i="51"/>
  <c r="M52" i="51"/>
  <c r="Q52" i="51"/>
  <c r="R52" i="51"/>
  <c r="S52" i="51"/>
  <c r="G52" i="51"/>
  <c r="L52" i="51"/>
  <c r="V52" i="51"/>
  <c r="W52" i="51"/>
  <c r="K52" i="51"/>
  <c r="T52" i="51"/>
  <c r="Y52" i="51"/>
  <c r="X52" i="51"/>
  <c r="I71" i="51"/>
  <c r="F71" i="51"/>
  <c r="K71" i="51"/>
  <c r="Q71" i="51"/>
  <c r="M71" i="51"/>
  <c r="N71" i="51"/>
  <c r="G71" i="51"/>
  <c r="H71" i="51"/>
  <c r="L71" i="51"/>
  <c r="T71" i="51"/>
  <c r="V71" i="51"/>
  <c r="R71" i="51"/>
  <c r="X71" i="51"/>
  <c r="Y71" i="51"/>
  <c r="S71" i="51"/>
  <c r="W71" i="51"/>
  <c r="F55" i="51"/>
  <c r="I55" i="51"/>
  <c r="N55" i="51"/>
  <c r="G55" i="51"/>
  <c r="M55" i="51"/>
  <c r="L55" i="51"/>
  <c r="Q55" i="51"/>
  <c r="R55" i="51"/>
  <c r="H55" i="51"/>
  <c r="K55" i="51"/>
  <c r="T55" i="51"/>
  <c r="V55" i="51"/>
  <c r="S55" i="51"/>
  <c r="X55" i="51"/>
  <c r="Y55" i="51"/>
  <c r="W55" i="51"/>
  <c r="I76" i="51"/>
  <c r="G76" i="51"/>
  <c r="F76" i="51"/>
  <c r="K76" i="51"/>
  <c r="Q76" i="51"/>
  <c r="N76" i="51"/>
  <c r="H76" i="51"/>
  <c r="M76" i="51"/>
  <c r="V76" i="51"/>
  <c r="L76" i="51"/>
  <c r="R76" i="51"/>
  <c r="S76" i="51"/>
  <c r="W76" i="51"/>
  <c r="Y76" i="51"/>
  <c r="T76" i="51"/>
  <c r="X76" i="51"/>
  <c r="I99" i="51"/>
  <c r="F99" i="51"/>
  <c r="K99" i="51"/>
  <c r="Q99" i="51"/>
  <c r="G99" i="51"/>
  <c r="M99" i="51"/>
  <c r="H99" i="51"/>
  <c r="N99" i="51"/>
  <c r="L99" i="51"/>
  <c r="T99" i="51"/>
  <c r="V99" i="51"/>
  <c r="R99" i="51"/>
  <c r="Y99" i="51"/>
  <c r="S99" i="51"/>
  <c r="X99" i="51"/>
  <c r="W99" i="51"/>
  <c r="F49" i="51"/>
  <c r="I49" i="51"/>
  <c r="N49" i="51"/>
  <c r="G49" i="51"/>
  <c r="K49" i="51"/>
  <c r="Q49" i="51"/>
  <c r="H49" i="51"/>
  <c r="S49" i="51"/>
  <c r="T49" i="51"/>
  <c r="M49" i="51"/>
  <c r="R49" i="51"/>
  <c r="V49" i="51"/>
  <c r="W49" i="51"/>
  <c r="X49" i="51"/>
  <c r="L49" i="51"/>
  <c r="Y49" i="51"/>
  <c r="I85" i="51"/>
  <c r="H85" i="51"/>
  <c r="G85" i="51"/>
  <c r="K85" i="51"/>
  <c r="Q85" i="51"/>
  <c r="L85" i="51"/>
  <c r="F85" i="51"/>
  <c r="N85" i="51"/>
  <c r="R85" i="51"/>
  <c r="V85" i="51"/>
  <c r="W85" i="51"/>
  <c r="S85" i="51"/>
  <c r="X85" i="51"/>
  <c r="M85" i="51"/>
  <c r="T85" i="51"/>
  <c r="Y85" i="51"/>
  <c r="I106" i="51"/>
  <c r="H106" i="51"/>
  <c r="K106" i="51"/>
  <c r="L106" i="51"/>
  <c r="M106" i="51"/>
  <c r="G106" i="51"/>
  <c r="Q106" i="51"/>
  <c r="V106" i="51"/>
  <c r="X106" i="51"/>
  <c r="F106" i="51"/>
  <c r="R106" i="51"/>
  <c r="N106" i="51"/>
  <c r="T106" i="51"/>
  <c r="W106" i="51"/>
  <c r="S106" i="51"/>
  <c r="Y106" i="51"/>
  <c r="F65" i="51"/>
  <c r="I65" i="51"/>
  <c r="G65" i="51"/>
  <c r="L65" i="51"/>
  <c r="K65" i="51"/>
  <c r="Q65" i="51"/>
  <c r="H65" i="51"/>
  <c r="M65" i="51"/>
  <c r="S65" i="51"/>
  <c r="N65" i="51"/>
  <c r="R65" i="51"/>
  <c r="V65" i="51"/>
  <c r="X65" i="51"/>
  <c r="T65" i="51"/>
  <c r="W65" i="51"/>
  <c r="Y65" i="51"/>
  <c r="I91" i="51"/>
  <c r="F91" i="51"/>
  <c r="K91" i="51"/>
  <c r="Q91" i="51"/>
  <c r="G91" i="51"/>
  <c r="M91" i="51"/>
  <c r="H91" i="51"/>
  <c r="N91" i="51"/>
  <c r="L91" i="51"/>
  <c r="T91" i="51"/>
  <c r="V91" i="51"/>
  <c r="S91" i="51"/>
  <c r="X91" i="51"/>
  <c r="Y91" i="51"/>
  <c r="R91" i="51"/>
  <c r="W91" i="51"/>
  <c r="I113" i="51"/>
  <c r="H113" i="51"/>
  <c r="G113" i="51"/>
  <c r="K113" i="51"/>
  <c r="F113" i="51"/>
  <c r="L113" i="51"/>
  <c r="N113" i="51"/>
  <c r="Q113" i="51"/>
  <c r="V113" i="51"/>
  <c r="M113" i="51"/>
  <c r="T113" i="51"/>
  <c r="W113" i="51"/>
  <c r="S113" i="51"/>
  <c r="X113" i="51"/>
  <c r="R113" i="51"/>
  <c r="Y113" i="51"/>
  <c r="I104" i="51"/>
  <c r="G104" i="51"/>
  <c r="F104" i="51"/>
  <c r="K104" i="51"/>
  <c r="Q104" i="51"/>
  <c r="H104" i="51"/>
  <c r="N104" i="51"/>
  <c r="M104" i="51"/>
  <c r="V104" i="51"/>
  <c r="S104" i="51"/>
  <c r="L104" i="51"/>
  <c r="T104" i="51"/>
  <c r="R104" i="51"/>
  <c r="Y104" i="51"/>
  <c r="X104" i="51"/>
  <c r="W104" i="51"/>
  <c r="I88" i="51"/>
  <c r="G88" i="51"/>
  <c r="F88" i="51"/>
  <c r="K88" i="51"/>
  <c r="Q88" i="51"/>
  <c r="H88" i="51"/>
  <c r="N88" i="51"/>
  <c r="M88" i="51"/>
  <c r="V88" i="51"/>
  <c r="S88" i="51"/>
  <c r="L88" i="51"/>
  <c r="T88" i="51"/>
  <c r="W88" i="51"/>
  <c r="R88" i="51"/>
  <c r="Y88" i="51"/>
  <c r="X88" i="51"/>
  <c r="F68" i="51"/>
  <c r="I68" i="51"/>
  <c r="H68" i="51"/>
  <c r="K68" i="51"/>
  <c r="Q68" i="51"/>
  <c r="N68" i="51"/>
  <c r="R68" i="51"/>
  <c r="G68" i="51"/>
  <c r="M68" i="51"/>
  <c r="V68" i="51"/>
  <c r="T68" i="51"/>
  <c r="W68" i="51"/>
  <c r="L68" i="51"/>
  <c r="S68" i="51"/>
  <c r="Y68" i="51"/>
  <c r="X68" i="51"/>
  <c r="I83" i="51"/>
  <c r="F83" i="51"/>
  <c r="K83" i="51"/>
  <c r="Q83" i="51"/>
  <c r="G83" i="51"/>
  <c r="M83" i="51"/>
  <c r="H83" i="51"/>
  <c r="N83" i="51"/>
  <c r="L83" i="51"/>
  <c r="T83" i="51"/>
  <c r="V83" i="51"/>
  <c r="S83" i="51"/>
  <c r="X83" i="51"/>
  <c r="R83" i="51"/>
  <c r="Y83" i="51"/>
  <c r="W83" i="51"/>
  <c r="F67" i="51"/>
  <c r="I67" i="51"/>
  <c r="G67" i="51"/>
  <c r="L67" i="51"/>
  <c r="K67" i="51"/>
  <c r="Q67" i="51"/>
  <c r="M67" i="51"/>
  <c r="N67" i="51"/>
  <c r="H67" i="51"/>
  <c r="T67" i="51"/>
  <c r="V67" i="51"/>
  <c r="Y67" i="51"/>
  <c r="R67" i="51"/>
  <c r="X67" i="51"/>
  <c r="S67" i="51"/>
  <c r="W67" i="51"/>
  <c r="F51" i="51"/>
  <c r="I51" i="51"/>
  <c r="N51" i="51"/>
  <c r="G51" i="51"/>
  <c r="M51" i="51"/>
  <c r="L51" i="51"/>
  <c r="Q51" i="51"/>
  <c r="K51" i="51"/>
  <c r="R51" i="51"/>
  <c r="H51" i="51"/>
  <c r="T51" i="51"/>
  <c r="V51" i="51"/>
  <c r="Y51" i="51"/>
  <c r="X51" i="51"/>
  <c r="W51" i="51"/>
  <c r="S51" i="51"/>
  <c r="F54" i="51"/>
  <c r="I54" i="51"/>
  <c r="N54" i="51"/>
  <c r="L54" i="51"/>
  <c r="H54" i="51"/>
  <c r="K54" i="51"/>
  <c r="Q54" i="51"/>
  <c r="T54" i="51"/>
  <c r="G54" i="51"/>
  <c r="S54" i="51"/>
  <c r="V54" i="51"/>
  <c r="M54" i="51"/>
  <c r="R54" i="51"/>
  <c r="X54" i="51"/>
  <c r="Y54" i="51"/>
  <c r="W54" i="51"/>
  <c r="I82" i="51"/>
  <c r="H82" i="51"/>
  <c r="K82" i="51"/>
  <c r="Q82" i="51"/>
  <c r="L82" i="51"/>
  <c r="M82" i="51"/>
  <c r="G82" i="51"/>
  <c r="S82" i="51"/>
  <c r="V82" i="51"/>
  <c r="F82" i="51"/>
  <c r="X82" i="51"/>
  <c r="N82" i="51"/>
  <c r="Y82" i="51"/>
  <c r="T82" i="51"/>
  <c r="W82" i="51"/>
  <c r="R82" i="51"/>
  <c r="I105" i="51"/>
  <c r="H105" i="51"/>
  <c r="G105" i="51"/>
  <c r="K105" i="51"/>
  <c r="F105" i="51"/>
  <c r="L105" i="51"/>
  <c r="N105" i="51"/>
  <c r="Q105" i="51"/>
  <c r="V105" i="51"/>
  <c r="T105" i="51"/>
  <c r="M105" i="51"/>
  <c r="S105" i="51"/>
  <c r="W105" i="51"/>
  <c r="R105" i="51"/>
  <c r="X105" i="51"/>
  <c r="Y105" i="51"/>
  <c r="F56" i="51"/>
  <c r="I56" i="51"/>
  <c r="N56" i="51"/>
  <c r="H56" i="51"/>
  <c r="M56" i="51"/>
  <c r="Q56" i="51"/>
  <c r="K56" i="51"/>
  <c r="R56" i="51"/>
  <c r="L56" i="51"/>
  <c r="S56" i="51"/>
  <c r="G56" i="51"/>
  <c r="V56" i="51"/>
  <c r="W56" i="51"/>
  <c r="Y56" i="51"/>
  <c r="T56" i="51"/>
  <c r="X56" i="51"/>
  <c r="I90" i="51"/>
  <c r="H90" i="51"/>
  <c r="K90" i="51"/>
  <c r="Q90" i="51"/>
  <c r="L90" i="51"/>
  <c r="M90" i="51"/>
  <c r="G90" i="51"/>
  <c r="S90" i="51"/>
  <c r="V90" i="51"/>
  <c r="R90" i="51"/>
  <c r="X90" i="51"/>
  <c r="T90" i="51"/>
  <c r="Y90" i="51"/>
  <c r="F90" i="51"/>
  <c r="N90" i="51"/>
  <c r="W90" i="51"/>
  <c r="I111" i="51"/>
  <c r="F111" i="51"/>
  <c r="K111" i="51"/>
  <c r="M111" i="51"/>
  <c r="N111" i="51"/>
  <c r="H111" i="51"/>
  <c r="L111" i="51"/>
  <c r="Q111" i="51"/>
  <c r="V111" i="51"/>
  <c r="R111" i="51"/>
  <c r="S111" i="51"/>
  <c r="G111" i="51"/>
  <c r="X111" i="51"/>
  <c r="Y111" i="51"/>
  <c r="T111" i="51"/>
  <c r="W111" i="51"/>
  <c r="B48" i="50"/>
  <c r="B86" i="50" s="1"/>
  <c r="H3" i="50"/>
  <c r="B76" i="50"/>
  <c r="B60" i="50"/>
  <c r="B98" i="50" s="1"/>
  <c r="B72" i="50"/>
  <c r="B110" i="50" s="1"/>
  <c r="B56" i="50"/>
  <c r="B69" i="50"/>
  <c r="C69" i="50" s="1"/>
  <c r="B52" i="50"/>
  <c r="C52" i="50" s="1"/>
  <c r="B80" i="50"/>
  <c r="C80" i="50" s="1"/>
  <c r="B63" i="50"/>
  <c r="B49" i="50"/>
  <c r="B79" i="50"/>
  <c r="B70" i="50"/>
  <c r="B62" i="50"/>
  <c r="B53" i="50"/>
  <c r="B46" i="50"/>
  <c r="B73" i="50"/>
  <c r="B66" i="50"/>
  <c r="B104" i="50" s="1"/>
  <c r="B59" i="50"/>
  <c r="B50" i="50"/>
  <c r="C48" i="50"/>
  <c r="B81" i="50"/>
  <c r="B78" i="50"/>
  <c r="B75" i="50"/>
  <c r="B67" i="50"/>
  <c r="B64" i="50"/>
  <c r="B61" i="50"/>
  <c r="B58" i="50"/>
  <c r="B55" i="50"/>
  <c r="B47" i="50"/>
  <c r="B77" i="50"/>
  <c r="B74" i="50"/>
  <c r="B71" i="50"/>
  <c r="B68" i="50"/>
  <c r="B65" i="50"/>
  <c r="B57" i="50"/>
  <c r="B54" i="50"/>
  <c r="B51" i="50"/>
  <c r="B90" i="50" l="1"/>
  <c r="B118" i="50"/>
  <c r="C72" i="50"/>
  <c r="C60" i="50"/>
  <c r="AD60" i="50" s="1"/>
  <c r="AD48" i="50"/>
  <c r="AE48" i="50"/>
  <c r="V48" i="50"/>
  <c r="AC48" i="50"/>
  <c r="AG48" i="50"/>
  <c r="X48" i="50"/>
  <c r="L48" i="50"/>
  <c r="P48" i="50"/>
  <c r="Y48" i="50"/>
  <c r="O48" i="50"/>
  <c r="AB48" i="50"/>
  <c r="AB86" i="50" s="1"/>
  <c r="AF48" i="50"/>
  <c r="W48" i="50"/>
  <c r="N48" i="50"/>
  <c r="F48" i="50"/>
  <c r="J48" i="50"/>
  <c r="G48" i="50"/>
  <c r="M48" i="50"/>
  <c r="H48" i="50"/>
  <c r="T48" i="50"/>
  <c r="T86" i="50" s="1"/>
  <c r="Q48" i="50"/>
  <c r="I48" i="50"/>
  <c r="U48" i="50"/>
  <c r="E48" i="50"/>
  <c r="E86" i="50" s="1"/>
  <c r="AE80" i="50"/>
  <c r="AD80" i="50"/>
  <c r="T80" i="50"/>
  <c r="T118" i="50" s="1"/>
  <c r="X80" i="50"/>
  <c r="AC80" i="50"/>
  <c r="U80" i="50"/>
  <c r="AB80" i="50"/>
  <c r="AB118" i="50" s="1"/>
  <c r="Y80" i="50"/>
  <c r="Y118" i="50" s="1"/>
  <c r="M80" i="50"/>
  <c r="Q80" i="50"/>
  <c r="F80" i="50"/>
  <c r="J80" i="50"/>
  <c r="AF80" i="50"/>
  <c r="V80" i="50"/>
  <c r="V118" i="50" s="1"/>
  <c r="P80" i="50"/>
  <c r="G80" i="50"/>
  <c r="AG80" i="50"/>
  <c r="AG118" i="50" s="1"/>
  <c r="W80" i="50"/>
  <c r="W118" i="50" s="1"/>
  <c r="L80" i="50"/>
  <c r="L118" i="50" s="1"/>
  <c r="H80" i="50"/>
  <c r="H118" i="50" s="1"/>
  <c r="I80" i="50"/>
  <c r="N80" i="50"/>
  <c r="O80" i="50"/>
  <c r="E80" i="50"/>
  <c r="AE72" i="50"/>
  <c r="AD72" i="50"/>
  <c r="T72" i="50"/>
  <c r="T110" i="50" s="1"/>
  <c r="X72" i="50"/>
  <c r="AB72" i="50"/>
  <c r="AB110" i="50" s="1"/>
  <c r="U72" i="50"/>
  <c r="AC72" i="50"/>
  <c r="AG72" i="50"/>
  <c r="Y72" i="50"/>
  <c r="M72" i="50"/>
  <c r="Q72" i="50"/>
  <c r="F72" i="50"/>
  <c r="J72" i="50"/>
  <c r="AF72" i="50"/>
  <c r="P72" i="50"/>
  <c r="G72" i="50"/>
  <c r="L72" i="50"/>
  <c r="L110" i="50" s="1"/>
  <c r="H72" i="50"/>
  <c r="V72" i="50"/>
  <c r="N72" i="50"/>
  <c r="I72" i="50"/>
  <c r="W72" i="50"/>
  <c r="O72" i="50"/>
  <c r="E72" i="50"/>
  <c r="E110" i="50" s="1"/>
  <c r="AD52" i="50"/>
  <c r="AE52" i="50"/>
  <c r="V52" i="50"/>
  <c r="AC52" i="50"/>
  <c r="AG52" i="50"/>
  <c r="AB52" i="50"/>
  <c r="U52" i="50"/>
  <c r="L52" i="50"/>
  <c r="L90" i="50" s="1"/>
  <c r="P52" i="50"/>
  <c r="W52" i="50"/>
  <c r="M52" i="50"/>
  <c r="AF52" i="50"/>
  <c r="T52" i="50"/>
  <c r="T90" i="50" s="1"/>
  <c r="Q52" i="50"/>
  <c r="F52" i="50"/>
  <c r="J52" i="50"/>
  <c r="I52" i="50"/>
  <c r="E52" i="50"/>
  <c r="E90" i="50" s="1"/>
  <c r="X52" i="50"/>
  <c r="N52" i="50"/>
  <c r="G52" i="50"/>
  <c r="Y52" i="50"/>
  <c r="O52" i="50"/>
  <c r="H52" i="50"/>
  <c r="AC69" i="50"/>
  <c r="AG69" i="50"/>
  <c r="AF69" i="50"/>
  <c r="V69" i="50"/>
  <c r="AE69" i="50"/>
  <c r="W69" i="50"/>
  <c r="AB69" i="50"/>
  <c r="AB107" i="50" s="1"/>
  <c r="AD69" i="50"/>
  <c r="U69" i="50"/>
  <c r="O69" i="50"/>
  <c r="H69" i="50"/>
  <c r="X69" i="50"/>
  <c r="M69" i="50"/>
  <c r="I69" i="50"/>
  <c r="Y69" i="50"/>
  <c r="N69" i="50"/>
  <c r="E69" i="50"/>
  <c r="E107" i="50" s="1"/>
  <c r="J69" i="50"/>
  <c r="J107" i="50" s="1"/>
  <c r="P69" i="50"/>
  <c r="F69" i="50"/>
  <c r="T69" i="50"/>
  <c r="U107" i="50" s="1"/>
  <c r="L69" i="50"/>
  <c r="L107" i="50" s="1"/>
  <c r="Q69" i="50"/>
  <c r="G69" i="50"/>
  <c r="G107" i="50" s="1"/>
  <c r="B107" i="50"/>
  <c r="C56" i="50"/>
  <c r="B94" i="50"/>
  <c r="C63" i="50"/>
  <c r="B101" i="50"/>
  <c r="B87" i="50"/>
  <c r="C49" i="50"/>
  <c r="C76" i="50"/>
  <c r="B114" i="50"/>
  <c r="B97" i="50"/>
  <c r="C59" i="50"/>
  <c r="B91" i="50"/>
  <c r="C53" i="50"/>
  <c r="B111" i="50"/>
  <c r="C73" i="50"/>
  <c r="B108" i="50"/>
  <c r="C70" i="50"/>
  <c r="B100" i="50"/>
  <c r="C62" i="50"/>
  <c r="C66" i="50"/>
  <c r="B88" i="50"/>
  <c r="C50" i="50"/>
  <c r="B84" i="50"/>
  <c r="C46" i="50"/>
  <c r="B117" i="50"/>
  <c r="C79" i="50"/>
  <c r="C55" i="50"/>
  <c r="B93" i="50"/>
  <c r="C67" i="50"/>
  <c r="B105" i="50"/>
  <c r="C78" i="50"/>
  <c r="B116" i="50"/>
  <c r="B95" i="50"/>
  <c r="C57" i="50"/>
  <c r="B106" i="50"/>
  <c r="C68" i="50"/>
  <c r="B85" i="50"/>
  <c r="C47" i="50"/>
  <c r="B96" i="50"/>
  <c r="C58" i="50"/>
  <c r="B119" i="50"/>
  <c r="C81" i="50"/>
  <c r="B92" i="50"/>
  <c r="C54" i="50"/>
  <c r="C65" i="50"/>
  <c r="B103" i="50"/>
  <c r="C77" i="50"/>
  <c r="B115" i="50"/>
  <c r="C71" i="50"/>
  <c r="B109" i="50"/>
  <c r="B99" i="50"/>
  <c r="C61" i="50"/>
  <c r="B89" i="50"/>
  <c r="C51" i="50"/>
  <c r="B112" i="50"/>
  <c r="C74" i="50"/>
  <c r="C64" i="50"/>
  <c r="B102" i="50"/>
  <c r="C75" i="50"/>
  <c r="B113" i="50"/>
  <c r="B6" i="28"/>
  <c r="D119" i="50"/>
  <c r="AF118" i="50"/>
  <c r="D118" i="50"/>
  <c r="C118" i="50" s="1"/>
  <c r="D117" i="50"/>
  <c r="D116" i="50"/>
  <c r="D115" i="50"/>
  <c r="D114" i="50"/>
  <c r="D113" i="50"/>
  <c r="D112" i="50"/>
  <c r="D111" i="50"/>
  <c r="AC110" i="50"/>
  <c r="J110" i="50"/>
  <c r="I110" i="50"/>
  <c r="D110" i="50"/>
  <c r="C110" i="50" s="1"/>
  <c r="D109" i="50"/>
  <c r="D108" i="50"/>
  <c r="T107" i="50"/>
  <c r="D107" i="50"/>
  <c r="D106" i="50"/>
  <c r="D105" i="50"/>
  <c r="D104" i="50"/>
  <c r="C104" i="50" s="1"/>
  <c r="D103" i="50"/>
  <c r="D102" i="50"/>
  <c r="D101" i="50"/>
  <c r="D100" i="50"/>
  <c r="D99" i="50"/>
  <c r="D98" i="50"/>
  <c r="C98" i="50" s="1"/>
  <c r="D97" i="50"/>
  <c r="D96" i="50"/>
  <c r="D95" i="50"/>
  <c r="D94" i="50"/>
  <c r="D93" i="50"/>
  <c r="D92" i="50"/>
  <c r="D91" i="50"/>
  <c r="V90" i="50"/>
  <c r="D90" i="50"/>
  <c r="C90" i="50" s="1"/>
  <c r="D89" i="50"/>
  <c r="D88" i="50"/>
  <c r="D87" i="50"/>
  <c r="X86" i="50"/>
  <c r="W86" i="50"/>
  <c r="N86" i="50"/>
  <c r="L86" i="50"/>
  <c r="I86" i="50"/>
  <c r="D86" i="50"/>
  <c r="C86" i="50" s="1"/>
  <c r="D85" i="50"/>
  <c r="D84" i="50"/>
  <c r="P90" i="50" l="1"/>
  <c r="G90" i="50"/>
  <c r="P110" i="50"/>
  <c r="C84" i="50"/>
  <c r="M118" i="50"/>
  <c r="AC107" i="50"/>
  <c r="F118" i="50"/>
  <c r="Y60" i="50"/>
  <c r="X90" i="50"/>
  <c r="N118" i="50"/>
  <c r="AD118" i="50"/>
  <c r="C87" i="50"/>
  <c r="C106" i="50"/>
  <c r="M60" i="50"/>
  <c r="C103" i="50"/>
  <c r="C111" i="50"/>
  <c r="H60" i="50"/>
  <c r="X60" i="50"/>
  <c r="O60" i="50"/>
  <c r="AC60" i="50"/>
  <c r="AD98" i="50" s="1"/>
  <c r="C101" i="50"/>
  <c r="AF107" i="50"/>
  <c r="C92" i="50"/>
  <c r="C96" i="50"/>
  <c r="Q107" i="50"/>
  <c r="C85" i="50"/>
  <c r="C89" i="50"/>
  <c r="C91" i="50"/>
  <c r="C107" i="50"/>
  <c r="C88" i="50"/>
  <c r="P60" i="50"/>
  <c r="E60" i="50"/>
  <c r="E98" i="50" s="1"/>
  <c r="J60" i="50"/>
  <c r="W60" i="50"/>
  <c r="U60" i="50"/>
  <c r="V60" i="50"/>
  <c r="T60" i="50"/>
  <c r="T98" i="50" s="1"/>
  <c r="L60" i="50"/>
  <c r="F60" i="50"/>
  <c r="AF60" i="50"/>
  <c r="AB60" i="50"/>
  <c r="AB98" i="50" s="1"/>
  <c r="AE60" i="50"/>
  <c r="G60" i="50"/>
  <c r="I60" i="50"/>
  <c r="Q60" i="50"/>
  <c r="N60" i="50"/>
  <c r="AG60" i="50"/>
  <c r="AG107" i="50"/>
  <c r="U90" i="50"/>
  <c r="AD110" i="50"/>
  <c r="G110" i="50"/>
  <c r="Q110" i="50"/>
  <c r="P118" i="50"/>
  <c r="AC118" i="50"/>
  <c r="H86" i="50"/>
  <c r="G86" i="50"/>
  <c r="V86" i="50"/>
  <c r="W90" i="50"/>
  <c r="W110" i="50"/>
  <c r="U110" i="50"/>
  <c r="U118" i="50"/>
  <c r="AD86" i="50"/>
  <c r="F86" i="50"/>
  <c r="I90" i="50"/>
  <c r="G118" i="50"/>
  <c r="U86" i="50"/>
  <c r="M90" i="50"/>
  <c r="N90" i="50"/>
  <c r="AG90" i="50"/>
  <c r="F107" i="50"/>
  <c r="N107" i="50"/>
  <c r="V107" i="50"/>
  <c r="J90" i="50"/>
  <c r="AD90" i="50"/>
  <c r="O110" i="50"/>
  <c r="X110" i="50"/>
  <c r="J118" i="50"/>
  <c r="X118" i="50"/>
  <c r="AG86" i="50"/>
  <c r="Q86" i="50"/>
  <c r="AC86" i="50"/>
  <c r="M86" i="50"/>
  <c r="Y110" i="50"/>
  <c r="E118" i="50"/>
  <c r="F110" i="50"/>
  <c r="I118" i="50"/>
  <c r="O90" i="50"/>
  <c r="Y107" i="50"/>
  <c r="N110" i="50"/>
  <c r="AC90" i="50"/>
  <c r="H110" i="50"/>
  <c r="AG110" i="50"/>
  <c r="J86" i="50"/>
  <c r="AE107" i="50"/>
  <c r="W107" i="50"/>
  <c r="H107" i="50"/>
  <c r="AD107" i="50"/>
  <c r="H90" i="50"/>
  <c r="I107" i="50"/>
  <c r="C116" i="50"/>
  <c r="C93" i="50"/>
  <c r="C94" i="50"/>
  <c r="M107" i="50"/>
  <c r="C99" i="50"/>
  <c r="Y90" i="50"/>
  <c r="F90" i="50"/>
  <c r="P107" i="50"/>
  <c r="X107" i="50"/>
  <c r="Q90" i="50"/>
  <c r="AE90" i="50"/>
  <c r="M110" i="50"/>
  <c r="AE110" i="50"/>
  <c r="O118" i="50"/>
  <c r="Q118" i="50"/>
  <c r="AE118" i="50"/>
  <c r="AE98" i="50"/>
  <c r="O86" i="50"/>
  <c r="Y86" i="50"/>
  <c r="AE86" i="50"/>
  <c r="C95" i="50"/>
  <c r="P86" i="50"/>
  <c r="AF86" i="50"/>
  <c r="AB90" i="50"/>
  <c r="AF90" i="50"/>
  <c r="C97" i="50"/>
  <c r="C105" i="50"/>
  <c r="O107" i="50"/>
  <c r="C109" i="50"/>
  <c r="V110" i="50"/>
  <c r="AF110" i="50"/>
  <c r="C102" i="50"/>
  <c r="C100" i="50"/>
  <c r="AE74" i="50"/>
  <c r="AC74" i="50"/>
  <c r="T74" i="50"/>
  <c r="T112" i="50" s="1"/>
  <c r="X74" i="50"/>
  <c r="AD74" i="50"/>
  <c r="Y74" i="50"/>
  <c r="AF74" i="50"/>
  <c r="AB74" i="50"/>
  <c r="AB112" i="50" s="1"/>
  <c r="W74" i="50"/>
  <c r="M74" i="50"/>
  <c r="Q74" i="50"/>
  <c r="F74" i="50"/>
  <c r="J74" i="50"/>
  <c r="O74" i="50"/>
  <c r="E74" i="50"/>
  <c r="E112" i="50" s="1"/>
  <c r="P74" i="50"/>
  <c r="G74" i="50"/>
  <c r="AG74" i="50"/>
  <c r="U74" i="50"/>
  <c r="U112" i="50" s="1"/>
  <c r="L74" i="50"/>
  <c r="L112" i="50" s="1"/>
  <c r="H74" i="50"/>
  <c r="H112" i="50" s="1"/>
  <c r="V74" i="50"/>
  <c r="N74" i="50"/>
  <c r="I74" i="50"/>
  <c r="AB61" i="50"/>
  <c r="AB99" i="50" s="1"/>
  <c r="AC61" i="50"/>
  <c r="AG61" i="50"/>
  <c r="T61" i="50"/>
  <c r="T99" i="50" s="1"/>
  <c r="X61" i="50"/>
  <c r="AF61" i="50"/>
  <c r="U61" i="50"/>
  <c r="AD61" i="50"/>
  <c r="Y61" i="50"/>
  <c r="Y99" i="50" s="1"/>
  <c r="P61" i="50"/>
  <c r="AE61" i="50"/>
  <c r="W61" i="50"/>
  <c r="O61" i="50"/>
  <c r="H61" i="50"/>
  <c r="L61" i="50"/>
  <c r="L99" i="50" s="1"/>
  <c r="I61" i="50"/>
  <c r="V61" i="50"/>
  <c r="M61" i="50"/>
  <c r="E61" i="50"/>
  <c r="E99" i="50" s="1"/>
  <c r="J61" i="50"/>
  <c r="N61" i="50"/>
  <c r="F61" i="50"/>
  <c r="Q61" i="50"/>
  <c r="G61" i="50"/>
  <c r="AD54" i="50"/>
  <c r="AE54" i="50"/>
  <c r="V54" i="50"/>
  <c r="AC54" i="50"/>
  <c r="AG54" i="50"/>
  <c r="AF54" i="50"/>
  <c r="AF92" i="50" s="1"/>
  <c r="T54" i="50"/>
  <c r="T92" i="50" s="1"/>
  <c r="Y54" i="50"/>
  <c r="AB54" i="50"/>
  <c r="AB92" i="50" s="1"/>
  <c r="X54" i="50"/>
  <c r="N54" i="50"/>
  <c r="W54" i="50"/>
  <c r="M54" i="50"/>
  <c r="Q54" i="50"/>
  <c r="F54" i="50"/>
  <c r="J54" i="50"/>
  <c r="O54" i="50"/>
  <c r="H54" i="50"/>
  <c r="U54" i="50"/>
  <c r="U92" i="50" s="1"/>
  <c r="P54" i="50"/>
  <c r="I54" i="50"/>
  <c r="E54" i="50"/>
  <c r="E92" i="50" s="1"/>
  <c r="L54" i="50"/>
  <c r="L92" i="50" s="1"/>
  <c r="G54" i="50"/>
  <c r="AD58" i="50"/>
  <c r="AE58" i="50"/>
  <c r="V58" i="50"/>
  <c r="AC58" i="50"/>
  <c r="AG58" i="50"/>
  <c r="W58" i="50"/>
  <c r="AB58" i="50"/>
  <c r="AB96" i="50" s="1"/>
  <c r="U58" i="50"/>
  <c r="N58" i="50"/>
  <c r="AF58" i="50"/>
  <c r="AF96" i="50" s="1"/>
  <c r="T58" i="50"/>
  <c r="T96" i="50" s="1"/>
  <c r="M58" i="50"/>
  <c r="Q58" i="50"/>
  <c r="F58" i="50"/>
  <c r="J58" i="50"/>
  <c r="X58" i="50"/>
  <c r="O58" i="50"/>
  <c r="O96" i="50" s="1"/>
  <c r="E58" i="50"/>
  <c r="E96" i="50" s="1"/>
  <c r="Y58" i="50"/>
  <c r="P58" i="50"/>
  <c r="G58" i="50"/>
  <c r="H58" i="50"/>
  <c r="L58" i="50"/>
  <c r="L96" i="50" s="1"/>
  <c r="I58" i="50"/>
  <c r="AE68" i="50"/>
  <c r="AB68" i="50"/>
  <c r="AB106" i="50" s="1"/>
  <c r="AG68" i="50"/>
  <c r="T68" i="50"/>
  <c r="T106" i="50" s="1"/>
  <c r="X68" i="50"/>
  <c r="AD68" i="50"/>
  <c r="W68" i="50"/>
  <c r="AF68" i="50"/>
  <c r="AC68" i="50"/>
  <c r="V68" i="50"/>
  <c r="M68" i="50"/>
  <c r="Q68" i="50"/>
  <c r="F68" i="50"/>
  <c r="J68" i="50"/>
  <c r="N68" i="50"/>
  <c r="N106" i="50" s="1"/>
  <c r="I68" i="50"/>
  <c r="U68" i="50"/>
  <c r="O68" i="50"/>
  <c r="E68" i="50"/>
  <c r="E106" i="50" s="1"/>
  <c r="Y68" i="50"/>
  <c r="P68" i="50"/>
  <c r="G68" i="50"/>
  <c r="L68" i="50"/>
  <c r="L106" i="50" s="1"/>
  <c r="H68" i="50"/>
  <c r="AD46" i="50"/>
  <c r="AF46" i="50"/>
  <c r="Y46" i="50"/>
  <c r="X46" i="50"/>
  <c r="T46" i="50"/>
  <c r="T84" i="50" s="1"/>
  <c r="AC46" i="50"/>
  <c r="Q46" i="50"/>
  <c r="AE46" i="50"/>
  <c r="U46" i="50"/>
  <c r="U84" i="50" s="1"/>
  <c r="O46" i="50"/>
  <c r="E46" i="50"/>
  <c r="E84" i="50" s="1"/>
  <c r="AB46" i="50"/>
  <c r="AB84" i="50" s="1"/>
  <c r="W46" i="50"/>
  <c r="M46" i="50"/>
  <c r="V46" i="50"/>
  <c r="L46" i="50"/>
  <c r="L84" i="50" s="1"/>
  <c r="P46" i="50"/>
  <c r="AG46" i="50"/>
  <c r="AG84" i="50" s="1"/>
  <c r="N46" i="50"/>
  <c r="AE66" i="50"/>
  <c r="V66" i="50"/>
  <c r="AC66" i="50"/>
  <c r="W66" i="50"/>
  <c r="AB66" i="50"/>
  <c r="AB104" i="50" s="1"/>
  <c r="X66" i="50"/>
  <c r="N66" i="50"/>
  <c r="AD66" i="50"/>
  <c r="AF66" i="50"/>
  <c r="AF104" i="50" s="1"/>
  <c r="AG66" i="50"/>
  <c r="U66" i="50"/>
  <c r="M66" i="50"/>
  <c r="Q66" i="50"/>
  <c r="F66" i="50"/>
  <c r="J66" i="50"/>
  <c r="L66" i="50"/>
  <c r="L104" i="50" s="1"/>
  <c r="E66" i="50"/>
  <c r="E104" i="50" s="1"/>
  <c r="T66" i="50"/>
  <c r="T104" i="50" s="1"/>
  <c r="O66" i="50"/>
  <c r="O104" i="50" s="1"/>
  <c r="G66" i="50"/>
  <c r="Y66" i="50"/>
  <c r="P66" i="50"/>
  <c r="H66" i="50"/>
  <c r="I66" i="50"/>
  <c r="AE76" i="50"/>
  <c r="AB76" i="50"/>
  <c r="AB114" i="50" s="1"/>
  <c r="AG76" i="50"/>
  <c r="T76" i="50"/>
  <c r="T114" i="50" s="1"/>
  <c r="X76" i="50"/>
  <c r="AF76" i="50"/>
  <c r="W76" i="50"/>
  <c r="AD76" i="50"/>
  <c r="V76" i="50"/>
  <c r="M76" i="50"/>
  <c r="Q76" i="50"/>
  <c r="F76" i="50"/>
  <c r="J76" i="50"/>
  <c r="Y76" i="50"/>
  <c r="N76" i="50"/>
  <c r="I76" i="50"/>
  <c r="O76" i="50"/>
  <c r="E76" i="50"/>
  <c r="E114" i="50" s="1"/>
  <c r="P76" i="50"/>
  <c r="G76" i="50"/>
  <c r="G114" i="50" s="1"/>
  <c r="AC76" i="50"/>
  <c r="U76" i="50"/>
  <c r="L76" i="50"/>
  <c r="L114" i="50" s="1"/>
  <c r="H76" i="50"/>
  <c r="H114" i="50" s="1"/>
  <c r="AC63" i="50"/>
  <c r="AG63" i="50"/>
  <c r="T63" i="50"/>
  <c r="T101" i="50" s="1"/>
  <c r="X63" i="50"/>
  <c r="AE63" i="50"/>
  <c r="Y63" i="50"/>
  <c r="AF63" i="50"/>
  <c r="U63" i="50"/>
  <c r="L63" i="50"/>
  <c r="L101" i="50" s="1"/>
  <c r="P63" i="50"/>
  <c r="AB63" i="50"/>
  <c r="AB101" i="50" s="1"/>
  <c r="AD63" i="50"/>
  <c r="O63" i="50"/>
  <c r="H63" i="50"/>
  <c r="V63" i="50"/>
  <c r="N63" i="50"/>
  <c r="G63" i="50"/>
  <c r="W63" i="50"/>
  <c r="Q63" i="50"/>
  <c r="I63" i="50"/>
  <c r="E63" i="50"/>
  <c r="E101" i="50" s="1"/>
  <c r="J63" i="50"/>
  <c r="M63" i="50"/>
  <c r="F63" i="50"/>
  <c r="AC75" i="50"/>
  <c r="AG75" i="50"/>
  <c r="AB75" i="50"/>
  <c r="AB113" i="50" s="1"/>
  <c r="V75" i="50"/>
  <c r="AE75" i="50"/>
  <c r="X75" i="50"/>
  <c r="AF75" i="50"/>
  <c r="AD75" i="50"/>
  <c r="W75" i="50"/>
  <c r="O75" i="50"/>
  <c r="H75" i="50"/>
  <c r="T75" i="50"/>
  <c r="T113" i="50" s="1"/>
  <c r="N75" i="50"/>
  <c r="E75" i="50"/>
  <c r="E113" i="50" s="1"/>
  <c r="J75" i="50"/>
  <c r="U75" i="50"/>
  <c r="U113" i="50" s="1"/>
  <c r="P75" i="50"/>
  <c r="F75" i="50"/>
  <c r="F113" i="50" s="1"/>
  <c r="Y75" i="50"/>
  <c r="L75" i="50"/>
  <c r="L113" i="50" s="1"/>
  <c r="Q75" i="50"/>
  <c r="Q113" i="50" s="1"/>
  <c r="G75" i="50"/>
  <c r="G113" i="50" s="1"/>
  <c r="M75" i="50"/>
  <c r="I75" i="50"/>
  <c r="AC77" i="50"/>
  <c r="AG77" i="50"/>
  <c r="AF77" i="50"/>
  <c r="V77" i="50"/>
  <c r="W77" i="50"/>
  <c r="AB77" i="50"/>
  <c r="AB115" i="50" s="1"/>
  <c r="AE77" i="50"/>
  <c r="U77" i="50"/>
  <c r="O77" i="50"/>
  <c r="H77" i="50"/>
  <c r="AD77" i="50"/>
  <c r="M77" i="50"/>
  <c r="I77" i="50"/>
  <c r="T77" i="50"/>
  <c r="T115" i="50" s="1"/>
  <c r="N77" i="50"/>
  <c r="E77" i="50"/>
  <c r="E115" i="50" s="1"/>
  <c r="J77" i="50"/>
  <c r="P77" i="50"/>
  <c r="F77" i="50"/>
  <c r="X77" i="50"/>
  <c r="Y77" i="50"/>
  <c r="L77" i="50"/>
  <c r="L115" i="50" s="1"/>
  <c r="Q77" i="50"/>
  <c r="G77" i="50"/>
  <c r="AE78" i="50"/>
  <c r="AF78" i="50"/>
  <c r="T78" i="50"/>
  <c r="T116" i="50" s="1"/>
  <c r="X78" i="50"/>
  <c r="AB78" i="50"/>
  <c r="AB116" i="50" s="1"/>
  <c r="V78" i="50"/>
  <c r="AC78" i="50"/>
  <c r="AG78" i="50"/>
  <c r="U78" i="50"/>
  <c r="M78" i="50"/>
  <c r="Q78" i="50"/>
  <c r="F78" i="50"/>
  <c r="J78" i="50"/>
  <c r="W78" i="50"/>
  <c r="W116" i="50" s="1"/>
  <c r="L78" i="50"/>
  <c r="L116" i="50" s="1"/>
  <c r="H78" i="50"/>
  <c r="AD78" i="50"/>
  <c r="Y78" i="50"/>
  <c r="N78" i="50"/>
  <c r="I78" i="50"/>
  <c r="I116" i="50" s="1"/>
  <c r="O78" i="50"/>
  <c r="E78" i="50"/>
  <c r="E116" i="50" s="1"/>
  <c r="P78" i="50"/>
  <c r="G78" i="50"/>
  <c r="G116" i="50" s="1"/>
  <c r="AB55" i="50"/>
  <c r="AB93" i="50" s="1"/>
  <c r="AF55" i="50"/>
  <c r="AC55" i="50"/>
  <c r="AG55" i="50"/>
  <c r="T55" i="50"/>
  <c r="T93" i="50" s="1"/>
  <c r="X55" i="50"/>
  <c r="AE55" i="50"/>
  <c r="Y55" i="50"/>
  <c r="L55" i="50"/>
  <c r="L93" i="50" s="1"/>
  <c r="P55" i="50"/>
  <c r="AD55" i="50"/>
  <c r="AD93" i="50" s="1"/>
  <c r="W55" i="50"/>
  <c r="O55" i="50"/>
  <c r="H55" i="50"/>
  <c r="Q55" i="50"/>
  <c r="G55" i="50"/>
  <c r="I55" i="50"/>
  <c r="U55" i="50"/>
  <c r="M55" i="50"/>
  <c r="J55" i="50"/>
  <c r="E55" i="50"/>
  <c r="E93" i="50" s="1"/>
  <c r="V55" i="50"/>
  <c r="V93" i="50" s="1"/>
  <c r="N55" i="50"/>
  <c r="F55" i="50"/>
  <c r="AE62" i="50"/>
  <c r="V62" i="50"/>
  <c r="AF62" i="50"/>
  <c r="T62" i="50"/>
  <c r="T100" i="50" s="1"/>
  <c r="Y62" i="50"/>
  <c r="AD62" i="50"/>
  <c r="N62" i="50"/>
  <c r="AG62" i="50"/>
  <c r="AB62" i="50"/>
  <c r="AB100" i="50" s="1"/>
  <c r="AC62" i="50"/>
  <c r="X62" i="50"/>
  <c r="M62" i="50"/>
  <c r="Q62" i="50"/>
  <c r="F62" i="50"/>
  <c r="J62" i="50"/>
  <c r="L62" i="50"/>
  <c r="L100" i="50" s="1"/>
  <c r="H62" i="50"/>
  <c r="O62" i="50"/>
  <c r="I62" i="50"/>
  <c r="U62" i="50"/>
  <c r="U100" i="50" s="1"/>
  <c r="P62" i="50"/>
  <c r="E62" i="50"/>
  <c r="E100" i="50" s="1"/>
  <c r="W62" i="50"/>
  <c r="G62" i="50"/>
  <c r="AC73" i="50"/>
  <c r="AG73" i="50"/>
  <c r="AD73" i="50"/>
  <c r="V73" i="50"/>
  <c r="AB73" i="50"/>
  <c r="AB111" i="50" s="1"/>
  <c r="T73" i="50"/>
  <c r="T111" i="50" s="1"/>
  <c r="Y73" i="50"/>
  <c r="AE73" i="50"/>
  <c r="X73" i="50"/>
  <c r="O73" i="50"/>
  <c r="H73" i="50"/>
  <c r="U73" i="50"/>
  <c r="P73" i="50"/>
  <c r="F73" i="50"/>
  <c r="AF73" i="50"/>
  <c r="W73" i="50"/>
  <c r="W111" i="50" s="1"/>
  <c r="L73" i="50"/>
  <c r="L111" i="50" s="1"/>
  <c r="Q73" i="50"/>
  <c r="G73" i="50"/>
  <c r="M73" i="50"/>
  <c r="I73" i="50"/>
  <c r="N73" i="50"/>
  <c r="E73" i="50"/>
  <c r="E111" i="50" s="1"/>
  <c r="J73" i="50"/>
  <c r="AB59" i="50"/>
  <c r="AB97" i="50" s="1"/>
  <c r="AF59" i="50"/>
  <c r="AC59" i="50"/>
  <c r="AG59" i="50"/>
  <c r="T59" i="50"/>
  <c r="T97" i="50" s="1"/>
  <c r="X59" i="50"/>
  <c r="AE59" i="50"/>
  <c r="V59" i="50"/>
  <c r="W59" i="50"/>
  <c r="L59" i="50"/>
  <c r="L97" i="50" s="1"/>
  <c r="P59" i="50"/>
  <c r="AD59" i="50"/>
  <c r="U59" i="50"/>
  <c r="U97" i="50" s="1"/>
  <c r="O59" i="50"/>
  <c r="H59" i="50"/>
  <c r="Q59" i="50"/>
  <c r="E59" i="50"/>
  <c r="E97" i="50" s="1"/>
  <c r="J59" i="50"/>
  <c r="F59" i="50"/>
  <c r="Y59" i="50"/>
  <c r="M59" i="50"/>
  <c r="G59" i="50"/>
  <c r="N59" i="50"/>
  <c r="I59" i="50"/>
  <c r="AB49" i="50"/>
  <c r="AB87" i="50" s="1"/>
  <c r="AF49" i="50"/>
  <c r="AC49" i="50"/>
  <c r="AG49" i="50"/>
  <c r="T49" i="50"/>
  <c r="T87" i="50" s="1"/>
  <c r="X49" i="50"/>
  <c r="AE49" i="50"/>
  <c r="AD49" i="50"/>
  <c r="W49" i="50"/>
  <c r="N49" i="50"/>
  <c r="O49" i="50"/>
  <c r="Y49" i="50"/>
  <c r="M49" i="50"/>
  <c r="H49" i="50"/>
  <c r="U49" i="50"/>
  <c r="P49" i="50"/>
  <c r="F49" i="50"/>
  <c r="V49" i="50"/>
  <c r="Q49" i="50"/>
  <c r="G49" i="50"/>
  <c r="I49" i="50"/>
  <c r="L49" i="50"/>
  <c r="L87" i="50" s="1"/>
  <c r="E49" i="50"/>
  <c r="E87" i="50" s="1"/>
  <c r="J49" i="50"/>
  <c r="AB51" i="50"/>
  <c r="AB89" i="50" s="1"/>
  <c r="AF51" i="50"/>
  <c r="AC51" i="50"/>
  <c r="AG51" i="50"/>
  <c r="T51" i="50"/>
  <c r="T89" i="50" s="1"/>
  <c r="X51" i="50"/>
  <c r="AE51" i="50"/>
  <c r="V51" i="50"/>
  <c r="N51" i="50"/>
  <c r="U51" i="50"/>
  <c r="M51" i="50"/>
  <c r="AD51" i="50"/>
  <c r="L51" i="50"/>
  <c r="L89" i="50" s="1"/>
  <c r="Q51" i="50"/>
  <c r="H51" i="50"/>
  <c r="W51" i="50"/>
  <c r="W89" i="50" s="1"/>
  <c r="O51" i="50"/>
  <c r="E51" i="50"/>
  <c r="E89" i="50" s="1"/>
  <c r="J51" i="50"/>
  <c r="Y51" i="50"/>
  <c r="P51" i="50"/>
  <c r="F51" i="50"/>
  <c r="F89" i="50" s="1"/>
  <c r="G51" i="50"/>
  <c r="I51" i="50"/>
  <c r="AC81" i="50"/>
  <c r="AG81" i="50"/>
  <c r="AD81" i="50"/>
  <c r="V81" i="50"/>
  <c r="AE81" i="50"/>
  <c r="T81" i="50"/>
  <c r="T119" i="50" s="1"/>
  <c r="Y81" i="50"/>
  <c r="AB81" i="50"/>
  <c r="AB119" i="50" s="1"/>
  <c r="X81" i="50"/>
  <c r="O81" i="50"/>
  <c r="H81" i="50"/>
  <c r="P81" i="50"/>
  <c r="F81" i="50"/>
  <c r="L81" i="50"/>
  <c r="L119" i="50" s="1"/>
  <c r="Q81" i="50"/>
  <c r="G81" i="50"/>
  <c r="AF81" i="50"/>
  <c r="AF119" i="50" s="1"/>
  <c r="U81" i="50"/>
  <c r="U119" i="50" s="1"/>
  <c r="M81" i="50"/>
  <c r="I81" i="50"/>
  <c r="W81" i="50"/>
  <c r="N81" i="50"/>
  <c r="E81" i="50"/>
  <c r="E119" i="50" s="1"/>
  <c r="J81" i="50"/>
  <c r="J119" i="50" s="1"/>
  <c r="AB47" i="50"/>
  <c r="AB85" i="50" s="1"/>
  <c r="AF47" i="50"/>
  <c r="AC47" i="50"/>
  <c r="AG47" i="50"/>
  <c r="T47" i="50"/>
  <c r="T85" i="50" s="1"/>
  <c r="X47" i="50"/>
  <c r="AE47" i="50"/>
  <c r="Y47" i="50"/>
  <c r="N47" i="50"/>
  <c r="AD47" i="50"/>
  <c r="W47" i="50"/>
  <c r="P47" i="50"/>
  <c r="V47" i="50"/>
  <c r="O47" i="50"/>
  <c r="H47" i="50"/>
  <c r="Q47" i="50"/>
  <c r="Q85" i="50" s="1"/>
  <c r="G47" i="50"/>
  <c r="U47" i="50"/>
  <c r="I47" i="50"/>
  <c r="L47" i="50"/>
  <c r="L85" i="50" s="1"/>
  <c r="E47" i="50"/>
  <c r="E85" i="50" s="1"/>
  <c r="J47" i="50"/>
  <c r="M47" i="50"/>
  <c r="F47" i="50"/>
  <c r="AB57" i="50"/>
  <c r="AB95" i="50" s="1"/>
  <c r="AF57" i="50"/>
  <c r="AC57" i="50"/>
  <c r="AG57" i="50"/>
  <c r="T57" i="50"/>
  <c r="T95" i="50" s="1"/>
  <c r="X57" i="50"/>
  <c r="AE57" i="50"/>
  <c r="AD57" i="50"/>
  <c r="W57" i="50"/>
  <c r="U57" i="50"/>
  <c r="L57" i="50"/>
  <c r="L95" i="50" s="1"/>
  <c r="P57" i="50"/>
  <c r="O57" i="50"/>
  <c r="H57" i="50"/>
  <c r="M57" i="50"/>
  <c r="M95" i="50" s="1"/>
  <c r="F57" i="50"/>
  <c r="N57" i="50"/>
  <c r="G57" i="50"/>
  <c r="V57" i="50"/>
  <c r="Q57" i="50"/>
  <c r="Q95" i="50" s="1"/>
  <c r="I57" i="50"/>
  <c r="Y57" i="50"/>
  <c r="Y95" i="50" s="1"/>
  <c r="E57" i="50"/>
  <c r="E95" i="50" s="1"/>
  <c r="J57" i="50"/>
  <c r="AC79" i="50"/>
  <c r="AG79" i="50"/>
  <c r="AE79" i="50"/>
  <c r="V79" i="50"/>
  <c r="AB79" i="50"/>
  <c r="AB117" i="50" s="1"/>
  <c r="U79" i="50"/>
  <c r="T79" i="50"/>
  <c r="T117" i="50" s="1"/>
  <c r="Y79" i="50"/>
  <c r="O79" i="50"/>
  <c r="H79" i="50"/>
  <c r="L79" i="50"/>
  <c r="L117" i="50" s="1"/>
  <c r="Q79" i="50"/>
  <c r="G79" i="50"/>
  <c r="M79" i="50"/>
  <c r="I79" i="50"/>
  <c r="AD79" i="50"/>
  <c r="W79" i="50"/>
  <c r="N79" i="50"/>
  <c r="N117" i="50" s="1"/>
  <c r="J79" i="50"/>
  <c r="J117" i="50" s="1"/>
  <c r="E79" i="50"/>
  <c r="E117" i="50" s="1"/>
  <c r="AF79" i="50"/>
  <c r="X79" i="50"/>
  <c r="P79" i="50"/>
  <c r="F79" i="50"/>
  <c r="F117" i="50" s="1"/>
  <c r="AD50" i="50"/>
  <c r="AE50" i="50"/>
  <c r="V50" i="50"/>
  <c r="AC50" i="50"/>
  <c r="AG50" i="50"/>
  <c r="W50" i="50"/>
  <c r="L50" i="50"/>
  <c r="L88" i="50" s="1"/>
  <c r="P50" i="50"/>
  <c r="AF50" i="50"/>
  <c r="T50" i="50"/>
  <c r="T88" i="50" s="1"/>
  <c r="N50" i="50"/>
  <c r="AB50" i="50"/>
  <c r="AB88" i="50" s="1"/>
  <c r="Y50" i="50"/>
  <c r="M50" i="50"/>
  <c r="F50" i="50"/>
  <c r="J50" i="50"/>
  <c r="E50" i="50"/>
  <c r="E88" i="50" s="1"/>
  <c r="G50" i="50"/>
  <c r="U50" i="50"/>
  <c r="O50" i="50"/>
  <c r="H50" i="50"/>
  <c r="X50" i="50"/>
  <c r="X88" i="50" s="1"/>
  <c r="Q50" i="50"/>
  <c r="I50" i="50"/>
  <c r="AD56" i="50"/>
  <c r="AE56" i="50"/>
  <c r="V56" i="50"/>
  <c r="AC56" i="50"/>
  <c r="AG56" i="50"/>
  <c r="X56" i="50"/>
  <c r="T56" i="50"/>
  <c r="T94" i="50" s="1"/>
  <c r="N56" i="50"/>
  <c r="AB56" i="50"/>
  <c r="AB94" i="50" s="1"/>
  <c r="AF56" i="50"/>
  <c r="AF94" i="50" s="1"/>
  <c r="Y56" i="50"/>
  <c r="M56" i="50"/>
  <c r="Q56" i="50"/>
  <c r="F56" i="50"/>
  <c r="J56" i="50"/>
  <c r="U56" i="50"/>
  <c r="G56" i="50"/>
  <c r="W56" i="50"/>
  <c r="L56" i="50"/>
  <c r="L94" i="50" s="1"/>
  <c r="H56" i="50"/>
  <c r="O56" i="50"/>
  <c r="I56" i="50"/>
  <c r="P56" i="50"/>
  <c r="E56" i="50"/>
  <c r="E94" i="50" s="1"/>
  <c r="AE64" i="50"/>
  <c r="V64" i="50"/>
  <c r="AD64" i="50"/>
  <c r="X64" i="50"/>
  <c r="AG64" i="50"/>
  <c r="U64" i="50"/>
  <c r="N64" i="50"/>
  <c r="AB64" i="50"/>
  <c r="AB102" i="50" s="1"/>
  <c r="AC64" i="50"/>
  <c r="AF64" i="50"/>
  <c r="T64" i="50"/>
  <c r="T102" i="50" s="1"/>
  <c r="M64" i="50"/>
  <c r="Q64" i="50"/>
  <c r="F64" i="50"/>
  <c r="J64" i="50"/>
  <c r="P64" i="50"/>
  <c r="G64" i="50"/>
  <c r="H64" i="50"/>
  <c r="W64" i="50"/>
  <c r="L64" i="50"/>
  <c r="L102" i="50" s="1"/>
  <c r="I64" i="50"/>
  <c r="Y64" i="50"/>
  <c r="O64" i="50"/>
  <c r="O102" i="50" s="1"/>
  <c r="E64" i="50"/>
  <c r="E102" i="50" s="1"/>
  <c r="AC71" i="50"/>
  <c r="AG71" i="50"/>
  <c r="AE71" i="50"/>
  <c r="V71" i="50"/>
  <c r="U71" i="50"/>
  <c r="AB71" i="50"/>
  <c r="AB109" i="50" s="1"/>
  <c r="AD71" i="50"/>
  <c r="AF71" i="50"/>
  <c r="T71" i="50"/>
  <c r="T109" i="50" s="1"/>
  <c r="Y71" i="50"/>
  <c r="O71" i="50"/>
  <c r="H71" i="50"/>
  <c r="W71" i="50"/>
  <c r="L71" i="50"/>
  <c r="L109" i="50" s="1"/>
  <c r="Q71" i="50"/>
  <c r="G71" i="50"/>
  <c r="X71" i="50"/>
  <c r="X109" i="50" s="1"/>
  <c r="M71" i="50"/>
  <c r="M109" i="50" s="1"/>
  <c r="I71" i="50"/>
  <c r="J71" i="50"/>
  <c r="N71" i="50"/>
  <c r="E71" i="50"/>
  <c r="E109" i="50" s="1"/>
  <c r="P71" i="50"/>
  <c r="P109" i="50" s="1"/>
  <c r="F71" i="50"/>
  <c r="AC65" i="50"/>
  <c r="AG65" i="50"/>
  <c r="T65" i="50"/>
  <c r="T103" i="50" s="1"/>
  <c r="X65" i="50"/>
  <c r="AD65" i="50"/>
  <c r="AD103" i="50" s="1"/>
  <c r="W65" i="50"/>
  <c r="V65" i="50"/>
  <c r="L65" i="50"/>
  <c r="L103" i="50" s="1"/>
  <c r="P65" i="50"/>
  <c r="AB65" i="50"/>
  <c r="AB103" i="50" s="1"/>
  <c r="AE65" i="50"/>
  <c r="AF65" i="50"/>
  <c r="U65" i="50"/>
  <c r="O65" i="50"/>
  <c r="H65" i="50"/>
  <c r="Y65" i="50"/>
  <c r="F65" i="50"/>
  <c r="M65" i="50"/>
  <c r="G65" i="50"/>
  <c r="N65" i="50"/>
  <c r="I65" i="50"/>
  <c r="Q65" i="50"/>
  <c r="E65" i="50"/>
  <c r="E103" i="50" s="1"/>
  <c r="J65" i="50"/>
  <c r="AC67" i="50"/>
  <c r="AG67" i="50"/>
  <c r="T67" i="50"/>
  <c r="T105" i="50" s="1"/>
  <c r="AB67" i="50"/>
  <c r="AB105" i="50" s="1"/>
  <c r="V67" i="50"/>
  <c r="AD67" i="50"/>
  <c r="X67" i="50"/>
  <c r="L67" i="50"/>
  <c r="L105" i="50" s="1"/>
  <c r="AE67" i="50"/>
  <c r="AF67" i="50"/>
  <c r="W67" i="50"/>
  <c r="O67" i="50"/>
  <c r="H67" i="50"/>
  <c r="Y67" i="50"/>
  <c r="N67" i="50"/>
  <c r="E67" i="50"/>
  <c r="E105" i="50" s="1"/>
  <c r="J67" i="50"/>
  <c r="P67" i="50"/>
  <c r="F67" i="50"/>
  <c r="Q67" i="50"/>
  <c r="G67" i="50"/>
  <c r="U67" i="50"/>
  <c r="M67" i="50"/>
  <c r="I67" i="50"/>
  <c r="AE70" i="50"/>
  <c r="AF70" i="50"/>
  <c r="T70" i="50"/>
  <c r="T108" i="50" s="1"/>
  <c r="X70" i="50"/>
  <c r="AG70" i="50"/>
  <c r="V70" i="50"/>
  <c r="AB70" i="50"/>
  <c r="AB108" i="50" s="1"/>
  <c r="AC70" i="50"/>
  <c r="AD70" i="50"/>
  <c r="U70" i="50"/>
  <c r="M70" i="50"/>
  <c r="Q70" i="50"/>
  <c r="F70" i="50"/>
  <c r="J70" i="50"/>
  <c r="L70" i="50"/>
  <c r="L108" i="50" s="1"/>
  <c r="H70" i="50"/>
  <c r="N70" i="50"/>
  <c r="I70" i="50"/>
  <c r="W70" i="50"/>
  <c r="O70" i="50"/>
  <c r="E70" i="50"/>
  <c r="E108" i="50" s="1"/>
  <c r="Y70" i="50"/>
  <c r="P70" i="50"/>
  <c r="G70" i="50"/>
  <c r="AB53" i="50"/>
  <c r="AB91" i="50" s="1"/>
  <c r="AF53" i="50"/>
  <c r="AC53" i="50"/>
  <c r="AG53" i="50"/>
  <c r="T53" i="50"/>
  <c r="T91" i="50" s="1"/>
  <c r="X53" i="50"/>
  <c r="AE53" i="50"/>
  <c r="U53" i="50"/>
  <c r="W53" i="50"/>
  <c r="L53" i="50"/>
  <c r="L91" i="50" s="1"/>
  <c r="P53" i="50"/>
  <c r="AD53" i="50"/>
  <c r="V53" i="50"/>
  <c r="O53" i="50"/>
  <c r="H53" i="50"/>
  <c r="Y53" i="50"/>
  <c r="M53" i="50"/>
  <c r="I53" i="50"/>
  <c r="N53" i="50"/>
  <c r="E53" i="50"/>
  <c r="E91" i="50" s="1"/>
  <c r="J53" i="50"/>
  <c r="Q53" i="50"/>
  <c r="F53" i="50"/>
  <c r="G53" i="50"/>
  <c r="C108" i="50"/>
  <c r="C114" i="50"/>
  <c r="C112" i="50"/>
  <c r="C117" i="50"/>
  <c r="J46" i="50"/>
  <c r="F46" i="50"/>
  <c r="H46" i="50"/>
  <c r="I46" i="50"/>
  <c r="G46" i="50"/>
  <c r="C115" i="50"/>
  <c r="I85" i="50"/>
  <c r="C113" i="50"/>
  <c r="C119" i="50"/>
  <c r="B2" i="28"/>
  <c r="J42" i="42"/>
  <c r="I42" i="42"/>
  <c r="P89" i="50" l="1"/>
  <c r="J115" i="50"/>
  <c r="J99" i="50"/>
  <c r="O89" i="50"/>
  <c r="Y98" i="50"/>
  <c r="V98" i="50"/>
  <c r="U98" i="50"/>
  <c r="H98" i="50"/>
  <c r="F98" i="50"/>
  <c r="P98" i="50"/>
  <c r="N98" i="50"/>
  <c r="M98" i="50"/>
  <c r="G98" i="50"/>
  <c r="AC98" i="50"/>
  <c r="Q98" i="50"/>
  <c r="Y103" i="50"/>
  <c r="J98" i="50"/>
  <c r="AF98" i="50"/>
  <c r="W98" i="50"/>
  <c r="L98" i="50"/>
  <c r="AG98" i="50"/>
  <c r="O98" i="50"/>
  <c r="X98" i="50"/>
  <c r="I98" i="50"/>
  <c r="N93" i="50"/>
  <c r="U105" i="50"/>
  <c r="W94" i="50"/>
  <c r="N119" i="50"/>
  <c r="G97" i="50"/>
  <c r="O100" i="50"/>
  <c r="W101" i="50"/>
  <c r="P106" i="50"/>
  <c r="AC106" i="50"/>
  <c r="AD112" i="50"/>
  <c r="Q91" i="50"/>
  <c r="N108" i="50"/>
  <c r="I103" i="50"/>
  <c r="U103" i="50"/>
  <c r="AF117" i="50"/>
  <c r="I111" i="50"/>
  <c r="AD116" i="50"/>
  <c r="U116" i="50"/>
  <c r="I113" i="50"/>
  <c r="N112" i="50"/>
  <c r="J85" i="50"/>
  <c r="AD85" i="50"/>
  <c r="V87" i="50"/>
  <c r="AG115" i="50"/>
  <c r="P104" i="50"/>
  <c r="P84" i="50"/>
  <c r="G96" i="50"/>
  <c r="X96" i="50"/>
  <c r="I92" i="50"/>
  <c r="AG92" i="50"/>
  <c r="N99" i="50"/>
  <c r="G105" i="50"/>
  <c r="AE119" i="50"/>
  <c r="N89" i="50"/>
  <c r="O116" i="50"/>
  <c r="O114" i="50"/>
  <c r="AD99" i="50"/>
  <c r="AD91" i="50"/>
  <c r="AF109" i="50"/>
  <c r="U94" i="50"/>
  <c r="O88" i="50"/>
  <c r="AD95" i="50"/>
  <c r="G85" i="50"/>
  <c r="I119" i="50"/>
  <c r="I89" i="50"/>
  <c r="AD89" i="50"/>
  <c r="P87" i="50"/>
  <c r="AD87" i="50"/>
  <c r="I97" i="50"/>
  <c r="Q97" i="50"/>
  <c r="AD97" i="50"/>
  <c r="AE111" i="50"/>
  <c r="AG100" i="50"/>
  <c r="G115" i="50"/>
  <c r="AD113" i="50"/>
  <c r="AD101" i="50"/>
  <c r="U101" i="50"/>
  <c r="Y96" i="50"/>
  <c r="AD115" i="50"/>
  <c r="M101" i="50"/>
  <c r="Y114" i="50"/>
  <c r="AF114" i="50"/>
  <c r="AG104" i="50"/>
  <c r="U106" i="50"/>
  <c r="G112" i="50"/>
  <c r="Y112" i="50"/>
  <c r="J91" i="50"/>
  <c r="M91" i="50"/>
  <c r="AG108" i="50"/>
  <c r="AE105" i="50"/>
  <c r="N109" i="50"/>
  <c r="I102" i="50"/>
  <c r="G102" i="50"/>
  <c r="G94" i="50"/>
  <c r="H88" i="50"/>
  <c r="AF88" i="50"/>
  <c r="I95" i="50"/>
  <c r="I87" i="50"/>
  <c r="M97" i="50"/>
  <c r="P111" i="50"/>
  <c r="P113" i="50"/>
  <c r="AC114" i="50"/>
  <c r="Y104" i="50"/>
  <c r="H106" i="50"/>
  <c r="Y106" i="50"/>
  <c r="Y91" i="50"/>
  <c r="AG91" i="50"/>
  <c r="Q105" i="50"/>
  <c r="N103" i="50"/>
  <c r="F109" i="50"/>
  <c r="AG95" i="50"/>
  <c r="Y85" i="50"/>
  <c r="AG85" i="50"/>
  <c r="P119" i="50"/>
  <c r="Y89" i="50"/>
  <c r="AG89" i="50"/>
  <c r="Y87" i="50"/>
  <c r="Y97" i="50"/>
  <c r="U111" i="50"/>
  <c r="G100" i="50"/>
  <c r="AG116" i="50"/>
  <c r="F101" i="50"/>
  <c r="I101" i="50"/>
  <c r="I104" i="50"/>
  <c r="AD104" i="50"/>
  <c r="N84" i="50"/>
  <c r="Q99" i="50"/>
  <c r="AE99" i="50"/>
  <c r="U99" i="50"/>
  <c r="AF112" i="50"/>
  <c r="C20" i="28"/>
  <c r="C56" i="28"/>
  <c r="C68" i="28"/>
  <c r="C76" i="28"/>
  <c r="C18" i="28"/>
  <c r="C26" i="28"/>
  <c r="C30" i="28"/>
  <c r="C38" i="28"/>
  <c r="C50" i="28"/>
  <c r="C62" i="28"/>
  <c r="C74" i="28"/>
  <c r="C17" i="28"/>
  <c r="C21" i="28"/>
  <c r="C25" i="28"/>
  <c r="C29" i="28"/>
  <c r="C33" i="28"/>
  <c r="C37" i="28"/>
  <c r="C41" i="28"/>
  <c r="C45" i="28"/>
  <c r="C49" i="28"/>
  <c r="C53" i="28"/>
  <c r="C57" i="28"/>
  <c r="C61" i="28"/>
  <c r="C65" i="28"/>
  <c r="C69" i="28"/>
  <c r="C73" i="28"/>
  <c r="C77" i="28"/>
  <c r="C22" i="28"/>
  <c r="C34" i="28"/>
  <c r="C46" i="28"/>
  <c r="C58" i="28"/>
  <c r="C70" i="28"/>
  <c r="C54" i="28"/>
  <c r="C15" i="28"/>
  <c r="C19" i="28"/>
  <c r="C23" i="28"/>
  <c r="C27" i="28"/>
  <c r="C31" i="28"/>
  <c r="C35" i="28"/>
  <c r="C39" i="28"/>
  <c r="C43" i="28"/>
  <c r="C47" i="28"/>
  <c r="C51" i="28"/>
  <c r="C55" i="28"/>
  <c r="C59" i="28"/>
  <c r="C63" i="28"/>
  <c r="C67" i="28"/>
  <c r="C71" i="28"/>
  <c r="C75" i="28"/>
  <c r="C16" i="28"/>
  <c r="C24" i="28"/>
  <c r="C28" i="28"/>
  <c r="C32" i="28"/>
  <c r="C36" i="28"/>
  <c r="C40" i="28"/>
  <c r="C44" i="28"/>
  <c r="C48" i="28"/>
  <c r="C52" i="28"/>
  <c r="C60" i="28"/>
  <c r="C64" i="28"/>
  <c r="C72" i="28"/>
  <c r="C42" i="28"/>
  <c r="C66" i="28"/>
  <c r="C14" i="28"/>
  <c r="W108" i="50"/>
  <c r="W102" i="50"/>
  <c r="U88" i="50"/>
  <c r="V95" i="50"/>
  <c r="W100" i="50"/>
  <c r="N116" i="50"/>
  <c r="Y113" i="50"/>
  <c r="G106" i="50"/>
  <c r="P103" i="50"/>
  <c r="AC109" i="50"/>
  <c r="AG102" i="50"/>
  <c r="P100" i="50"/>
  <c r="I93" i="50"/>
  <c r="AE84" i="50"/>
  <c r="AF106" i="50"/>
  <c r="X103" i="50"/>
  <c r="V117" i="50"/>
  <c r="P85" i="50"/>
  <c r="V89" i="50"/>
  <c r="AG87" i="50"/>
  <c r="AG97" i="50"/>
  <c r="Y93" i="50"/>
  <c r="AG93" i="50"/>
  <c r="N101" i="50"/>
  <c r="G104" i="50"/>
  <c r="W104" i="50"/>
  <c r="V84" i="50"/>
  <c r="Y84" i="50"/>
  <c r="W106" i="50"/>
  <c r="AG106" i="50"/>
  <c r="V96" i="50"/>
  <c r="F92" i="50"/>
  <c r="N92" i="50"/>
  <c r="AG99" i="50"/>
  <c r="Q112" i="50"/>
  <c r="P91" i="50"/>
  <c r="Y94" i="50"/>
  <c r="N88" i="50"/>
  <c r="I117" i="50"/>
  <c r="M119" i="50"/>
  <c r="G111" i="50"/>
  <c r="Q93" i="50"/>
  <c r="Q115" i="50"/>
  <c r="Q101" i="50"/>
  <c r="N114" i="50"/>
  <c r="V91" i="50"/>
  <c r="AD108" i="50"/>
  <c r="J105" i="50"/>
  <c r="V105" i="50"/>
  <c r="AC105" i="50"/>
  <c r="F103" i="50"/>
  <c r="AC103" i="50"/>
  <c r="W109" i="50"/>
  <c r="Q102" i="50"/>
  <c r="AC102" i="50"/>
  <c r="AE102" i="50"/>
  <c r="O94" i="50"/>
  <c r="Q94" i="50"/>
  <c r="AG94" i="50"/>
  <c r="AD94" i="50"/>
  <c r="Y88" i="50"/>
  <c r="AD88" i="50"/>
  <c r="W117" i="50"/>
  <c r="G117" i="50"/>
  <c r="O117" i="50"/>
  <c r="N95" i="50"/>
  <c r="W95" i="50"/>
  <c r="V85" i="50"/>
  <c r="N85" i="50"/>
  <c r="W119" i="50"/>
  <c r="F119" i="50"/>
  <c r="AC119" i="50"/>
  <c r="F87" i="50"/>
  <c r="M87" i="50"/>
  <c r="W87" i="50"/>
  <c r="W97" i="50"/>
  <c r="X111" i="50"/>
  <c r="H100" i="50"/>
  <c r="Y100" i="50"/>
  <c r="AE100" i="50"/>
  <c r="O93" i="50"/>
  <c r="J116" i="50"/>
  <c r="Y115" i="50"/>
  <c r="I115" i="50"/>
  <c r="O115" i="50"/>
  <c r="W115" i="50"/>
  <c r="W113" i="50"/>
  <c r="AC113" i="50"/>
  <c r="X114" i="50"/>
  <c r="I96" i="50"/>
  <c r="P96" i="50"/>
  <c r="G92" i="50"/>
  <c r="P92" i="50"/>
  <c r="W92" i="50"/>
  <c r="Y92" i="50"/>
  <c r="G99" i="50"/>
  <c r="I99" i="50"/>
  <c r="P112" i="50"/>
  <c r="F91" i="50"/>
  <c r="P108" i="50"/>
  <c r="M105" i="50"/>
  <c r="F105" i="50"/>
  <c r="I109" i="50"/>
  <c r="Q88" i="50"/>
  <c r="M85" i="50"/>
  <c r="Q119" i="50"/>
  <c r="G89" i="50"/>
  <c r="Q87" i="50"/>
  <c r="O87" i="50"/>
  <c r="AF111" i="50"/>
  <c r="F115" i="50"/>
  <c r="N115" i="50"/>
  <c r="AG112" i="50"/>
  <c r="Y108" i="50"/>
  <c r="P105" i="50"/>
  <c r="M103" i="50"/>
  <c r="Y102" i="50"/>
  <c r="M88" i="50"/>
  <c r="W88" i="50"/>
  <c r="M117" i="50"/>
  <c r="Y116" i="50"/>
  <c r="U114" i="50"/>
  <c r="AD84" i="50"/>
  <c r="AG96" i="50"/>
  <c r="O92" i="50"/>
  <c r="V99" i="50"/>
  <c r="F108" i="50"/>
  <c r="AE108" i="50"/>
  <c r="H105" i="50"/>
  <c r="U109" i="50"/>
  <c r="AG88" i="50"/>
  <c r="AC117" i="50"/>
  <c r="O95" i="50"/>
  <c r="X119" i="50"/>
  <c r="AC111" i="50"/>
  <c r="Q100" i="50"/>
  <c r="AE116" i="50"/>
  <c r="AC115" i="50"/>
  <c r="N113" i="50"/>
  <c r="AE113" i="50"/>
  <c r="G101" i="50"/>
  <c r="O101" i="50"/>
  <c r="AE101" i="50"/>
  <c r="AC101" i="50"/>
  <c r="J114" i="50"/>
  <c r="V114" i="50"/>
  <c r="AE114" i="50"/>
  <c r="Q104" i="50"/>
  <c r="AE104" i="50"/>
  <c r="X84" i="50"/>
  <c r="I106" i="50"/>
  <c r="Q106" i="50"/>
  <c r="M96" i="50"/>
  <c r="U96" i="50"/>
  <c r="AC96" i="50"/>
  <c r="J92" i="50"/>
  <c r="AC92" i="50"/>
  <c r="W99" i="50"/>
  <c r="I112" i="50"/>
  <c r="F112" i="50"/>
  <c r="X112" i="50"/>
  <c r="G91" i="50"/>
  <c r="U91" i="50"/>
  <c r="G108" i="50"/>
  <c r="O108" i="50"/>
  <c r="H108" i="50"/>
  <c r="Q108" i="50"/>
  <c r="AC108" i="50"/>
  <c r="X108" i="50"/>
  <c r="I105" i="50"/>
  <c r="O105" i="50"/>
  <c r="J103" i="50"/>
  <c r="AF103" i="50"/>
  <c r="J109" i="50"/>
  <c r="G109" i="50"/>
  <c r="H109" i="50"/>
  <c r="V109" i="50"/>
  <c r="P102" i="50"/>
  <c r="M102" i="50"/>
  <c r="X102" i="50"/>
  <c r="H94" i="50"/>
  <c r="M94" i="50"/>
  <c r="N94" i="50"/>
  <c r="AC94" i="50"/>
  <c r="I88" i="50"/>
  <c r="J88" i="50"/>
  <c r="P88" i="50"/>
  <c r="AC88" i="50"/>
  <c r="AD117" i="50"/>
  <c r="Q117" i="50"/>
  <c r="Y117" i="50"/>
  <c r="J95" i="50"/>
  <c r="F95" i="50"/>
  <c r="P95" i="50"/>
  <c r="G119" i="50"/>
  <c r="V119" i="50"/>
  <c r="J87" i="50"/>
  <c r="G87" i="50"/>
  <c r="V97" i="50"/>
  <c r="J111" i="50"/>
  <c r="M111" i="50"/>
  <c r="V111" i="50"/>
  <c r="M100" i="50"/>
  <c r="F93" i="50"/>
  <c r="J93" i="50"/>
  <c r="G93" i="50"/>
  <c r="W93" i="50"/>
  <c r="H116" i="50"/>
  <c r="F116" i="50"/>
  <c r="X116" i="50"/>
  <c r="X115" i="50"/>
  <c r="M115" i="50"/>
  <c r="U115" i="50"/>
  <c r="V115" i="50"/>
  <c r="V113" i="50"/>
  <c r="X101" i="50"/>
  <c r="I114" i="50"/>
  <c r="F114" i="50"/>
  <c r="AD114" i="50"/>
  <c r="M104" i="50"/>
  <c r="Q84" i="50"/>
  <c r="M106" i="50"/>
  <c r="J96" i="50"/>
  <c r="V92" i="50"/>
  <c r="N91" i="50"/>
  <c r="H91" i="50"/>
  <c r="AE91" i="50"/>
  <c r="AC91" i="50"/>
  <c r="M108" i="50"/>
  <c r="N105" i="50"/>
  <c r="W105" i="50"/>
  <c r="X105" i="50"/>
  <c r="G103" i="50"/>
  <c r="H103" i="50"/>
  <c r="AE103" i="50"/>
  <c r="V103" i="50"/>
  <c r="Q109" i="50"/>
  <c r="O109" i="50"/>
  <c r="AD109" i="50"/>
  <c r="AE109" i="50"/>
  <c r="J102" i="50"/>
  <c r="N102" i="50"/>
  <c r="AD102" i="50"/>
  <c r="P94" i="50"/>
  <c r="J94" i="50"/>
  <c r="V94" i="50"/>
  <c r="F88" i="50"/>
  <c r="V88" i="50"/>
  <c r="P117" i="50"/>
  <c r="AE117" i="50"/>
  <c r="AE95" i="50"/>
  <c r="AC95" i="50"/>
  <c r="W85" i="50"/>
  <c r="AE85" i="50"/>
  <c r="AC85" i="50"/>
  <c r="H119" i="50"/>
  <c r="Y119" i="50"/>
  <c r="AD119" i="50"/>
  <c r="J89" i="50"/>
  <c r="H89" i="50"/>
  <c r="M89" i="50"/>
  <c r="AE89" i="50"/>
  <c r="AC89" i="50"/>
  <c r="U87" i="50"/>
  <c r="AE87" i="50"/>
  <c r="AC87" i="50"/>
  <c r="N97" i="50"/>
  <c r="F97" i="50"/>
  <c r="H97" i="50"/>
  <c r="P97" i="50"/>
  <c r="AE97" i="50"/>
  <c r="AC97" i="50"/>
  <c r="H111" i="50"/>
  <c r="Y111" i="50"/>
  <c r="AD111" i="50"/>
  <c r="I100" i="50"/>
  <c r="J100" i="50"/>
  <c r="X100" i="50"/>
  <c r="N100" i="50"/>
  <c r="AF100" i="50"/>
  <c r="M93" i="50"/>
  <c r="AE93" i="50"/>
  <c r="AC93" i="50"/>
  <c r="P116" i="50"/>
  <c r="Q116" i="50"/>
  <c r="AC116" i="50"/>
  <c r="AE115" i="50"/>
  <c r="AF115" i="50"/>
  <c r="M113" i="50"/>
  <c r="J113" i="50"/>
  <c r="H113" i="50"/>
  <c r="AF113" i="50"/>
  <c r="V101" i="50"/>
  <c r="AF101" i="50"/>
  <c r="P114" i="50"/>
  <c r="Q114" i="50"/>
  <c r="W114" i="50"/>
  <c r="AG114" i="50"/>
  <c r="H104" i="50"/>
  <c r="J104" i="50"/>
  <c r="U104" i="50"/>
  <c r="N104" i="50"/>
  <c r="AC104" i="50"/>
  <c r="M84" i="50"/>
  <c r="O84" i="50"/>
  <c r="AC84" i="50"/>
  <c r="AF84" i="50"/>
  <c r="O106" i="50"/>
  <c r="J106" i="50"/>
  <c r="V106" i="50"/>
  <c r="AD106" i="50"/>
  <c r="H96" i="50"/>
  <c r="F96" i="50"/>
  <c r="W96" i="50"/>
  <c r="AE96" i="50"/>
  <c r="H92" i="50"/>
  <c r="Q92" i="50"/>
  <c r="X92" i="50"/>
  <c r="AE92" i="50"/>
  <c r="F99" i="50"/>
  <c r="M99" i="50"/>
  <c r="H99" i="50"/>
  <c r="P99" i="50"/>
  <c r="AF99" i="50"/>
  <c r="AC99" i="50"/>
  <c r="V112" i="50"/>
  <c r="O112" i="50"/>
  <c r="M112" i="50"/>
  <c r="AC112" i="50"/>
  <c r="W91" i="50"/>
  <c r="G84" i="50"/>
  <c r="I91" i="50"/>
  <c r="O91" i="50"/>
  <c r="X91" i="50"/>
  <c r="AF91" i="50"/>
  <c r="I108" i="50"/>
  <c r="J108" i="50"/>
  <c r="U108" i="50"/>
  <c r="V108" i="50"/>
  <c r="AF108" i="50"/>
  <c r="Y105" i="50"/>
  <c r="AF105" i="50"/>
  <c r="AD105" i="50"/>
  <c r="AG105" i="50"/>
  <c r="Q103" i="50"/>
  <c r="O103" i="50"/>
  <c r="W103" i="50"/>
  <c r="AG103" i="50"/>
  <c r="Y109" i="50"/>
  <c r="AG109" i="50"/>
  <c r="H102" i="50"/>
  <c r="F102" i="50"/>
  <c r="AF102" i="50"/>
  <c r="U102" i="50"/>
  <c r="V102" i="50"/>
  <c r="I94" i="50"/>
  <c r="F94" i="50"/>
  <c r="X94" i="50"/>
  <c r="AE94" i="50"/>
  <c r="G88" i="50"/>
  <c r="AE88" i="50"/>
  <c r="X117" i="50"/>
  <c r="H117" i="50"/>
  <c r="U117" i="50"/>
  <c r="AG117" i="50"/>
  <c r="G95" i="50"/>
  <c r="H95" i="50"/>
  <c r="U95" i="50"/>
  <c r="X95" i="50"/>
  <c r="AF95" i="50"/>
  <c r="U85" i="50"/>
  <c r="O85" i="50"/>
  <c r="X85" i="50"/>
  <c r="AF85" i="50"/>
  <c r="O119" i="50"/>
  <c r="AG119" i="50"/>
  <c r="Q89" i="50"/>
  <c r="U89" i="50"/>
  <c r="X89" i="50"/>
  <c r="AF89" i="50"/>
  <c r="H87" i="50"/>
  <c r="N87" i="50"/>
  <c r="X87" i="50"/>
  <c r="AF87" i="50"/>
  <c r="J97" i="50"/>
  <c r="O97" i="50"/>
  <c r="X97" i="50"/>
  <c r="AF97" i="50"/>
  <c r="N111" i="50"/>
  <c r="Q111" i="50"/>
  <c r="F111" i="50"/>
  <c r="O111" i="50"/>
  <c r="AG111" i="50"/>
  <c r="F100" i="50"/>
  <c r="AC100" i="50"/>
  <c r="AD100" i="50"/>
  <c r="V100" i="50"/>
  <c r="U93" i="50"/>
  <c r="H93" i="50"/>
  <c r="P93" i="50"/>
  <c r="X93" i="50"/>
  <c r="AF93" i="50"/>
  <c r="M116" i="50"/>
  <c r="V116" i="50"/>
  <c r="AF116" i="50"/>
  <c r="P115" i="50"/>
  <c r="H115" i="50"/>
  <c r="O113" i="50"/>
  <c r="X113" i="50"/>
  <c r="AG113" i="50"/>
  <c r="J101" i="50"/>
  <c r="H101" i="50"/>
  <c r="P101" i="50"/>
  <c r="Y101" i="50"/>
  <c r="AG101" i="50"/>
  <c r="M114" i="50"/>
  <c r="F104" i="50"/>
  <c r="X104" i="50"/>
  <c r="V104" i="50"/>
  <c r="W84" i="50"/>
  <c r="F106" i="50"/>
  <c r="X106" i="50"/>
  <c r="AE106" i="50"/>
  <c r="Q96" i="50"/>
  <c r="N96" i="50"/>
  <c r="AD96" i="50"/>
  <c r="M92" i="50"/>
  <c r="AD92" i="50"/>
  <c r="O99" i="50"/>
  <c r="X99" i="50"/>
  <c r="J112" i="50"/>
  <c r="W112" i="50"/>
  <c r="AE112" i="50"/>
  <c r="I84" i="50"/>
  <c r="F84" i="50"/>
  <c r="J84" i="50"/>
  <c r="H84" i="50"/>
  <c r="F85" i="50"/>
  <c r="H85" i="50"/>
  <c r="G9" i="28"/>
  <c r="K9" i="28"/>
  <c r="O9" i="28"/>
  <c r="S9" i="28"/>
  <c r="D9" i="28"/>
  <c r="H9" i="28"/>
  <c r="E9" i="28"/>
  <c r="I9" i="28"/>
  <c r="M9" i="28"/>
  <c r="Q9" i="28"/>
  <c r="F9" i="28"/>
  <c r="J9" i="28"/>
  <c r="N9" i="28"/>
  <c r="R9" i="28"/>
  <c r="L9" i="28"/>
  <c r="P9" i="28"/>
  <c r="C9" i="28"/>
  <c r="G7" i="28"/>
  <c r="O7" i="28"/>
  <c r="S7" i="28"/>
  <c r="D7" i="28"/>
  <c r="H7" i="28"/>
  <c r="L7" i="28"/>
  <c r="P7" i="28"/>
  <c r="T7" i="28"/>
  <c r="E7" i="28"/>
  <c r="I7" i="28"/>
  <c r="M7" i="28"/>
  <c r="Q7" i="28"/>
  <c r="C7" i="28"/>
  <c r="K7" i="28"/>
  <c r="F7" i="28"/>
  <c r="J7" i="28"/>
  <c r="N7" i="28"/>
  <c r="R7" i="28"/>
  <c r="I36" i="39"/>
  <c r="I35" i="39"/>
  <c r="I34" i="39"/>
  <c r="I33" i="39"/>
  <c r="I32" i="39"/>
  <c r="I31" i="39"/>
  <c r="I30" i="39"/>
  <c r="J30" i="36"/>
  <c r="I30" i="36"/>
  <c r="H30" i="36"/>
  <c r="J29" i="36"/>
  <c r="I29" i="36"/>
  <c r="H29" i="36"/>
  <c r="J28" i="36"/>
  <c r="I28" i="36"/>
  <c r="H28" i="36"/>
  <c r="J27" i="36"/>
  <c r="I27" i="36"/>
  <c r="H27" i="36"/>
  <c r="J26" i="36"/>
  <c r="I26" i="36"/>
  <c r="H26" i="36"/>
  <c r="J25" i="36"/>
  <c r="I25" i="36"/>
  <c r="H25" i="36"/>
  <c r="J24" i="36"/>
  <c r="I24" i="36"/>
  <c r="H24" i="36"/>
  <c r="J23" i="36"/>
  <c r="I23" i="36"/>
  <c r="H23" i="36"/>
  <c r="J22" i="36"/>
  <c r="I22" i="36"/>
  <c r="H22" i="36"/>
  <c r="I21" i="35"/>
  <c r="J21" i="35" s="1"/>
  <c r="H21" i="35"/>
  <c r="G21" i="35"/>
  <c r="E21" i="35"/>
  <c r="F21" i="35" s="1"/>
  <c r="D21" i="35"/>
  <c r="C21" i="35"/>
  <c r="J20" i="35"/>
  <c r="F20" i="35"/>
  <c r="J19" i="35"/>
  <c r="F19" i="35"/>
  <c r="J18" i="35"/>
  <c r="F18" i="35"/>
  <c r="J17" i="35"/>
  <c r="F17" i="35"/>
  <c r="J16" i="35"/>
  <c r="F16" i="35"/>
  <c r="J15" i="35"/>
  <c r="F15" i="35"/>
  <c r="J14" i="35"/>
  <c r="F14" i="35"/>
  <c r="J13" i="35"/>
  <c r="F13" i="35"/>
  <c r="J12" i="35"/>
  <c r="F12" i="35"/>
  <c r="J11" i="35"/>
  <c r="F11" i="35"/>
  <c r="J10" i="35"/>
  <c r="F10" i="35"/>
  <c r="J9" i="35"/>
  <c r="F9" i="35"/>
  <c r="J8" i="35"/>
  <c r="F8" i="35"/>
  <c r="J7" i="35"/>
  <c r="F7" i="35"/>
  <c r="G5" i="34" l="1"/>
  <c r="J5" i="34" s="1"/>
  <c r="F5" i="34"/>
  <c r="I5" i="34" s="1"/>
  <c r="G42" i="30" l="1"/>
  <c r="E34" i="30" s="1"/>
  <c r="I34" i="30" s="1"/>
  <c r="J64" i="29"/>
  <c r="I64" i="29"/>
  <c r="H64" i="29"/>
  <c r="G64" i="29"/>
  <c r="F64" i="29"/>
  <c r="E64" i="29"/>
  <c r="D64" i="29"/>
  <c r="C63" i="29"/>
  <c r="C62" i="29"/>
  <c r="C61" i="29"/>
  <c r="C60" i="29"/>
  <c r="C59" i="29"/>
  <c r="C58" i="29"/>
  <c r="C57" i="29"/>
  <c r="C56" i="29"/>
  <c r="C55" i="29"/>
  <c r="C54" i="29"/>
  <c r="C53" i="29"/>
  <c r="C52" i="29"/>
  <c r="C51" i="29"/>
  <c r="C30" i="29"/>
  <c r="C29" i="29"/>
  <c r="P27" i="29"/>
  <c r="O27" i="29"/>
  <c r="N27" i="29"/>
  <c r="M27" i="29"/>
  <c r="K27" i="29"/>
  <c r="I27" i="29"/>
  <c r="C27" i="29"/>
  <c r="J26" i="29"/>
  <c r="J27" i="29" s="1"/>
  <c r="H25" i="29"/>
  <c r="F25" i="29" s="1"/>
  <c r="G25" i="29"/>
  <c r="H24" i="29"/>
  <c r="G24" i="29" s="1"/>
  <c r="D24" i="29"/>
  <c r="H23" i="29"/>
  <c r="F23" i="29" s="1"/>
  <c r="G23" i="29"/>
  <c r="E23" i="29"/>
  <c r="D23" i="29"/>
  <c r="H22" i="29"/>
  <c r="E22" i="29" s="1"/>
  <c r="H21" i="29"/>
  <c r="E21" i="29" s="1"/>
  <c r="H20" i="29"/>
  <c r="F20" i="29" s="1"/>
  <c r="D20" i="29"/>
  <c r="H19" i="29"/>
  <c r="F19" i="29" s="1"/>
  <c r="H18" i="29"/>
  <c r="G18" i="29" s="1"/>
  <c r="H17" i="29"/>
  <c r="F17" i="29" s="1"/>
  <c r="G17" i="29"/>
  <c r="E17" i="29"/>
  <c r="D17" i="29"/>
  <c r="H16" i="29"/>
  <c r="E16" i="29" s="1"/>
  <c r="H15" i="29"/>
  <c r="F15" i="29" s="1"/>
  <c r="L14" i="29"/>
  <c r="H14" i="29" s="1"/>
  <c r="L13" i="29"/>
  <c r="H13" i="29" s="1"/>
  <c r="F13" i="29" s="1"/>
  <c r="H12" i="29"/>
  <c r="G12" i="29" s="1"/>
  <c r="H11" i="29"/>
  <c r="E11" i="29" s="1"/>
  <c r="D11" i="29"/>
  <c r="H10" i="29"/>
  <c r="E10" i="29" s="1"/>
  <c r="G10" i="29"/>
  <c r="F10" i="29"/>
  <c r="D10" i="29"/>
  <c r="H9" i="29"/>
  <c r="F9" i="29" s="1"/>
  <c r="G9" i="29"/>
  <c r="H8" i="29"/>
  <c r="G8" i="29" s="1"/>
  <c r="H7" i="29"/>
  <c r="E7" i="29" s="1"/>
  <c r="F7" i="29" l="1"/>
  <c r="F11" i="29"/>
  <c r="G13" i="29"/>
  <c r="D15" i="29"/>
  <c r="F16" i="29"/>
  <c r="F22" i="29"/>
  <c r="C64" i="29"/>
  <c r="G7" i="29"/>
  <c r="G11" i="29"/>
  <c r="G15" i="29"/>
  <c r="G16" i="29"/>
  <c r="F21" i="29"/>
  <c r="G22" i="29"/>
  <c r="D7" i="29"/>
  <c r="D16" i="29"/>
  <c r="G20" i="29"/>
  <c r="D22" i="29"/>
  <c r="H26" i="29"/>
  <c r="G34" i="30"/>
  <c r="H34" i="30"/>
  <c r="D14" i="29"/>
  <c r="F14" i="29"/>
  <c r="E14" i="29"/>
  <c r="D12" i="29"/>
  <c r="L27" i="29"/>
  <c r="D8" i="29"/>
  <c r="E8" i="29"/>
  <c r="D18" i="29"/>
  <c r="D9" i="29"/>
  <c r="E12" i="29"/>
  <c r="D19" i="29"/>
  <c r="D25" i="29"/>
  <c r="E15" i="29"/>
  <c r="D13" i="29"/>
  <c r="E18" i="29"/>
  <c r="E24" i="29"/>
  <c r="F8" i="29"/>
  <c r="E9" i="29"/>
  <c r="F12" i="29"/>
  <c r="E13" i="29"/>
  <c r="G14" i="29"/>
  <c r="F18" i="29"/>
  <c r="E19" i="29"/>
  <c r="E20" i="29"/>
  <c r="D21" i="29"/>
  <c r="F24" i="29"/>
  <c r="E25" i="29"/>
  <c r="E26" i="29" l="1"/>
  <c r="E27" i="29" s="1"/>
  <c r="G26" i="29"/>
  <c r="G27" i="29" s="1"/>
  <c r="F26" i="29"/>
  <c r="F27" i="29" s="1"/>
  <c r="D26" i="29"/>
  <c r="D27" i="29"/>
  <c r="G41" i="22"/>
  <c r="D70" i="10"/>
  <c r="G33" i="22" l="1"/>
  <c r="B40" i="22" s="1"/>
  <c r="C40" i="22" s="1"/>
  <c r="I28" i="22" s="1"/>
  <c r="K29" i="21"/>
  <c r="J29" i="21"/>
  <c r="I29" i="21"/>
  <c r="H29" i="21"/>
  <c r="G29" i="21"/>
  <c r="F29" i="21"/>
  <c r="M50" i="20"/>
  <c r="L50" i="20"/>
  <c r="J50" i="20"/>
  <c r="I50" i="20"/>
  <c r="G50" i="20"/>
  <c r="F50" i="20"/>
  <c r="K50" i="20"/>
  <c r="H50" i="20"/>
  <c r="E50" i="20"/>
  <c r="E74" i="27"/>
  <c r="D74" i="27"/>
  <c r="C74" i="27"/>
  <c r="E73" i="27"/>
  <c r="D73" i="27"/>
  <c r="C73" i="27"/>
  <c r="E72" i="27"/>
  <c r="D72" i="27"/>
  <c r="C72" i="27"/>
  <c r="G171" i="26"/>
  <c r="J51" i="26" s="1"/>
  <c r="F171" i="26"/>
  <c r="J56" i="26" s="1"/>
  <c r="F113" i="23"/>
  <c r="E113" i="23"/>
  <c r="D113" i="23"/>
  <c r="F111" i="23"/>
  <c r="E111" i="23"/>
  <c r="D111" i="23"/>
  <c r="F109" i="23"/>
  <c r="E109" i="23"/>
  <c r="F108" i="23"/>
  <c r="E108" i="23"/>
  <c r="D108" i="23"/>
  <c r="D109" i="23" s="1"/>
  <c r="D106" i="23"/>
  <c r="F105" i="23"/>
  <c r="F106" i="23" s="1"/>
  <c r="E105" i="23"/>
  <c r="E106" i="23" s="1"/>
  <c r="D105" i="23"/>
  <c r="F103" i="23"/>
  <c r="F102" i="23"/>
  <c r="E102" i="23"/>
  <c r="E103" i="23" s="1"/>
  <c r="D102" i="23"/>
  <c r="D103" i="23" s="1"/>
  <c r="F100" i="23"/>
  <c r="E100" i="23"/>
  <c r="D100" i="23"/>
  <c r="F98" i="23"/>
  <c r="E98" i="23"/>
  <c r="D98" i="23"/>
  <c r="F96" i="23"/>
  <c r="E96" i="23"/>
  <c r="D96" i="23"/>
  <c r="D93" i="23"/>
  <c r="D94" i="23" s="1"/>
  <c r="F92" i="23"/>
  <c r="F93" i="23" s="1"/>
  <c r="F94" i="23" s="1"/>
  <c r="E92" i="23"/>
  <c r="E93" i="23" s="1"/>
  <c r="E94" i="23" s="1"/>
  <c r="D92" i="23"/>
  <c r="F87" i="23"/>
  <c r="E87" i="23"/>
  <c r="D87" i="23"/>
  <c r="F77" i="23"/>
  <c r="E77" i="23"/>
  <c r="D77" i="23"/>
  <c r="F71" i="23"/>
  <c r="E71" i="23"/>
  <c r="D71" i="23"/>
  <c r="F69" i="23"/>
  <c r="F68" i="23"/>
  <c r="E68" i="23"/>
  <c r="E69" i="23" s="1"/>
  <c r="D68" i="23"/>
  <c r="D69" i="23" s="1"/>
  <c r="K438" i="21"/>
  <c r="K439" i="21"/>
  <c r="K419" i="21"/>
  <c r="K420" i="21"/>
  <c r="K421" i="21"/>
  <c r="K422" i="21"/>
  <c r="K423" i="21"/>
  <c r="K424" i="21"/>
  <c r="K425" i="21"/>
  <c r="K426" i="21"/>
  <c r="K427" i="21"/>
  <c r="K428" i="21"/>
  <c r="K429" i="21"/>
  <c r="K430" i="21"/>
  <c r="K431" i="21"/>
  <c r="K432" i="21"/>
  <c r="K433" i="21"/>
  <c r="K434" i="21"/>
  <c r="K435" i="21"/>
  <c r="K436" i="21"/>
  <c r="K437" i="21"/>
  <c r="K398" i="21"/>
  <c r="K399" i="21"/>
  <c r="K400" i="21"/>
  <c r="K401" i="21"/>
  <c r="K402" i="21"/>
  <c r="K403" i="21"/>
  <c r="K404" i="21"/>
  <c r="K405" i="21"/>
  <c r="K406" i="21"/>
  <c r="K407" i="21"/>
  <c r="K408" i="21"/>
  <c r="K409" i="21"/>
  <c r="K410" i="21"/>
  <c r="K411" i="21"/>
  <c r="K412" i="21"/>
  <c r="K413" i="21"/>
  <c r="K414" i="21"/>
  <c r="K415" i="21"/>
  <c r="K416" i="21"/>
  <c r="K417" i="21"/>
  <c r="K418" i="21"/>
  <c r="K377" i="21"/>
  <c r="K378" i="21"/>
  <c r="K379" i="21"/>
  <c r="K380" i="21"/>
  <c r="K381" i="21"/>
  <c r="K382" i="21"/>
  <c r="K383" i="21"/>
  <c r="K384" i="21"/>
  <c r="K385" i="21"/>
  <c r="K386" i="21"/>
  <c r="K387" i="21"/>
  <c r="K388" i="21"/>
  <c r="K389" i="21"/>
  <c r="K390" i="21"/>
  <c r="K391" i="21"/>
  <c r="K392" i="21"/>
  <c r="K393" i="21"/>
  <c r="K394" i="21"/>
  <c r="K395" i="21"/>
  <c r="K396" i="21"/>
  <c r="K397" i="21"/>
  <c r="K375" i="21"/>
  <c r="K376" i="21"/>
  <c r="K356" i="21"/>
  <c r="K357" i="21"/>
  <c r="K358" i="21"/>
  <c r="K359" i="21"/>
  <c r="K360" i="21"/>
  <c r="K361" i="21"/>
  <c r="K362" i="21"/>
  <c r="K363" i="21"/>
  <c r="K364" i="21"/>
  <c r="K365" i="21"/>
  <c r="K366" i="21"/>
  <c r="K367" i="21"/>
  <c r="K368" i="21"/>
  <c r="K369" i="21"/>
  <c r="K370" i="21"/>
  <c r="K371" i="21"/>
  <c r="K372" i="21"/>
  <c r="K373" i="21"/>
  <c r="K374" i="21"/>
  <c r="K335" i="21"/>
  <c r="K336" i="21"/>
  <c r="K337" i="21"/>
  <c r="K338" i="21"/>
  <c r="K339" i="21"/>
  <c r="K340" i="21"/>
  <c r="K341" i="21"/>
  <c r="K342" i="21"/>
  <c r="K343" i="21"/>
  <c r="K344" i="21"/>
  <c r="K345" i="21"/>
  <c r="K346" i="21"/>
  <c r="K347" i="21"/>
  <c r="K348" i="21"/>
  <c r="K349" i="21"/>
  <c r="K350" i="21"/>
  <c r="K351" i="21"/>
  <c r="K352" i="21"/>
  <c r="K353" i="21"/>
  <c r="K354" i="21"/>
  <c r="K355" i="21"/>
  <c r="K314" i="21"/>
  <c r="K315" i="21"/>
  <c r="K316" i="21"/>
  <c r="K317" i="21"/>
  <c r="K318" i="21"/>
  <c r="K319" i="21"/>
  <c r="K320" i="21"/>
  <c r="K321" i="21"/>
  <c r="K322" i="21"/>
  <c r="K323" i="21"/>
  <c r="K324" i="21"/>
  <c r="K325" i="21"/>
  <c r="K326" i="21"/>
  <c r="K327" i="21"/>
  <c r="K328" i="21"/>
  <c r="K329" i="21"/>
  <c r="K330" i="21"/>
  <c r="K331" i="21"/>
  <c r="K332" i="21"/>
  <c r="K333" i="21"/>
  <c r="K334" i="21"/>
  <c r="K311" i="21"/>
  <c r="K312" i="21"/>
  <c r="K313" i="21"/>
  <c r="K293" i="21"/>
  <c r="K294" i="21"/>
  <c r="K295" i="21"/>
  <c r="K296" i="21"/>
  <c r="K297" i="21"/>
  <c r="K298" i="21"/>
  <c r="K299" i="21"/>
  <c r="K300" i="21"/>
  <c r="K301" i="21"/>
  <c r="K302" i="21"/>
  <c r="K303" i="21"/>
  <c r="K304" i="21"/>
  <c r="K305" i="21"/>
  <c r="K306" i="21"/>
  <c r="K307" i="21"/>
  <c r="K308" i="21"/>
  <c r="K309" i="21"/>
  <c r="K310" i="21"/>
  <c r="K272" i="21"/>
  <c r="K273" i="21"/>
  <c r="K274" i="21"/>
  <c r="K275" i="21"/>
  <c r="K276" i="21"/>
  <c r="K277" i="21"/>
  <c r="K278" i="21"/>
  <c r="K279" i="21"/>
  <c r="K280" i="21"/>
  <c r="K281" i="21"/>
  <c r="K282" i="21"/>
  <c r="K283" i="21"/>
  <c r="K284" i="21"/>
  <c r="K285" i="21"/>
  <c r="K286" i="21"/>
  <c r="K287" i="21"/>
  <c r="K288" i="21"/>
  <c r="K289" i="21"/>
  <c r="K290" i="21"/>
  <c r="K291" i="21"/>
  <c r="K292" i="21"/>
  <c r="K251" i="21"/>
  <c r="K252" i="21"/>
  <c r="K253" i="21"/>
  <c r="K254" i="21"/>
  <c r="K255" i="21"/>
  <c r="K256" i="21"/>
  <c r="K257" i="21"/>
  <c r="K258" i="21"/>
  <c r="K259" i="21"/>
  <c r="K260" i="21"/>
  <c r="K261" i="21"/>
  <c r="K262" i="21"/>
  <c r="K263" i="21"/>
  <c r="K264" i="21"/>
  <c r="K265" i="21"/>
  <c r="K266" i="21"/>
  <c r="K267" i="21"/>
  <c r="K268" i="21"/>
  <c r="K269" i="21"/>
  <c r="K270" i="21"/>
  <c r="K271" i="21"/>
  <c r="K230" i="21"/>
  <c r="K231" i="21"/>
  <c r="K232" i="21"/>
  <c r="K233" i="21"/>
  <c r="K234" i="21"/>
  <c r="K235" i="21"/>
  <c r="K236" i="21"/>
  <c r="K237" i="21"/>
  <c r="K238" i="21"/>
  <c r="K239" i="21"/>
  <c r="K240" i="21"/>
  <c r="K241" i="21"/>
  <c r="K242" i="21"/>
  <c r="K243" i="21"/>
  <c r="K244" i="21"/>
  <c r="K245" i="21"/>
  <c r="K246" i="21"/>
  <c r="K247" i="21"/>
  <c r="K248" i="21"/>
  <c r="K249" i="21"/>
  <c r="K250" i="21"/>
  <c r="K227" i="21"/>
  <c r="K228" i="21"/>
  <c r="K229" i="21"/>
  <c r="K209" i="21"/>
  <c r="K210" i="21"/>
  <c r="K211" i="21"/>
  <c r="K212" i="21"/>
  <c r="K213" i="21"/>
  <c r="K214" i="21"/>
  <c r="K215" i="21"/>
  <c r="K216" i="21"/>
  <c r="K217" i="21"/>
  <c r="K218" i="21"/>
  <c r="K219" i="21"/>
  <c r="K220" i="21"/>
  <c r="K221" i="21"/>
  <c r="K222" i="21"/>
  <c r="K223" i="21"/>
  <c r="K224" i="21"/>
  <c r="K225" i="21"/>
  <c r="K226" i="21"/>
  <c r="K188" i="21"/>
  <c r="K189" i="21"/>
  <c r="K190" i="21"/>
  <c r="K191" i="21"/>
  <c r="K192" i="21"/>
  <c r="K193" i="21"/>
  <c r="K194" i="21"/>
  <c r="K195" i="21"/>
  <c r="K196" i="21"/>
  <c r="K197" i="21"/>
  <c r="K198" i="21"/>
  <c r="K199" i="21"/>
  <c r="K200" i="21"/>
  <c r="K201" i="21"/>
  <c r="K202" i="21"/>
  <c r="K203" i="21"/>
  <c r="K204" i="21"/>
  <c r="K205" i="21"/>
  <c r="K206" i="21"/>
  <c r="K207" i="21"/>
  <c r="K208" i="21"/>
  <c r="F40" i="22" l="1"/>
  <c r="G40" i="22" s="1"/>
  <c r="J28" i="22" s="1"/>
  <c r="G28" i="22"/>
  <c r="K167" i="21"/>
  <c r="K168" i="21"/>
  <c r="K169" i="21"/>
  <c r="K170" i="21"/>
  <c r="K171" i="21"/>
  <c r="K172" i="21"/>
  <c r="K173" i="21"/>
  <c r="K174" i="21"/>
  <c r="K175" i="21"/>
  <c r="K176" i="21"/>
  <c r="K177" i="21"/>
  <c r="K178" i="21"/>
  <c r="K179" i="21"/>
  <c r="K180" i="21"/>
  <c r="K181" i="21"/>
  <c r="K182" i="21"/>
  <c r="K183" i="21"/>
  <c r="K184" i="21"/>
  <c r="K185" i="21"/>
  <c r="K186" i="21"/>
  <c r="K187" i="21"/>
  <c r="K146" i="21" l="1"/>
  <c r="K147" i="21"/>
  <c r="K148" i="21"/>
  <c r="K149" i="21"/>
  <c r="K150" i="21"/>
  <c r="K151" i="21"/>
  <c r="K152" i="21"/>
  <c r="K153" i="21"/>
  <c r="K154" i="21"/>
  <c r="K155" i="21"/>
  <c r="K156" i="21"/>
  <c r="K157" i="21"/>
  <c r="K158" i="21"/>
  <c r="K159" i="21"/>
  <c r="K160" i="21"/>
  <c r="K161" i="21"/>
  <c r="K162" i="21"/>
  <c r="K163" i="21"/>
  <c r="K164" i="21"/>
  <c r="K165" i="21"/>
  <c r="K166" i="21"/>
  <c r="K125" i="21"/>
  <c r="K126" i="21"/>
  <c r="K127" i="21"/>
  <c r="K128" i="21"/>
  <c r="K129" i="21"/>
  <c r="K130" i="21"/>
  <c r="K131" i="21"/>
  <c r="K132" i="21"/>
  <c r="K133" i="21"/>
  <c r="K134" i="21"/>
  <c r="K135" i="21"/>
  <c r="K136" i="21"/>
  <c r="K137" i="21"/>
  <c r="K138" i="21"/>
  <c r="K139" i="21"/>
  <c r="K140" i="21"/>
  <c r="K141" i="21"/>
  <c r="K142" i="21"/>
  <c r="K143" i="21"/>
  <c r="K144" i="21"/>
  <c r="K145" i="21"/>
  <c r="K104" i="21"/>
  <c r="K105" i="21"/>
  <c r="K106" i="21"/>
  <c r="K107" i="21"/>
  <c r="K108" i="21"/>
  <c r="K109" i="21"/>
  <c r="K110" i="21"/>
  <c r="K111" i="21"/>
  <c r="K112" i="21"/>
  <c r="K113" i="21"/>
  <c r="K114" i="21"/>
  <c r="K115" i="21"/>
  <c r="K116" i="21"/>
  <c r="K117" i="21"/>
  <c r="K118" i="21"/>
  <c r="K119" i="21"/>
  <c r="K120" i="21"/>
  <c r="K121" i="21"/>
  <c r="K122" i="21"/>
  <c r="K123" i="21"/>
  <c r="K124" i="21"/>
  <c r="K101" i="21"/>
  <c r="K102" i="21"/>
  <c r="K103" i="21"/>
  <c r="K83" i="21"/>
  <c r="K84" i="21"/>
  <c r="K85" i="21"/>
  <c r="K86" i="21"/>
  <c r="K87" i="21"/>
  <c r="K88" i="21"/>
  <c r="K89" i="21"/>
  <c r="K90" i="21"/>
  <c r="K91" i="21"/>
  <c r="K92" i="21"/>
  <c r="K93" i="21"/>
  <c r="K94" i="21"/>
  <c r="K95" i="21"/>
  <c r="K96" i="21"/>
  <c r="K97" i="21"/>
  <c r="K98" i="21"/>
  <c r="K99" i="21"/>
  <c r="K100" i="21"/>
  <c r="K63" i="21"/>
  <c r="K64" i="21"/>
  <c r="K65" i="21"/>
  <c r="K66" i="21"/>
  <c r="K67" i="21"/>
  <c r="K68" i="21"/>
  <c r="K69" i="21"/>
  <c r="K70" i="21"/>
  <c r="K71" i="21"/>
  <c r="K72" i="21"/>
  <c r="K73" i="21"/>
  <c r="K74" i="21"/>
  <c r="K75" i="21"/>
  <c r="K76" i="21"/>
  <c r="K77" i="21"/>
  <c r="K78" i="21"/>
  <c r="K79" i="21"/>
  <c r="K80" i="21"/>
  <c r="K81" i="21"/>
  <c r="K82" i="21"/>
  <c r="K62" i="21"/>
  <c r="C401" i="21"/>
  <c r="C400" i="21"/>
  <c r="C399" i="21"/>
  <c r="C398" i="21"/>
  <c r="C397" i="21"/>
  <c r="C396" i="21"/>
  <c r="C395" i="21"/>
  <c r="C394" i="21"/>
  <c r="C393" i="21"/>
  <c r="C392" i="21"/>
  <c r="C391" i="21"/>
  <c r="C390" i="21"/>
  <c r="C389" i="21"/>
  <c r="C388" i="21"/>
  <c r="C387" i="21"/>
  <c r="C386" i="21"/>
  <c r="C385" i="21"/>
  <c r="C384" i="21"/>
  <c r="C383" i="21"/>
  <c r="C382" i="21"/>
  <c r="C381" i="21"/>
  <c r="C380" i="21"/>
  <c r="C379" i="21"/>
  <c r="C378" i="21"/>
  <c r="C377" i="21"/>
  <c r="C376" i="21"/>
  <c r="C375" i="21"/>
  <c r="C374" i="21"/>
  <c r="C373" i="21"/>
  <c r="C372" i="21"/>
  <c r="C371" i="21"/>
  <c r="C370" i="21"/>
  <c r="C369" i="21"/>
  <c r="C368" i="21"/>
  <c r="C367" i="21"/>
  <c r="C366" i="21"/>
  <c r="C365" i="21"/>
  <c r="C364" i="21"/>
  <c r="C363" i="21"/>
  <c r="C362" i="21"/>
  <c r="C361" i="21"/>
  <c r="C360" i="21"/>
  <c r="C359" i="21"/>
  <c r="C358" i="21"/>
  <c r="C357" i="21"/>
  <c r="C356" i="21"/>
  <c r="C355" i="21"/>
  <c r="C354" i="21"/>
  <c r="C353" i="21"/>
  <c r="C352" i="21"/>
  <c r="C351" i="21"/>
  <c r="C350" i="21"/>
  <c r="C349" i="21"/>
  <c r="C348" i="21"/>
  <c r="C347" i="21"/>
  <c r="C346" i="21"/>
  <c r="C345" i="21"/>
  <c r="C344" i="21"/>
  <c r="C343" i="21"/>
  <c r="C342" i="21"/>
  <c r="C341" i="21"/>
  <c r="C340" i="21"/>
  <c r="C339" i="21"/>
  <c r="C338" i="21"/>
  <c r="C337" i="21"/>
  <c r="C336" i="21"/>
  <c r="C335" i="21"/>
  <c r="C334" i="21"/>
  <c r="C333" i="21"/>
  <c r="C332" i="21"/>
  <c r="C331" i="21"/>
  <c r="C330" i="21"/>
  <c r="C329" i="21"/>
  <c r="C328" i="21"/>
  <c r="C327" i="21"/>
  <c r="C326" i="21"/>
  <c r="C325" i="21"/>
  <c r="C324" i="21"/>
  <c r="C323" i="21"/>
  <c r="C322" i="21"/>
  <c r="C321" i="21"/>
  <c r="C320" i="21"/>
  <c r="C319" i="21"/>
  <c r="C318" i="21"/>
  <c r="C317" i="21"/>
  <c r="C316" i="21"/>
  <c r="C315" i="21"/>
  <c r="C314" i="21"/>
  <c r="C313" i="21"/>
  <c r="C312" i="21"/>
  <c r="C311" i="21"/>
  <c r="C310" i="21"/>
  <c r="C309" i="21"/>
  <c r="C308" i="21"/>
  <c r="C307" i="21"/>
  <c r="C306" i="21"/>
  <c r="C305" i="21"/>
  <c r="C304" i="21"/>
  <c r="C303" i="21"/>
  <c r="C302" i="21"/>
  <c r="C301" i="21"/>
  <c r="C300" i="21"/>
  <c r="C299" i="21"/>
  <c r="C298" i="21"/>
  <c r="C297" i="21"/>
  <c r="C296" i="21"/>
  <c r="C295" i="21"/>
  <c r="C294" i="21"/>
  <c r="C293" i="21"/>
  <c r="C292" i="21"/>
  <c r="C291" i="21"/>
  <c r="C290" i="21"/>
  <c r="C289" i="21"/>
  <c r="C288" i="21"/>
  <c r="C287" i="21"/>
  <c r="C286" i="21"/>
  <c r="C285" i="21"/>
  <c r="C284" i="21"/>
  <c r="C283" i="21"/>
  <c r="C282" i="21"/>
  <c r="C281" i="21"/>
  <c r="C280" i="21"/>
  <c r="C279" i="21"/>
  <c r="C278" i="21"/>
  <c r="C277" i="21"/>
  <c r="C276" i="21"/>
  <c r="C275" i="21"/>
  <c r="C274" i="21"/>
  <c r="C273" i="21"/>
  <c r="C272" i="21"/>
  <c r="C271" i="21"/>
  <c r="C270" i="21"/>
  <c r="C269" i="21"/>
  <c r="C268" i="21"/>
  <c r="C267" i="21"/>
  <c r="C266" i="21"/>
  <c r="C265" i="21"/>
  <c r="C264" i="21"/>
  <c r="C263" i="21"/>
  <c r="C262" i="21"/>
  <c r="C261" i="21"/>
  <c r="C260" i="21"/>
  <c r="C259" i="21"/>
  <c r="C258" i="21"/>
  <c r="C257" i="21"/>
  <c r="C256" i="21"/>
  <c r="C255" i="21"/>
  <c r="C254" i="21"/>
  <c r="C253" i="21"/>
  <c r="C252" i="21"/>
  <c r="C251" i="21"/>
  <c r="C250" i="21"/>
  <c r="C249" i="21"/>
  <c r="C248" i="21"/>
  <c r="C247" i="21"/>
  <c r="C246" i="21"/>
  <c r="C245" i="21"/>
  <c r="C244" i="21"/>
  <c r="C243" i="21"/>
  <c r="C242" i="21"/>
  <c r="C241" i="21"/>
  <c r="C240" i="21"/>
  <c r="C239" i="21"/>
  <c r="C238" i="21"/>
  <c r="C237" i="21"/>
  <c r="C236" i="21"/>
  <c r="C235" i="21"/>
  <c r="C234" i="21"/>
  <c r="C233" i="21"/>
  <c r="C232" i="21"/>
  <c r="C231" i="21"/>
  <c r="C230" i="21"/>
  <c r="C229" i="21"/>
  <c r="C228" i="21"/>
  <c r="C227" i="21"/>
  <c r="C226" i="21"/>
  <c r="C225" i="21"/>
  <c r="C224" i="21"/>
  <c r="C223" i="21"/>
  <c r="C222" i="21"/>
  <c r="C221" i="21"/>
  <c r="C220" i="21"/>
  <c r="C219" i="21"/>
  <c r="C218" i="21"/>
  <c r="C217" i="21"/>
  <c r="C216" i="21"/>
  <c r="C215" i="21"/>
  <c r="C214" i="21"/>
  <c r="C213" i="21"/>
  <c r="C212" i="21"/>
  <c r="C211" i="21"/>
  <c r="C210" i="21"/>
  <c r="C209" i="21"/>
  <c r="C208" i="21"/>
  <c r="C207" i="21"/>
  <c r="C206" i="21"/>
  <c r="C205" i="21"/>
  <c r="C204" i="21"/>
  <c r="C203" i="21"/>
  <c r="C202" i="21"/>
  <c r="C201" i="21"/>
  <c r="C200" i="21"/>
  <c r="C199" i="21"/>
  <c r="C198" i="21"/>
  <c r="C197" i="21"/>
  <c r="C196" i="21"/>
  <c r="C195" i="21"/>
  <c r="C194" i="21"/>
  <c r="C193" i="21"/>
  <c r="C192" i="21"/>
  <c r="C191" i="21"/>
  <c r="C190" i="21"/>
  <c r="C189" i="21"/>
  <c r="C188" i="21"/>
  <c r="C187" i="21"/>
  <c r="C186" i="21"/>
  <c r="C185" i="21"/>
  <c r="C184" i="21"/>
  <c r="C183" i="21"/>
  <c r="C182" i="21"/>
  <c r="C181" i="21"/>
  <c r="C180" i="21"/>
  <c r="C179" i="21"/>
  <c r="C178" i="21"/>
  <c r="C177" i="21"/>
  <c r="C176" i="21"/>
  <c r="C175" i="21"/>
  <c r="C174" i="21"/>
  <c r="C173" i="21"/>
  <c r="C172" i="21"/>
  <c r="C171" i="21"/>
  <c r="C170" i="21"/>
  <c r="C169" i="21"/>
  <c r="C168" i="21"/>
  <c r="C167" i="21"/>
  <c r="C166" i="21"/>
  <c r="C165" i="21"/>
  <c r="C164" i="21"/>
  <c r="C163" i="21"/>
  <c r="C162" i="21"/>
  <c r="C161" i="21"/>
  <c r="C160" i="21"/>
  <c r="C159" i="21"/>
  <c r="C158" i="21"/>
  <c r="C157" i="21"/>
  <c r="C156" i="21"/>
  <c r="C155" i="21"/>
  <c r="C154" i="21"/>
  <c r="C153" i="21"/>
  <c r="C152" i="21"/>
  <c r="C151" i="21"/>
  <c r="C150" i="21"/>
  <c r="C149" i="21"/>
  <c r="C148" i="21"/>
  <c r="C147" i="21"/>
  <c r="C146" i="21"/>
  <c r="C145" i="21"/>
  <c r="C144" i="21"/>
  <c r="C143" i="21"/>
  <c r="C142" i="21"/>
  <c r="C141" i="21"/>
  <c r="C140" i="21"/>
  <c r="C139" i="21"/>
  <c r="C138" i="21"/>
  <c r="C137" i="21"/>
  <c r="C136" i="21"/>
  <c r="C135" i="21"/>
  <c r="C134" i="21"/>
  <c r="C133" i="21"/>
  <c r="C132" i="21"/>
  <c r="C131" i="21"/>
  <c r="C130" i="21"/>
  <c r="C129" i="21"/>
  <c r="C128" i="21"/>
  <c r="C127" i="21"/>
  <c r="C126" i="21"/>
  <c r="C125" i="21"/>
  <c r="C124" i="21"/>
  <c r="C123" i="21"/>
  <c r="C122" i="21"/>
  <c r="C121" i="21"/>
  <c r="C120" i="21"/>
  <c r="C119" i="21"/>
  <c r="C118" i="21"/>
  <c r="C117" i="21"/>
  <c r="C116" i="21"/>
  <c r="C115" i="21"/>
  <c r="C114" i="21"/>
  <c r="C113" i="21"/>
  <c r="C112" i="21"/>
  <c r="C111" i="21"/>
  <c r="C110" i="21"/>
  <c r="C109" i="21"/>
  <c r="C108" i="21"/>
  <c r="C107" i="21"/>
  <c r="C106" i="21"/>
  <c r="C105" i="21"/>
  <c r="C104" i="21"/>
  <c r="C103" i="21"/>
  <c r="C102" i="21"/>
  <c r="C101" i="21" l="1"/>
  <c r="C100" i="21"/>
  <c r="C99" i="21"/>
  <c r="C98" i="21"/>
  <c r="C97" i="21"/>
  <c r="C96" i="21"/>
  <c r="C95" i="21"/>
  <c r="C94" i="21"/>
  <c r="C93" i="21"/>
  <c r="C92" i="21"/>
  <c r="C91" i="21"/>
  <c r="C90" i="21"/>
  <c r="C89" i="21"/>
  <c r="C88" i="21"/>
  <c r="C87" i="21"/>
  <c r="C86" i="21"/>
  <c r="C85" i="21"/>
  <c r="C84" i="21"/>
  <c r="C83" i="21"/>
  <c r="C82" i="21"/>
  <c r="G33" i="21"/>
  <c r="D28" i="21" s="1"/>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C142" i="20"/>
  <c r="C143" i="20"/>
  <c r="C144" i="20"/>
  <c r="C145" i="20"/>
  <c r="C146" i="20"/>
  <c r="C147" i="20"/>
  <c r="C148" i="20"/>
  <c r="C149" i="20"/>
  <c r="C150" i="20"/>
  <c r="C151" i="20"/>
  <c r="C152" i="20"/>
  <c r="C153" i="20"/>
  <c r="C154" i="20"/>
  <c r="C155" i="20"/>
  <c r="C156" i="20"/>
  <c r="C157" i="20"/>
  <c r="C158" i="20"/>
  <c r="C159" i="20"/>
  <c r="C160" i="20"/>
  <c r="C161" i="20"/>
  <c r="C162" i="20"/>
  <c r="C163" i="20"/>
  <c r="C164" i="20"/>
  <c r="C165" i="20"/>
  <c r="C166" i="20"/>
  <c r="C167" i="20"/>
  <c r="C168" i="20"/>
  <c r="C169" i="20"/>
  <c r="C170" i="20"/>
  <c r="C171" i="20"/>
  <c r="C172" i="20"/>
  <c r="C173" i="20"/>
  <c r="C174" i="20"/>
  <c r="C175" i="20"/>
  <c r="C176" i="20"/>
  <c r="C177" i="20"/>
  <c r="C178" i="20"/>
  <c r="C179" i="20"/>
  <c r="C180" i="20"/>
  <c r="C181" i="20"/>
  <c r="C182" i="20"/>
  <c r="C183" i="20"/>
  <c r="C184" i="20"/>
  <c r="C185" i="20"/>
  <c r="C186" i="20"/>
  <c r="C187" i="20"/>
  <c r="C188" i="20"/>
  <c r="C189" i="20"/>
  <c r="C190" i="20"/>
  <c r="C191" i="20"/>
  <c r="C192" i="20"/>
  <c r="C193" i="20"/>
  <c r="C194" i="20"/>
  <c r="C195" i="20"/>
  <c r="C196" i="20"/>
  <c r="C197" i="20"/>
  <c r="C198" i="20"/>
  <c r="C199" i="20"/>
  <c r="C200" i="20"/>
  <c r="C201" i="20"/>
  <c r="C202" i="20"/>
  <c r="C203" i="20"/>
  <c r="C204" i="20"/>
  <c r="C205" i="20"/>
  <c r="C206" i="20"/>
  <c r="C207" i="20"/>
  <c r="C208" i="20"/>
  <c r="C209" i="20"/>
  <c r="C210" i="20"/>
  <c r="C211" i="20"/>
  <c r="C212" i="20"/>
  <c r="C213" i="20"/>
  <c r="C214" i="20"/>
  <c r="C215" i="20"/>
  <c r="C216" i="20"/>
  <c r="C217" i="20"/>
  <c r="C218" i="20"/>
  <c r="C219" i="20"/>
  <c r="C220" i="20"/>
  <c r="C221" i="20"/>
  <c r="C222" i="20"/>
  <c r="C223" i="20"/>
  <c r="C224" i="20"/>
  <c r="C225" i="20"/>
  <c r="C226" i="20"/>
  <c r="C227" i="20"/>
  <c r="C228" i="20"/>
  <c r="C229" i="20"/>
  <c r="C230" i="20"/>
  <c r="C231" i="20"/>
  <c r="C232" i="20"/>
  <c r="C233" i="20"/>
  <c r="C234" i="20"/>
  <c r="C235" i="20"/>
  <c r="C236" i="20"/>
  <c r="C237" i="20"/>
  <c r="C238" i="20"/>
  <c r="C239" i="20"/>
  <c r="C240" i="20"/>
  <c r="C241" i="20"/>
  <c r="C242" i="20"/>
  <c r="C243" i="20"/>
  <c r="C244" i="20"/>
  <c r="C245" i="20"/>
  <c r="C246" i="20"/>
  <c r="C247" i="20"/>
  <c r="C248" i="20"/>
  <c r="C249" i="20"/>
  <c r="C250" i="20"/>
  <c r="C251" i="20"/>
  <c r="C252" i="20"/>
  <c r="C253" i="20"/>
  <c r="C254" i="20"/>
  <c r="C255" i="20"/>
  <c r="C256" i="20"/>
  <c r="C257" i="20"/>
  <c r="C258" i="20"/>
  <c r="C259" i="20"/>
  <c r="C260" i="20"/>
  <c r="C261" i="20"/>
  <c r="C262" i="20"/>
  <c r="C263" i="20"/>
  <c r="C264" i="20"/>
  <c r="C265" i="20"/>
  <c r="C266" i="20"/>
  <c r="C267" i="20"/>
  <c r="C268" i="20"/>
  <c r="C269" i="20"/>
  <c r="C270" i="20"/>
  <c r="C271" i="20"/>
  <c r="C272" i="20"/>
  <c r="C273" i="20"/>
  <c r="C274" i="20"/>
  <c r="C275" i="20"/>
  <c r="C276" i="20"/>
  <c r="C277" i="20"/>
  <c r="C278" i="20"/>
  <c r="C279" i="20"/>
  <c r="C280" i="20"/>
  <c r="C281" i="20"/>
  <c r="C282" i="20"/>
  <c r="C283" i="20"/>
  <c r="C284" i="20"/>
  <c r="C285" i="20"/>
  <c r="C286" i="20"/>
  <c r="C287" i="20"/>
  <c r="C288" i="20"/>
  <c r="C289" i="20"/>
  <c r="C290" i="20"/>
  <c r="C291" i="20"/>
  <c r="C292" i="20"/>
  <c r="C293" i="20"/>
  <c r="C294" i="20"/>
  <c r="C295" i="20"/>
  <c r="C296" i="20"/>
  <c r="C297" i="20"/>
  <c r="C298" i="20"/>
  <c r="C299" i="20"/>
  <c r="C300" i="20"/>
  <c r="C301" i="20"/>
  <c r="C302" i="20"/>
  <c r="C303" i="20"/>
  <c r="C304" i="20"/>
  <c r="C305" i="20"/>
  <c r="C306" i="20"/>
  <c r="C307" i="20"/>
  <c r="C308" i="20"/>
  <c r="C309" i="20"/>
  <c r="C310" i="20"/>
  <c r="C311" i="20"/>
  <c r="C312" i="20"/>
  <c r="C313" i="20"/>
  <c r="C314" i="20"/>
  <c r="C315" i="20"/>
  <c r="C316" i="20"/>
  <c r="C317" i="20"/>
  <c r="C318" i="20"/>
  <c r="C319" i="20"/>
  <c r="C320" i="20"/>
  <c r="C321" i="20"/>
  <c r="C322" i="20"/>
  <c r="C323" i="20"/>
  <c r="C324" i="20"/>
  <c r="C325" i="20"/>
  <c r="C326" i="20"/>
  <c r="C327" i="20"/>
  <c r="C328" i="20"/>
  <c r="C329" i="20"/>
  <c r="C330" i="20"/>
  <c r="C331" i="20"/>
  <c r="C332" i="20"/>
  <c r="C333" i="20"/>
  <c r="C334" i="20"/>
  <c r="C335" i="20"/>
  <c r="C336" i="20"/>
  <c r="C337" i="20"/>
  <c r="C338" i="20"/>
  <c r="C339" i="20"/>
  <c r="C340" i="20"/>
  <c r="C341" i="20"/>
  <c r="C342" i="20"/>
  <c r="C343" i="20"/>
  <c r="C344" i="20"/>
  <c r="C345" i="20"/>
  <c r="C346" i="20"/>
  <c r="C347" i="20"/>
  <c r="C348" i="20"/>
  <c r="C349" i="20"/>
  <c r="C350" i="20"/>
  <c r="C351" i="20"/>
  <c r="C352" i="20"/>
  <c r="C353" i="20"/>
  <c r="C354" i="20"/>
  <c r="C355" i="20"/>
  <c r="C356" i="20"/>
  <c r="C357" i="20"/>
  <c r="C358" i="20"/>
  <c r="C359" i="20"/>
  <c r="C360" i="20"/>
  <c r="C361" i="20"/>
  <c r="C362" i="20"/>
  <c r="C363" i="20"/>
  <c r="C364" i="20"/>
  <c r="C365" i="20"/>
  <c r="C366" i="20"/>
  <c r="C367" i="20"/>
  <c r="C368" i="20"/>
  <c r="C369" i="20"/>
  <c r="C370" i="20"/>
  <c r="C371" i="20"/>
  <c r="C372" i="20"/>
  <c r="C373" i="20"/>
  <c r="C374" i="20"/>
  <c r="C375" i="20"/>
  <c r="C376" i="20"/>
  <c r="C377" i="20"/>
  <c r="C378" i="20"/>
  <c r="C379" i="20"/>
  <c r="C380" i="20"/>
  <c r="C381" i="20"/>
  <c r="C382" i="20"/>
  <c r="C383" i="20"/>
  <c r="C384" i="20"/>
  <c r="C385" i="20"/>
  <c r="C386" i="20"/>
  <c r="C387" i="20"/>
  <c r="C388" i="20"/>
  <c r="C389" i="20"/>
  <c r="C390" i="20"/>
  <c r="C391" i="20"/>
  <c r="C392" i="20"/>
  <c r="C393" i="20"/>
  <c r="C394" i="20"/>
  <c r="C395" i="20"/>
  <c r="C396" i="20"/>
  <c r="C397" i="20"/>
  <c r="C398" i="20"/>
  <c r="C399" i="20"/>
  <c r="C400" i="20"/>
  <c r="C401" i="20"/>
  <c r="C402" i="20"/>
  <c r="C403" i="20"/>
  <c r="C404" i="20"/>
  <c r="C405" i="20"/>
  <c r="C406" i="20"/>
  <c r="C407" i="20"/>
  <c r="C408" i="20"/>
  <c r="C409" i="20"/>
  <c r="C410" i="20"/>
  <c r="C411" i="20"/>
  <c r="C412" i="20"/>
  <c r="C413" i="20"/>
  <c r="C414" i="20"/>
  <c r="C415" i="20"/>
  <c r="C416" i="20"/>
  <c r="C417" i="20"/>
  <c r="C418" i="20"/>
  <c r="C419" i="20"/>
  <c r="C420" i="20"/>
  <c r="C421" i="20"/>
  <c r="C422" i="20"/>
  <c r="C102" i="20"/>
  <c r="C101" i="20"/>
  <c r="C100" i="20"/>
  <c r="C99" i="20"/>
  <c r="C98" i="20"/>
  <c r="C97" i="20"/>
  <c r="C96" i="20"/>
  <c r="C95" i="20"/>
  <c r="C94" i="20"/>
  <c r="C93" i="20"/>
  <c r="C92" i="20"/>
  <c r="C91" i="20"/>
  <c r="C90" i="20"/>
  <c r="C89" i="20"/>
  <c r="C88" i="20"/>
  <c r="C87" i="20"/>
  <c r="C86" i="20"/>
  <c r="C85" i="20"/>
  <c r="C84" i="20"/>
  <c r="C83" i="20"/>
  <c r="G54" i="20"/>
  <c r="B59" i="20" l="1"/>
  <c r="C59" i="20" s="1"/>
  <c r="L59" i="20" s="1"/>
  <c r="C49" i="20"/>
  <c r="J55" i="21"/>
  <c r="K55" i="21" s="1"/>
  <c r="J52" i="21"/>
  <c r="K52" i="21" s="1"/>
  <c r="J47" i="21"/>
  <c r="K47" i="21" s="1"/>
  <c r="J44" i="21"/>
  <c r="J39" i="21"/>
  <c r="K39" i="21" s="1"/>
  <c r="J57" i="21"/>
  <c r="K57" i="21" s="1"/>
  <c r="J54" i="21"/>
  <c r="K54" i="21" s="1"/>
  <c r="J49" i="21"/>
  <c r="K49" i="21" s="1"/>
  <c r="J46" i="21"/>
  <c r="K46" i="21" s="1"/>
  <c r="J41" i="21"/>
  <c r="K41" i="21" s="1"/>
  <c r="J38" i="21"/>
  <c r="K38" i="21" s="1"/>
  <c r="J56" i="21"/>
  <c r="K56" i="21" s="1"/>
  <c r="J51" i="21"/>
  <c r="K51" i="21" s="1"/>
  <c r="J48" i="21"/>
  <c r="K48" i="21" s="1"/>
  <c r="J43" i="21"/>
  <c r="K43" i="21" s="1"/>
  <c r="J40" i="21"/>
  <c r="K40" i="21" s="1"/>
  <c r="J53" i="21"/>
  <c r="J50" i="21"/>
  <c r="K50" i="21" s="1"/>
  <c r="J45" i="21"/>
  <c r="K45" i="21" s="1"/>
  <c r="J42" i="21"/>
  <c r="K42" i="21" s="1"/>
  <c r="J37" i="21"/>
  <c r="K37" i="21" s="1"/>
  <c r="C62" i="21"/>
  <c r="I2" i="21"/>
  <c r="G2" i="20"/>
  <c r="B37" i="21"/>
  <c r="C37" i="21" s="1"/>
  <c r="B53" i="21"/>
  <c r="C53" i="21" s="1"/>
  <c r="B49" i="21"/>
  <c r="C49" i="21" s="1"/>
  <c r="B45" i="21"/>
  <c r="C45" i="21" s="1"/>
  <c r="B41" i="21"/>
  <c r="C41" i="21" s="1"/>
  <c r="C72" i="21"/>
  <c r="C77" i="21"/>
  <c r="C80" i="21"/>
  <c r="C69" i="21"/>
  <c r="C65" i="21"/>
  <c r="B56" i="21"/>
  <c r="C56" i="21" s="1"/>
  <c r="B52" i="21"/>
  <c r="C52" i="21" s="1"/>
  <c r="B48" i="21"/>
  <c r="C48" i="21" s="1"/>
  <c r="B44" i="21"/>
  <c r="C44" i="21" s="1"/>
  <c r="B40" i="21"/>
  <c r="C40" i="21" s="1"/>
  <c r="C75" i="21"/>
  <c r="C78" i="21"/>
  <c r="C68" i="21"/>
  <c r="C64" i="21"/>
  <c r="B55" i="21"/>
  <c r="C55" i="21" s="1"/>
  <c r="B43" i="21"/>
  <c r="C43" i="21" s="1"/>
  <c r="C73" i="21"/>
  <c r="C76" i="21"/>
  <c r="C81" i="21"/>
  <c r="C67" i="21"/>
  <c r="C63" i="21"/>
  <c r="B51" i="21"/>
  <c r="C51" i="21" s="1"/>
  <c r="B47" i="21"/>
  <c r="C47" i="21" s="1"/>
  <c r="B39" i="21"/>
  <c r="C39" i="21" s="1"/>
  <c r="B54" i="21"/>
  <c r="C54" i="21" s="1"/>
  <c r="B50" i="21"/>
  <c r="C50" i="21" s="1"/>
  <c r="B46" i="21"/>
  <c r="C46" i="21" s="1"/>
  <c r="B42" i="21"/>
  <c r="C42" i="21" s="1"/>
  <c r="B38" i="21"/>
  <c r="C38" i="21" s="1"/>
  <c r="C71" i="21"/>
  <c r="C74" i="21"/>
  <c r="C79" i="21"/>
  <c r="C70" i="21"/>
  <c r="C66" i="21"/>
  <c r="B77" i="20"/>
  <c r="C77" i="20" s="1"/>
  <c r="B73" i="20"/>
  <c r="C73" i="20" s="1"/>
  <c r="B69" i="20"/>
  <c r="C69" i="20" s="1"/>
  <c r="B65" i="20"/>
  <c r="C65" i="20" s="1"/>
  <c r="B61" i="20"/>
  <c r="C61" i="20" s="1"/>
  <c r="B76" i="20"/>
  <c r="C76" i="20" s="1"/>
  <c r="B72" i="20"/>
  <c r="C72" i="20" s="1"/>
  <c r="B68" i="20"/>
  <c r="C68" i="20" s="1"/>
  <c r="B64" i="20"/>
  <c r="C64" i="20" s="1"/>
  <c r="B60" i="20"/>
  <c r="C60" i="20" s="1"/>
  <c r="B58" i="20"/>
  <c r="C58" i="20" s="1"/>
  <c r="B74" i="20"/>
  <c r="C74" i="20" s="1"/>
  <c r="B70" i="20"/>
  <c r="C70" i="20" s="1"/>
  <c r="B66" i="20"/>
  <c r="C66" i="20" s="1"/>
  <c r="B62" i="20"/>
  <c r="C62" i="20" s="1"/>
  <c r="B75" i="20"/>
  <c r="C75" i="20" s="1"/>
  <c r="B71" i="20"/>
  <c r="C71" i="20" s="1"/>
  <c r="B67" i="20"/>
  <c r="C67" i="20" s="1"/>
  <c r="B63" i="20"/>
  <c r="C63" i="20" s="1"/>
  <c r="H29" i="17"/>
  <c r="H28" i="17"/>
  <c r="H27" i="17"/>
  <c r="G29" i="17"/>
  <c r="G28" i="17"/>
  <c r="G27" i="17"/>
  <c r="F29" i="17"/>
  <c r="F28" i="17"/>
  <c r="F27" i="17"/>
  <c r="E29" i="17"/>
  <c r="E28" i="17"/>
  <c r="E27" i="17"/>
  <c r="F35" i="17"/>
  <c r="J27" i="17" s="1"/>
  <c r="S77" i="15"/>
  <c r="M85" i="15" s="1"/>
  <c r="R77" i="15"/>
  <c r="P77" i="15"/>
  <c r="N77" i="15"/>
  <c r="O77" i="15"/>
  <c r="M77" i="15"/>
  <c r="K45" i="15"/>
  <c r="K47" i="15"/>
  <c r="K46" i="15"/>
  <c r="K44" i="15"/>
  <c r="O72" i="15"/>
  <c r="K39" i="15" s="1"/>
  <c r="E81" i="15"/>
  <c r="E59" i="20" l="1"/>
  <c r="H59" i="20"/>
  <c r="K53" i="21"/>
  <c r="M53" i="21" s="1"/>
  <c r="K44" i="21"/>
  <c r="N44" i="21" s="1"/>
  <c r="G59" i="20"/>
  <c r="M59" i="20"/>
  <c r="I59" i="20"/>
  <c r="K59" i="20"/>
  <c r="F59" i="20"/>
  <c r="J59" i="20"/>
  <c r="O37" i="21"/>
  <c r="N37" i="21"/>
  <c r="O51" i="21"/>
  <c r="N51" i="21"/>
  <c r="O39" i="21"/>
  <c r="N39" i="21"/>
  <c r="O42" i="21"/>
  <c r="N42" i="21"/>
  <c r="N40" i="21"/>
  <c r="O40" i="21"/>
  <c r="N56" i="21"/>
  <c r="O56" i="21"/>
  <c r="O49" i="21"/>
  <c r="N49" i="21"/>
  <c r="O45" i="21"/>
  <c r="N45" i="21"/>
  <c r="O43" i="21"/>
  <c r="N43" i="21"/>
  <c r="O38" i="21"/>
  <c r="N38" i="21"/>
  <c r="O54" i="21"/>
  <c r="N54" i="21"/>
  <c r="O47" i="21"/>
  <c r="N47" i="21"/>
  <c r="O50" i="21"/>
  <c r="N50" i="21"/>
  <c r="N48" i="21"/>
  <c r="O48" i="21"/>
  <c r="O41" i="21"/>
  <c r="N41" i="21"/>
  <c r="O57" i="21"/>
  <c r="N57" i="21"/>
  <c r="N52" i="21"/>
  <c r="O52" i="21"/>
  <c r="O46" i="21"/>
  <c r="N46" i="21"/>
  <c r="O55" i="21"/>
  <c r="N55" i="21"/>
  <c r="M42" i="21"/>
  <c r="M40" i="21"/>
  <c r="M56" i="21"/>
  <c r="M49" i="21"/>
  <c r="M45" i="21"/>
  <c r="M43" i="21"/>
  <c r="M38" i="21"/>
  <c r="M54" i="21"/>
  <c r="M47" i="21"/>
  <c r="M50" i="21"/>
  <c r="M48" i="21"/>
  <c r="M41" i="21"/>
  <c r="M57" i="21"/>
  <c r="M52" i="21"/>
  <c r="M37" i="21"/>
  <c r="M51" i="21"/>
  <c r="M46" i="21"/>
  <c r="M39" i="21"/>
  <c r="M55" i="21"/>
  <c r="E38" i="21"/>
  <c r="F38" i="21"/>
  <c r="E54" i="21"/>
  <c r="F54" i="21"/>
  <c r="E44" i="21"/>
  <c r="F44" i="21"/>
  <c r="E53" i="21"/>
  <c r="F53" i="21"/>
  <c r="E42" i="21"/>
  <c r="F42" i="21"/>
  <c r="E39" i="21"/>
  <c r="F39" i="21"/>
  <c r="E43" i="21"/>
  <c r="F43" i="21"/>
  <c r="E48" i="21"/>
  <c r="F48" i="21"/>
  <c r="E41" i="21"/>
  <c r="F41" i="21"/>
  <c r="F37" i="21"/>
  <c r="G28" i="21" s="1"/>
  <c r="E37" i="21"/>
  <c r="F28" i="21" s="1"/>
  <c r="E46" i="21"/>
  <c r="F46" i="21"/>
  <c r="E47" i="21"/>
  <c r="H28" i="21" s="1"/>
  <c r="F47" i="21"/>
  <c r="I28" i="21" s="1"/>
  <c r="E55" i="21"/>
  <c r="F55" i="21"/>
  <c r="E52" i="21"/>
  <c r="F52" i="21"/>
  <c r="E45" i="21"/>
  <c r="F45" i="21"/>
  <c r="E50" i="21"/>
  <c r="F50" i="21"/>
  <c r="E51" i="21"/>
  <c r="F51" i="21"/>
  <c r="E40" i="21"/>
  <c r="F40" i="21"/>
  <c r="E56" i="21"/>
  <c r="J28" i="21" s="1"/>
  <c r="F56" i="21"/>
  <c r="K28" i="21" s="1"/>
  <c r="E49" i="21"/>
  <c r="F49" i="21"/>
  <c r="M58" i="20"/>
  <c r="L58" i="20"/>
  <c r="G49" i="20" s="1"/>
  <c r="K58" i="20"/>
  <c r="L67" i="20"/>
  <c r="M67" i="20"/>
  <c r="K67" i="20"/>
  <c r="M60" i="20"/>
  <c r="K60" i="20"/>
  <c r="L60" i="20"/>
  <c r="L71" i="20"/>
  <c r="M71" i="20"/>
  <c r="K71" i="20"/>
  <c r="K70" i="20"/>
  <c r="L70" i="20"/>
  <c r="M70" i="20"/>
  <c r="K61" i="20"/>
  <c r="L61" i="20"/>
  <c r="M61" i="20"/>
  <c r="K77" i="20"/>
  <c r="L77" i="20"/>
  <c r="M49" i="20" s="1"/>
  <c r="M77" i="20"/>
  <c r="L75" i="20"/>
  <c r="M75" i="20"/>
  <c r="K75" i="20"/>
  <c r="K74" i="20"/>
  <c r="L74" i="20"/>
  <c r="M74" i="20"/>
  <c r="M68" i="20"/>
  <c r="K68" i="20"/>
  <c r="L68" i="20"/>
  <c r="J49" i="20" s="1"/>
  <c r="K65" i="20"/>
  <c r="L65" i="20"/>
  <c r="M65" i="20"/>
  <c r="K69" i="20"/>
  <c r="L69" i="20"/>
  <c r="M69" i="20"/>
  <c r="L63" i="20"/>
  <c r="M63" i="20"/>
  <c r="K63" i="20"/>
  <c r="M72" i="20"/>
  <c r="K72" i="20"/>
  <c r="L72" i="20"/>
  <c r="K66" i="20"/>
  <c r="L66" i="20"/>
  <c r="M66" i="20"/>
  <c r="M76" i="20"/>
  <c r="K76" i="20"/>
  <c r="L76" i="20"/>
  <c r="K73" i="20"/>
  <c r="L73" i="20"/>
  <c r="M73" i="20"/>
  <c r="K62" i="20"/>
  <c r="L62" i="20"/>
  <c r="M62" i="20"/>
  <c r="M64" i="20"/>
  <c r="K64" i="20"/>
  <c r="L64" i="20"/>
  <c r="I60" i="20"/>
  <c r="J60" i="20"/>
  <c r="H60" i="20"/>
  <c r="H70" i="20"/>
  <c r="I70" i="20"/>
  <c r="J70" i="20"/>
  <c r="J61" i="20"/>
  <c r="H61" i="20"/>
  <c r="I61" i="20"/>
  <c r="H74" i="20"/>
  <c r="I74" i="20"/>
  <c r="J74" i="20"/>
  <c r="I68" i="20"/>
  <c r="I49" i="20" s="1"/>
  <c r="J68" i="20"/>
  <c r="H68" i="20"/>
  <c r="H63" i="20"/>
  <c r="I63" i="20"/>
  <c r="J63" i="20"/>
  <c r="H62" i="20"/>
  <c r="I62" i="20"/>
  <c r="J62" i="20"/>
  <c r="J58" i="20"/>
  <c r="I58" i="20"/>
  <c r="F49" i="20" s="1"/>
  <c r="H58" i="20"/>
  <c r="I72" i="20"/>
  <c r="J72" i="20"/>
  <c r="H72" i="20"/>
  <c r="J69" i="20"/>
  <c r="H69" i="20"/>
  <c r="I69" i="20"/>
  <c r="H67" i="20"/>
  <c r="I67" i="20"/>
  <c r="J67" i="20"/>
  <c r="I76" i="20"/>
  <c r="J76" i="20"/>
  <c r="H76" i="20"/>
  <c r="J73" i="20"/>
  <c r="H73" i="20"/>
  <c r="I73" i="20"/>
  <c r="H71" i="20"/>
  <c r="I71" i="20"/>
  <c r="J71" i="20"/>
  <c r="J77" i="20"/>
  <c r="H77" i="20"/>
  <c r="I77" i="20"/>
  <c r="L49" i="20" s="1"/>
  <c r="H66" i="20"/>
  <c r="I66" i="20"/>
  <c r="J66" i="20"/>
  <c r="I64" i="20"/>
  <c r="J64" i="20"/>
  <c r="H64" i="20"/>
  <c r="H75" i="20"/>
  <c r="I75" i="20"/>
  <c r="J75" i="20"/>
  <c r="J65" i="20"/>
  <c r="H65" i="20"/>
  <c r="I65" i="20"/>
  <c r="G75" i="20"/>
  <c r="F75" i="20"/>
  <c r="E75" i="20"/>
  <c r="G74" i="20"/>
  <c r="F74" i="20"/>
  <c r="E74" i="20"/>
  <c r="E68" i="20"/>
  <c r="H49" i="20" s="1"/>
  <c r="G68" i="20"/>
  <c r="F68" i="20"/>
  <c r="F65" i="20"/>
  <c r="E65" i="20"/>
  <c r="G65" i="20"/>
  <c r="E63" i="20"/>
  <c r="G63" i="20"/>
  <c r="F63" i="20"/>
  <c r="G62" i="20"/>
  <c r="F62" i="20"/>
  <c r="E62" i="20"/>
  <c r="G58" i="20"/>
  <c r="F58" i="20"/>
  <c r="E49" i="20" s="1"/>
  <c r="E58" i="20"/>
  <c r="E72" i="20"/>
  <c r="G72" i="20"/>
  <c r="F72" i="20"/>
  <c r="F69" i="20"/>
  <c r="E69" i="20"/>
  <c r="G69" i="20"/>
  <c r="G67" i="20"/>
  <c r="F67" i="20"/>
  <c r="E67" i="20"/>
  <c r="G66" i="20"/>
  <c r="F66" i="20"/>
  <c r="E66" i="20"/>
  <c r="E60" i="20"/>
  <c r="G60" i="20"/>
  <c r="F60" i="20"/>
  <c r="E76" i="20"/>
  <c r="G76" i="20"/>
  <c r="F76" i="20"/>
  <c r="F73" i="20"/>
  <c r="E73" i="20"/>
  <c r="G73" i="20"/>
  <c r="G71" i="20"/>
  <c r="F71" i="20"/>
  <c r="E71" i="20"/>
  <c r="G70" i="20"/>
  <c r="F70" i="20"/>
  <c r="E70" i="20"/>
  <c r="E64" i="20"/>
  <c r="G64" i="20"/>
  <c r="F64" i="20"/>
  <c r="F61" i="20"/>
  <c r="E61" i="20"/>
  <c r="G61" i="20"/>
  <c r="F77" i="20"/>
  <c r="E77" i="20"/>
  <c r="K49" i="20" s="1"/>
  <c r="G77" i="20"/>
  <c r="C31" i="17"/>
  <c r="O53" i="21" l="1"/>
  <c r="M44" i="21"/>
  <c r="N53" i="21"/>
  <c r="O44" i="21"/>
  <c r="E51" i="15"/>
  <c r="E47" i="12"/>
  <c r="F43" i="12" s="1"/>
  <c r="O70" i="10"/>
  <c r="N70" i="10"/>
  <c r="M70" i="10"/>
  <c r="O71" i="10"/>
  <c r="O68" i="10"/>
  <c r="O67" i="10"/>
  <c r="N71" i="10"/>
  <c r="N68" i="10"/>
  <c r="N67" i="10"/>
  <c r="M71" i="10"/>
  <c r="M68" i="10"/>
  <c r="M67" i="10"/>
  <c r="L70" i="10"/>
  <c r="E117" i="10"/>
  <c r="K70" i="10"/>
  <c r="J70" i="10"/>
  <c r="I70" i="10"/>
  <c r="H70" i="10"/>
  <c r="G70" i="10"/>
  <c r="F70" i="10"/>
  <c r="E70" i="10"/>
  <c r="F120" i="10"/>
  <c r="B69" i="10" s="1"/>
  <c r="P35" i="19"/>
  <c r="P36" i="19"/>
  <c r="P37" i="19"/>
  <c r="P38" i="19"/>
  <c r="P39" i="19"/>
  <c r="O35" i="19"/>
  <c r="O36" i="19"/>
  <c r="O37" i="19"/>
  <c r="O38" i="19"/>
  <c r="O39" i="19"/>
  <c r="N35" i="19"/>
  <c r="N36" i="19"/>
  <c r="N37" i="19"/>
  <c r="N38" i="19"/>
  <c r="N39" i="19"/>
  <c r="M35" i="19"/>
  <c r="M36" i="19"/>
  <c r="M37" i="19"/>
  <c r="M38" i="19"/>
  <c r="M39" i="19"/>
  <c r="L35" i="19"/>
  <c r="L36" i="19"/>
  <c r="L37" i="19"/>
  <c r="L38" i="19"/>
  <c r="L39" i="19"/>
  <c r="K35" i="19"/>
  <c r="K36" i="19"/>
  <c r="K37" i="19"/>
  <c r="K38" i="19"/>
  <c r="K39" i="19"/>
  <c r="J35" i="19"/>
  <c r="J36" i="19"/>
  <c r="J37" i="19"/>
  <c r="J38" i="19"/>
  <c r="J39" i="19"/>
  <c r="I35" i="19"/>
  <c r="I36" i="19"/>
  <c r="I37" i="19"/>
  <c r="I38" i="19"/>
  <c r="I39" i="19"/>
  <c r="H35" i="19"/>
  <c r="H36" i="19"/>
  <c r="H37" i="19"/>
  <c r="H38" i="19"/>
  <c r="H39" i="19"/>
  <c r="G35" i="19"/>
  <c r="G36" i="19"/>
  <c r="G37" i="19"/>
  <c r="G38" i="19"/>
  <c r="G39" i="19"/>
  <c r="F35" i="19"/>
  <c r="F36" i="19"/>
  <c r="F37" i="19"/>
  <c r="F38" i="19"/>
  <c r="F39" i="19"/>
  <c r="E36" i="19"/>
  <c r="E37" i="19"/>
  <c r="E38" i="19"/>
  <c r="E39" i="19"/>
  <c r="E35" i="19"/>
  <c r="M134" i="19"/>
  <c r="M461" i="19"/>
  <c r="M460" i="19"/>
  <c r="M459" i="19"/>
  <c r="M458" i="19"/>
  <c r="M457" i="19"/>
  <c r="M456" i="19"/>
  <c r="M455" i="19"/>
  <c r="M454" i="19"/>
  <c r="M453" i="19"/>
  <c r="M452" i="19"/>
  <c r="M451" i="19"/>
  <c r="M450" i="19"/>
  <c r="M449" i="19"/>
  <c r="M448" i="19"/>
  <c r="M447" i="19"/>
  <c r="M446" i="19"/>
  <c r="M445" i="19"/>
  <c r="M444" i="19"/>
  <c r="M443" i="19"/>
  <c r="M442" i="19"/>
  <c r="M441" i="19"/>
  <c r="M440" i="19"/>
  <c r="M439" i="19"/>
  <c r="M438" i="19"/>
  <c r="M437" i="19"/>
  <c r="M436" i="19"/>
  <c r="M435" i="19"/>
  <c r="M434" i="19"/>
  <c r="M433" i="19"/>
  <c r="M432" i="19"/>
  <c r="M431" i="19"/>
  <c r="M430" i="19"/>
  <c r="M429" i="19"/>
  <c r="M428" i="19"/>
  <c r="M427" i="19"/>
  <c r="M426" i="19"/>
  <c r="M425" i="19"/>
  <c r="M424" i="19"/>
  <c r="M423" i="19"/>
  <c r="M422" i="19"/>
  <c r="M421" i="19"/>
  <c r="M420" i="19"/>
  <c r="M419" i="19"/>
  <c r="M418" i="19"/>
  <c r="M417" i="19"/>
  <c r="M416" i="19"/>
  <c r="M415" i="19"/>
  <c r="M414" i="19"/>
  <c r="M413" i="19"/>
  <c r="M412" i="19"/>
  <c r="M411" i="19"/>
  <c r="M410" i="19"/>
  <c r="M409" i="19"/>
  <c r="M408" i="19"/>
  <c r="M407" i="19"/>
  <c r="M406" i="19"/>
  <c r="M405" i="19"/>
  <c r="M404" i="19"/>
  <c r="M403" i="19"/>
  <c r="M402" i="19"/>
  <c r="M401" i="19"/>
  <c r="M400" i="19"/>
  <c r="M399" i="19"/>
  <c r="M398" i="19"/>
  <c r="M397" i="19"/>
  <c r="M396" i="19"/>
  <c r="M395" i="19"/>
  <c r="M394" i="19"/>
  <c r="M393" i="19"/>
  <c r="M392" i="19"/>
  <c r="M391" i="19"/>
  <c r="M390" i="19"/>
  <c r="M389" i="19"/>
  <c r="M388" i="19"/>
  <c r="M387" i="19"/>
  <c r="M386" i="19"/>
  <c r="M385" i="19"/>
  <c r="M384" i="19"/>
  <c r="M383" i="19"/>
  <c r="M382" i="19"/>
  <c r="M381" i="19"/>
  <c r="M380" i="19"/>
  <c r="M379" i="19"/>
  <c r="M378" i="19"/>
  <c r="M377" i="19"/>
  <c r="M376" i="19"/>
  <c r="M375" i="19"/>
  <c r="M374" i="19"/>
  <c r="M373" i="19"/>
  <c r="M372" i="19"/>
  <c r="M371" i="19"/>
  <c r="M370" i="19"/>
  <c r="M369" i="19"/>
  <c r="M368" i="19"/>
  <c r="M367" i="19"/>
  <c r="M366" i="19"/>
  <c r="M365" i="19"/>
  <c r="M364" i="19"/>
  <c r="M363" i="19"/>
  <c r="M362" i="19"/>
  <c r="M361" i="19"/>
  <c r="M360" i="19"/>
  <c r="M359" i="19"/>
  <c r="M358" i="19"/>
  <c r="M357" i="19"/>
  <c r="M356" i="19"/>
  <c r="M355" i="19"/>
  <c r="M354" i="19"/>
  <c r="M353" i="19"/>
  <c r="M352" i="19"/>
  <c r="M351" i="19"/>
  <c r="M350" i="19"/>
  <c r="M349" i="19"/>
  <c r="M348" i="19"/>
  <c r="M347" i="19"/>
  <c r="M346" i="19"/>
  <c r="M345" i="19"/>
  <c r="M344" i="19"/>
  <c r="M343" i="19"/>
  <c r="M342" i="19"/>
  <c r="M341" i="19"/>
  <c r="M340" i="19"/>
  <c r="M339" i="19"/>
  <c r="M338" i="19"/>
  <c r="M337" i="19"/>
  <c r="M336" i="19"/>
  <c r="M335" i="19"/>
  <c r="M334" i="19"/>
  <c r="M333" i="19"/>
  <c r="M332" i="19"/>
  <c r="M331" i="19"/>
  <c r="M330" i="19"/>
  <c r="M329" i="19"/>
  <c r="M328" i="19"/>
  <c r="M327" i="19"/>
  <c r="M326" i="19"/>
  <c r="M325" i="19"/>
  <c r="M324" i="19"/>
  <c r="M323" i="19"/>
  <c r="M322" i="19"/>
  <c r="M321" i="19"/>
  <c r="M320" i="19"/>
  <c r="M319" i="19"/>
  <c r="M318" i="19"/>
  <c r="M317" i="19"/>
  <c r="M316" i="19"/>
  <c r="M315" i="19"/>
  <c r="M314" i="19"/>
  <c r="M313" i="19"/>
  <c r="M312" i="19"/>
  <c r="M311" i="19"/>
  <c r="M310" i="19"/>
  <c r="M309" i="19"/>
  <c r="M308" i="19"/>
  <c r="M307" i="19"/>
  <c r="M306" i="19"/>
  <c r="M305" i="19"/>
  <c r="M304" i="19"/>
  <c r="M303" i="19"/>
  <c r="M302" i="19"/>
  <c r="M301" i="19"/>
  <c r="M300" i="19"/>
  <c r="M299" i="19"/>
  <c r="M298" i="19"/>
  <c r="M297" i="19"/>
  <c r="M296" i="19"/>
  <c r="M295" i="19"/>
  <c r="M294" i="19"/>
  <c r="M293" i="19"/>
  <c r="M292" i="19"/>
  <c r="M291" i="19"/>
  <c r="M290" i="19"/>
  <c r="M289" i="19"/>
  <c r="M288" i="19"/>
  <c r="M287" i="19"/>
  <c r="M286" i="19"/>
  <c r="M285" i="19"/>
  <c r="M284" i="19"/>
  <c r="M283" i="19"/>
  <c r="M282" i="19"/>
  <c r="M281" i="19"/>
  <c r="M280" i="19"/>
  <c r="M279" i="19"/>
  <c r="M278" i="19"/>
  <c r="M277" i="19"/>
  <c r="M276" i="19"/>
  <c r="M275" i="19"/>
  <c r="M274" i="19"/>
  <c r="M273" i="19"/>
  <c r="M272" i="19"/>
  <c r="M271" i="19"/>
  <c r="M270" i="19"/>
  <c r="M269" i="19"/>
  <c r="M268" i="19"/>
  <c r="M267" i="19"/>
  <c r="M266" i="19"/>
  <c r="M265" i="19"/>
  <c r="M264" i="19"/>
  <c r="M263" i="19"/>
  <c r="M262" i="19"/>
  <c r="M261" i="19"/>
  <c r="M260" i="19"/>
  <c r="M259" i="19"/>
  <c r="M258" i="19"/>
  <c r="M257" i="19"/>
  <c r="M256" i="19"/>
  <c r="M255" i="19"/>
  <c r="M254" i="19"/>
  <c r="M253" i="19"/>
  <c r="M252" i="19"/>
  <c r="M251" i="19"/>
  <c r="M250" i="19"/>
  <c r="M249" i="19"/>
  <c r="M248" i="19"/>
  <c r="M247" i="19"/>
  <c r="M246" i="19"/>
  <c r="M245" i="19"/>
  <c r="M244" i="19"/>
  <c r="M243" i="19"/>
  <c r="M242" i="19"/>
  <c r="M241" i="19"/>
  <c r="M240" i="19"/>
  <c r="M239" i="19"/>
  <c r="M238" i="19"/>
  <c r="M237" i="19"/>
  <c r="M236" i="19"/>
  <c r="M235" i="19"/>
  <c r="M234" i="19"/>
  <c r="M233" i="19"/>
  <c r="M232" i="19"/>
  <c r="M231" i="19"/>
  <c r="M230" i="19"/>
  <c r="M229" i="19"/>
  <c r="M228" i="19"/>
  <c r="M227" i="19"/>
  <c r="M226" i="19"/>
  <c r="M225" i="19"/>
  <c r="M224" i="19"/>
  <c r="M223" i="19"/>
  <c r="M222" i="19"/>
  <c r="M221" i="19"/>
  <c r="M220" i="19"/>
  <c r="M219" i="19"/>
  <c r="M218" i="19"/>
  <c r="M217" i="19"/>
  <c r="M216" i="19"/>
  <c r="M215" i="19"/>
  <c r="M214" i="19"/>
  <c r="M213" i="19"/>
  <c r="M212" i="19"/>
  <c r="M211" i="19"/>
  <c r="M210" i="19"/>
  <c r="M209" i="19"/>
  <c r="M208" i="19"/>
  <c r="M207" i="19"/>
  <c r="M206" i="19"/>
  <c r="M205" i="19"/>
  <c r="M204" i="19"/>
  <c r="M203" i="19"/>
  <c r="M202" i="19"/>
  <c r="M201" i="19"/>
  <c r="M200" i="19"/>
  <c r="M199" i="19"/>
  <c r="M198" i="19"/>
  <c r="M197" i="19"/>
  <c r="M196" i="19"/>
  <c r="M195" i="19"/>
  <c r="M194" i="19"/>
  <c r="M193" i="19"/>
  <c r="M192" i="19"/>
  <c r="M191" i="19"/>
  <c r="M190" i="19"/>
  <c r="M189" i="19"/>
  <c r="M188" i="19"/>
  <c r="M187" i="19"/>
  <c r="M186" i="19"/>
  <c r="M185" i="19"/>
  <c r="M184" i="19"/>
  <c r="M183" i="19"/>
  <c r="M182" i="19"/>
  <c r="M181" i="19"/>
  <c r="M180" i="19"/>
  <c r="M179" i="19"/>
  <c r="M178" i="19"/>
  <c r="M177" i="19"/>
  <c r="M176" i="19"/>
  <c r="M175" i="19"/>
  <c r="M174" i="19"/>
  <c r="M173" i="19"/>
  <c r="M172" i="19"/>
  <c r="M171" i="19"/>
  <c r="M170" i="19"/>
  <c r="M169" i="19"/>
  <c r="M168" i="19"/>
  <c r="M167" i="19"/>
  <c r="M166" i="19"/>
  <c r="M165" i="19"/>
  <c r="M164" i="19"/>
  <c r="M163" i="19"/>
  <c r="M162" i="19"/>
  <c r="M161" i="19"/>
  <c r="M160" i="19"/>
  <c r="M159" i="19"/>
  <c r="M158" i="19"/>
  <c r="M157" i="19"/>
  <c r="M156" i="19"/>
  <c r="M155" i="19"/>
  <c r="M154" i="19"/>
  <c r="M153" i="19"/>
  <c r="M152" i="19"/>
  <c r="M151" i="19"/>
  <c r="M150" i="19"/>
  <c r="M149" i="19"/>
  <c r="M148" i="19"/>
  <c r="M147" i="19"/>
  <c r="M146" i="19"/>
  <c r="M145" i="19"/>
  <c r="M144" i="19"/>
  <c r="M143" i="19"/>
  <c r="M142" i="19"/>
  <c r="M141" i="19"/>
  <c r="M140" i="19"/>
  <c r="M139" i="19"/>
  <c r="M138" i="19"/>
  <c r="M137" i="19"/>
  <c r="M136" i="19"/>
  <c r="M135" i="19"/>
  <c r="M133" i="19"/>
  <c r="M132" i="19"/>
  <c r="M131" i="19"/>
  <c r="M130" i="19"/>
  <c r="M129" i="19"/>
  <c r="M128" i="19"/>
  <c r="M127" i="19"/>
  <c r="M126" i="19"/>
  <c r="M125" i="19"/>
  <c r="M124" i="19"/>
  <c r="M123" i="19"/>
  <c r="M122" i="19"/>
  <c r="M121" i="19"/>
  <c r="M120" i="19"/>
  <c r="M119" i="19"/>
  <c r="M118" i="19"/>
  <c r="M117" i="19"/>
  <c r="M116" i="19"/>
  <c r="M115" i="19"/>
  <c r="M114" i="19"/>
  <c r="M113" i="19"/>
  <c r="M112" i="19"/>
  <c r="M111" i="19"/>
  <c r="M110" i="19"/>
  <c r="M109" i="19"/>
  <c r="M108" i="19"/>
  <c r="M107" i="19"/>
  <c r="M106" i="19"/>
  <c r="M105" i="19"/>
  <c r="M104" i="19"/>
  <c r="M103" i="19"/>
  <c r="M102" i="19"/>
  <c r="M101" i="19"/>
  <c r="M100" i="19"/>
  <c r="M99" i="19"/>
  <c r="M98" i="19"/>
  <c r="M97" i="19"/>
  <c r="M96" i="19"/>
  <c r="M95" i="19"/>
  <c r="M94" i="19"/>
  <c r="M93" i="19"/>
  <c r="D421" i="19"/>
  <c r="D422" i="19"/>
  <c r="D423" i="19"/>
  <c r="D424" i="19"/>
  <c r="D425" i="19"/>
  <c r="D426" i="19"/>
  <c r="D427" i="19"/>
  <c r="D428" i="19"/>
  <c r="D429" i="19"/>
  <c r="D430" i="19"/>
  <c r="D431" i="19"/>
  <c r="D432" i="19"/>
  <c r="D433" i="19"/>
  <c r="D434" i="19"/>
  <c r="D435" i="19"/>
  <c r="D436" i="19"/>
  <c r="D437" i="19"/>
  <c r="D438" i="19"/>
  <c r="D439" i="19"/>
  <c r="D440" i="19"/>
  <c r="D441" i="19"/>
  <c r="D442" i="19"/>
  <c r="D443" i="19"/>
  <c r="D444" i="19"/>
  <c r="D445" i="19"/>
  <c r="D446" i="19"/>
  <c r="D447" i="19"/>
  <c r="D448" i="19"/>
  <c r="D449" i="19"/>
  <c r="D450" i="19"/>
  <c r="D451" i="19"/>
  <c r="D452" i="19"/>
  <c r="D453" i="19"/>
  <c r="D454" i="19"/>
  <c r="D455" i="19"/>
  <c r="D456" i="19"/>
  <c r="D457" i="19"/>
  <c r="D458" i="19"/>
  <c r="D459" i="19"/>
  <c r="D460" i="19"/>
  <c r="D461" i="19"/>
  <c r="D380" i="19"/>
  <c r="D381" i="19"/>
  <c r="D382" i="19"/>
  <c r="D383" i="19"/>
  <c r="D384" i="19"/>
  <c r="D385" i="19"/>
  <c r="D386" i="19"/>
  <c r="D387" i="19"/>
  <c r="D388" i="19"/>
  <c r="D389" i="19"/>
  <c r="D390" i="19"/>
  <c r="D391" i="19"/>
  <c r="D392" i="19"/>
  <c r="D393" i="19"/>
  <c r="D394" i="19"/>
  <c r="D395" i="19"/>
  <c r="D396" i="19"/>
  <c r="D397" i="19"/>
  <c r="D398" i="19"/>
  <c r="D399" i="19"/>
  <c r="D400" i="19"/>
  <c r="D401" i="19"/>
  <c r="D402" i="19"/>
  <c r="D403" i="19"/>
  <c r="D404" i="19"/>
  <c r="D405" i="19"/>
  <c r="D406" i="19"/>
  <c r="D407" i="19"/>
  <c r="D408" i="19"/>
  <c r="D409" i="19"/>
  <c r="D410" i="19"/>
  <c r="D411" i="19"/>
  <c r="D412" i="19"/>
  <c r="D413" i="19"/>
  <c r="D414" i="19"/>
  <c r="D415" i="19"/>
  <c r="D416" i="19"/>
  <c r="D417" i="19"/>
  <c r="D418" i="19"/>
  <c r="D419" i="19"/>
  <c r="D420" i="19"/>
  <c r="D339" i="19"/>
  <c r="D340" i="19"/>
  <c r="D341" i="19"/>
  <c r="D342" i="19"/>
  <c r="D343" i="19"/>
  <c r="D344" i="19"/>
  <c r="D345" i="19"/>
  <c r="D346" i="19"/>
  <c r="D347" i="19"/>
  <c r="D348" i="19"/>
  <c r="D349" i="19"/>
  <c r="D350" i="19"/>
  <c r="D351" i="19"/>
  <c r="D352" i="19"/>
  <c r="D353" i="19"/>
  <c r="D354" i="19"/>
  <c r="D355" i="19"/>
  <c r="D356" i="19"/>
  <c r="D357" i="19"/>
  <c r="D358" i="19"/>
  <c r="D359" i="19"/>
  <c r="D360" i="19"/>
  <c r="D361" i="19"/>
  <c r="D362" i="19"/>
  <c r="D363" i="19"/>
  <c r="D364" i="19"/>
  <c r="D365" i="19"/>
  <c r="D366" i="19"/>
  <c r="D367" i="19"/>
  <c r="D368" i="19"/>
  <c r="D369" i="19"/>
  <c r="D370" i="19"/>
  <c r="D371" i="19"/>
  <c r="D372" i="19"/>
  <c r="D373" i="19"/>
  <c r="D374" i="19"/>
  <c r="D375" i="19"/>
  <c r="D376" i="19"/>
  <c r="D377" i="19"/>
  <c r="D378" i="19"/>
  <c r="D379" i="19"/>
  <c r="D298" i="19"/>
  <c r="D299" i="19"/>
  <c r="D300" i="19"/>
  <c r="D301" i="19"/>
  <c r="D302" i="19"/>
  <c r="D303" i="19"/>
  <c r="D304" i="19"/>
  <c r="D305" i="19"/>
  <c r="D306" i="19"/>
  <c r="D307" i="19"/>
  <c r="D308" i="19"/>
  <c r="D309" i="19"/>
  <c r="D310" i="19"/>
  <c r="D311" i="19"/>
  <c r="D312" i="19"/>
  <c r="D313" i="19"/>
  <c r="D314" i="19"/>
  <c r="D315" i="19"/>
  <c r="D316" i="19"/>
  <c r="D317" i="19"/>
  <c r="D318" i="19"/>
  <c r="D319" i="19"/>
  <c r="D320" i="19"/>
  <c r="D321" i="19"/>
  <c r="D322" i="19"/>
  <c r="D323" i="19"/>
  <c r="D324" i="19"/>
  <c r="D325" i="19"/>
  <c r="D326" i="19"/>
  <c r="D327" i="19"/>
  <c r="D328" i="19"/>
  <c r="D329" i="19"/>
  <c r="D330" i="19"/>
  <c r="D331" i="19"/>
  <c r="D332" i="19"/>
  <c r="D333" i="19"/>
  <c r="D334" i="19"/>
  <c r="D335" i="19"/>
  <c r="D336" i="19"/>
  <c r="D337" i="19"/>
  <c r="D338" i="19"/>
  <c r="D257" i="19"/>
  <c r="D258" i="19"/>
  <c r="D259" i="19"/>
  <c r="D260" i="19"/>
  <c r="D261" i="19"/>
  <c r="D262" i="19"/>
  <c r="D263" i="19"/>
  <c r="D264" i="19"/>
  <c r="D265" i="19"/>
  <c r="D266" i="19"/>
  <c r="D267" i="19"/>
  <c r="D268" i="19"/>
  <c r="D269" i="19"/>
  <c r="D270" i="19"/>
  <c r="D271" i="19"/>
  <c r="D272" i="19"/>
  <c r="D273" i="19"/>
  <c r="D274" i="19"/>
  <c r="D275" i="19"/>
  <c r="D276" i="19"/>
  <c r="D277" i="19"/>
  <c r="D278" i="19"/>
  <c r="D279" i="19"/>
  <c r="D280" i="19"/>
  <c r="D281" i="19"/>
  <c r="D282" i="19"/>
  <c r="D283" i="19"/>
  <c r="D284" i="19"/>
  <c r="D285" i="19"/>
  <c r="D286" i="19"/>
  <c r="D287" i="19"/>
  <c r="D288" i="19"/>
  <c r="D289" i="19"/>
  <c r="D290" i="19"/>
  <c r="D291" i="19"/>
  <c r="D292" i="19"/>
  <c r="D293" i="19"/>
  <c r="D294" i="19"/>
  <c r="D295" i="19"/>
  <c r="D296" i="19"/>
  <c r="D297" i="19"/>
  <c r="D216" i="19"/>
  <c r="D217" i="19"/>
  <c r="D218" i="19"/>
  <c r="D219" i="19"/>
  <c r="D220" i="19"/>
  <c r="D221" i="19"/>
  <c r="D222" i="19"/>
  <c r="D223" i="19"/>
  <c r="D224" i="19"/>
  <c r="D225" i="19"/>
  <c r="D226" i="19"/>
  <c r="D227" i="19"/>
  <c r="D228" i="19"/>
  <c r="D229" i="19"/>
  <c r="D230" i="19"/>
  <c r="D231" i="19"/>
  <c r="D232" i="19"/>
  <c r="D233" i="19"/>
  <c r="D234" i="19"/>
  <c r="D235" i="19"/>
  <c r="D236" i="19"/>
  <c r="D237" i="19"/>
  <c r="D238" i="19"/>
  <c r="D239" i="19"/>
  <c r="D240" i="19"/>
  <c r="D241" i="19"/>
  <c r="D242" i="19"/>
  <c r="D243" i="19"/>
  <c r="D244" i="19"/>
  <c r="D245" i="19"/>
  <c r="D246" i="19"/>
  <c r="D247" i="19"/>
  <c r="D248" i="19"/>
  <c r="D249" i="19"/>
  <c r="D250" i="19"/>
  <c r="D251" i="19"/>
  <c r="D252" i="19"/>
  <c r="D253" i="19"/>
  <c r="D254" i="19"/>
  <c r="D255" i="19"/>
  <c r="D256" i="19"/>
  <c r="D175" i="19"/>
  <c r="D176" i="19"/>
  <c r="D177" i="19"/>
  <c r="D178" i="19"/>
  <c r="D179" i="19"/>
  <c r="D180" i="19"/>
  <c r="D181" i="19"/>
  <c r="D182" i="19"/>
  <c r="D183" i="19"/>
  <c r="D184" i="19"/>
  <c r="D185" i="19"/>
  <c r="D186" i="19"/>
  <c r="D187" i="19"/>
  <c r="D188" i="19"/>
  <c r="D189" i="19"/>
  <c r="D190" i="19"/>
  <c r="D191" i="19"/>
  <c r="D192" i="19"/>
  <c r="D193" i="19"/>
  <c r="D194" i="19"/>
  <c r="D195" i="19"/>
  <c r="D196" i="19"/>
  <c r="D197" i="19"/>
  <c r="D198" i="19"/>
  <c r="D199" i="19"/>
  <c r="D200" i="19"/>
  <c r="D201" i="19"/>
  <c r="D202" i="19"/>
  <c r="D203" i="19"/>
  <c r="D204" i="19"/>
  <c r="D205" i="19"/>
  <c r="D206" i="19"/>
  <c r="D207" i="19"/>
  <c r="D208" i="19"/>
  <c r="D209" i="19"/>
  <c r="D210" i="19"/>
  <c r="D211" i="19"/>
  <c r="D212" i="19"/>
  <c r="D213" i="19"/>
  <c r="D214" i="19"/>
  <c r="D215" i="19"/>
  <c r="D134" i="19"/>
  <c r="D135" i="19"/>
  <c r="D136" i="19"/>
  <c r="D137" i="19"/>
  <c r="D138" i="19"/>
  <c r="D139" i="19"/>
  <c r="D140" i="19"/>
  <c r="D141" i="19"/>
  <c r="D142" i="19"/>
  <c r="D143" i="19"/>
  <c r="D144" i="19"/>
  <c r="D145" i="19"/>
  <c r="D146" i="19"/>
  <c r="D147" i="19"/>
  <c r="D148" i="19"/>
  <c r="D149" i="19"/>
  <c r="D150" i="19"/>
  <c r="D151" i="19"/>
  <c r="D152" i="19"/>
  <c r="D153" i="19"/>
  <c r="D154" i="19"/>
  <c r="D155" i="19"/>
  <c r="D156" i="19"/>
  <c r="D157" i="19"/>
  <c r="D158" i="19"/>
  <c r="D159" i="19"/>
  <c r="D160" i="19"/>
  <c r="D161" i="19"/>
  <c r="D162" i="19"/>
  <c r="D163" i="19"/>
  <c r="D164" i="19"/>
  <c r="D165" i="19"/>
  <c r="D166" i="19"/>
  <c r="D167" i="19"/>
  <c r="D168" i="19"/>
  <c r="D169" i="19"/>
  <c r="D170" i="19"/>
  <c r="D171" i="19"/>
  <c r="D172" i="19"/>
  <c r="D173" i="19"/>
  <c r="D174" i="19"/>
  <c r="E22" i="19"/>
  <c r="C49" i="19" s="1"/>
  <c r="D49" i="19" s="1"/>
  <c r="J35" i="15" l="1"/>
  <c r="J44" i="15" s="1"/>
  <c r="G62" i="15" s="1"/>
  <c r="I2" i="15"/>
  <c r="L76" i="19"/>
  <c r="M76" i="19" s="1"/>
  <c r="L46" i="19"/>
  <c r="M46" i="19" s="1"/>
  <c r="L71" i="19"/>
  <c r="M71" i="19" s="1"/>
  <c r="L55" i="19"/>
  <c r="M55" i="19" s="1"/>
  <c r="L84" i="19"/>
  <c r="M84" i="19" s="1"/>
  <c r="L68" i="19"/>
  <c r="M68" i="19" s="1"/>
  <c r="L52" i="19"/>
  <c r="M52" i="19" s="1"/>
  <c r="L79" i="19"/>
  <c r="M79" i="19" s="1"/>
  <c r="L63" i="19"/>
  <c r="M63" i="19" s="1"/>
  <c r="L47" i="19"/>
  <c r="M47" i="19" s="1"/>
  <c r="L60" i="19"/>
  <c r="M60" i="19" s="1"/>
  <c r="L83" i="19"/>
  <c r="M83" i="19" s="1"/>
  <c r="L75" i="19"/>
  <c r="M75" i="19" s="1"/>
  <c r="L67" i="19"/>
  <c r="M67" i="19" s="1"/>
  <c r="L59" i="19"/>
  <c r="M59" i="19" s="1"/>
  <c r="L51" i="19"/>
  <c r="M51" i="19" s="1"/>
  <c r="F3" i="19"/>
  <c r="L80" i="19"/>
  <c r="M80" i="19" s="1"/>
  <c r="L72" i="19"/>
  <c r="M72" i="19" s="1"/>
  <c r="L64" i="19"/>
  <c r="M64" i="19" s="1"/>
  <c r="L56" i="19"/>
  <c r="M56" i="19" s="1"/>
  <c r="L48" i="19"/>
  <c r="M48" i="19" s="1"/>
  <c r="L86" i="19"/>
  <c r="M86" i="19" s="1"/>
  <c r="L82" i="19"/>
  <c r="M82" i="19" s="1"/>
  <c r="L78" i="19"/>
  <c r="M78" i="19" s="1"/>
  <c r="L74" i="19"/>
  <c r="M74" i="19" s="1"/>
  <c r="L70" i="19"/>
  <c r="M70" i="19" s="1"/>
  <c r="L66" i="19"/>
  <c r="M66" i="19" s="1"/>
  <c r="L62" i="19"/>
  <c r="M62" i="19" s="1"/>
  <c r="L58" i="19"/>
  <c r="M58" i="19" s="1"/>
  <c r="L54" i="19"/>
  <c r="M54" i="19" s="1"/>
  <c r="L50" i="19"/>
  <c r="M50" i="19" s="1"/>
  <c r="L85" i="19"/>
  <c r="M85" i="19" s="1"/>
  <c r="L81" i="19"/>
  <c r="M81" i="19" s="1"/>
  <c r="L77" i="19"/>
  <c r="M77" i="19" s="1"/>
  <c r="L73" i="19"/>
  <c r="M73" i="19" s="1"/>
  <c r="L69" i="19"/>
  <c r="M69" i="19" s="1"/>
  <c r="L65" i="19"/>
  <c r="M65" i="19" s="1"/>
  <c r="L61" i="19"/>
  <c r="M61" i="19" s="1"/>
  <c r="L57" i="19"/>
  <c r="M57" i="19" s="1"/>
  <c r="L53" i="19"/>
  <c r="M53" i="19" s="1"/>
  <c r="L49" i="19"/>
  <c r="M49" i="19" s="1"/>
  <c r="C84" i="19"/>
  <c r="D84" i="19" s="1"/>
  <c r="C73" i="19"/>
  <c r="D73" i="19" s="1"/>
  <c r="C57" i="19"/>
  <c r="D57" i="19" s="1"/>
  <c r="C80" i="19"/>
  <c r="D80" i="19" s="1"/>
  <c r="C65" i="19"/>
  <c r="D65" i="19" s="1"/>
  <c r="C85" i="19"/>
  <c r="D85" i="19" s="1"/>
  <c r="C77" i="19"/>
  <c r="D77" i="19" s="1"/>
  <c r="C61" i="19"/>
  <c r="D61" i="19" s="1"/>
  <c r="C81" i="19"/>
  <c r="D81" i="19" s="1"/>
  <c r="C69" i="19"/>
  <c r="D69" i="19" s="1"/>
  <c r="C53" i="19"/>
  <c r="D53" i="19" s="1"/>
  <c r="C76" i="19"/>
  <c r="D76" i="19" s="1"/>
  <c r="C72" i="19"/>
  <c r="D72" i="19" s="1"/>
  <c r="C68" i="19"/>
  <c r="D68" i="19" s="1"/>
  <c r="C64" i="19"/>
  <c r="D64" i="19" s="1"/>
  <c r="C60" i="19"/>
  <c r="D60" i="19" s="1"/>
  <c r="C56" i="19"/>
  <c r="D56" i="19" s="1"/>
  <c r="C52" i="19"/>
  <c r="D52" i="19" s="1"/>
  <c r="C48" i="19"/>
  <c r="D48" i="19" s="1"/>
  <c r="D94" i="19"/>
  <c r="D96" i="19"/>
  <c r="D98" i="19"/>
  <c r="D100" i="19"/>
  <c r="D102" i="19"/>
  <c r="D104" i="19"/>
  <c r="D106" i="19"/>
  <c r="D108" i="19"/>
  <c r="D110" i="19"/>
  <c r="D112" i="19"/>
  <c r="D114" i="19"/>
  <c r="D116" i="19"/>
  <c r="D118" i="19"/>
  <c r="D120" i="19"/>
  <c r="D122" i="19"/>
  <c r="D124" i="19"/>
  <c r="D126" i="19"/>
  <c r="D128" i="19"/>
  <c r="D130" i="19"/>
  <c r="D132" i="19"/>
  <c r="C46" i="19"/>
  <c r="D46" i="19" s="1"/>
  <c r="C83" i="19"/>
  <c r="D83" i="19" s="1"/>
  <c r="C79" i="19"/>
  <c r="D79" i="19" s="1"/>
  <c r="C75" i="19"/>
  <c r="D75" i="19" s="1"/>
  <c r="C71" i="19"/>
  <c r="D71" i="19" s="1"/>
  <c r="C67" i="19"/>
  <c r="D67" i="19" s="1"/>
  <c r="C63" i="19"/>
  <c r="D63" i="19" s="1"/>
  <c r="C59" i="19"/>
  <c r="D59" i="19" s="1"/>
  <c r="C55" i="19"/>
  <c r="D55" i="19" s="1"/>
  <c r="C51" i="19"/>
  <c r="D51" i="19" s="1"/>
  <c r="C47" i="19"/>
  <c r="D47" i="19" s="1"/>
  <c r="C86" i="19"/>
  <c r="D86" i="19" s="1"/>
  <c r="C82" i="19"/>
  <c r="D82" i="19" s="1"/>
  <c r="C78" i="19"/>
  <c r="D78" i="19" s="1"/>
  <c r="C74" i="19"/>
  <c r="D74" i="19" s="1"/>
  <c r="C70" i="19"/>
  <c r="D70" i="19" s="1"/>
  <c r="C66" i="19"/>
  <c r="D66" i="19" s="1"/>
  <c r="C62" i="19"/>
  <c r="D62" i="19" s="1"/>
  <c r="C58" i="19"/>
  <c r="D58" i="19" s="1"/>
  <c r="C54" i="19"/>
  <c r="D54" i="19" s="1"/>
  <c r="C50" i="19"/>
  <c r="D50" i="19" s="1"/>
  <c r="D93" i="19"/>
  <c r="D95" i="19"/>
  <c r="D97" i="19"/>
  <c r="D99" i="19"/>
  <c r="D101" i="19"/>
  <c r="D103" i="19"/>
  <c r="D105" i="19"/>
  <c r="D107" i="19"/>
  <c r="D109" i="19"/>
  <c r="D111" i="19"/>
  <c r="D113" i="19"/>
  <c r="D115" i="19"/>
  <c r="D117" i="19"/>
  <c r="D119" i="19"/>
  <c r="D121" i="19"/>
  <c r="D123" i="19"/>
  <c r="D125" i="19"/>
  <c r="D127" i="19"/>
  <c r="D129" i="19"/>
  <c r="D131" i="19"/>
  <c r="D133" i="19"/>
  <c r="S102" i="17"/>
  <c r="S103" i="17"/>
  <c r="S104" i="17"/>
  <c r="S105" i="17"/>
  <c r="S106" i="17"/>
  <c r="S107" i="17"/>
  <c r="S108" i="17"/>
  <c r="S109" i="17"/>
  <c r="S110" i="17"/>
  <c r="S111" i="17"/>
  <c r="S112" i="17"/>
  <c r="S113" i="17"/>
  <c r="S114" i="17"/>
  <c r="S115" i="17"/>
  <c r="S116" i="17"/>
  <c r="S117" i="17"/>
  <c r="S118" i="17"/>
  <c r="S119" i="17"/>
  <c r="S120" i="17"/>
  <c r="S121" i="17"/>
  <c r="S122" i="17"/>
  <c r="S123" i="17"/>
  <c r="S124" i="17"/>
  <c r="S101" i="17"/>
  <c r="J42" i="15" l="1"/>
  <c r="F60" i="15" s="1"/>
  <c r="J39" i="15"/>
  <c r="E57" i="15" s="1"/>
  <c r="J47" i="15"/>
  <c r="H65" i="15" s="1"/>
  <c r="J36" i="15"/>
  <c r="D54" i="15" s="1"/>
  <c r="J37" i="15"/>
  <c r="D55" i="15" s="1"/>
  <c r="J41" i="15"/>
  <c r="F59" i="15" s="1"/>
  <c r="J40" i="15"/>
  <c r="E58" i="15" s="1"/>
  <c r="J46" i="15"/>
  <c r="G64" i="15" s="1"/>
  <c r="J45" i="15"/>
  <c r="G63" i="15" s="1"/>
  <c r="J43" i="15"/>
  <c r="F61" i="15" s="1"/>
  <c r="J38" i="15"/>
  <c r="D56" i="15" s="1"/>
  <c r="P61" i="19"/>
  <c r="Q61" i="19"/>
  <c r="N61" i="19"/>
  <c r="R61" i="19"/>
  <c r="O61" i="19"/>
  <c r="P77" i="19"/>
  <c r="Q77" i="19"/>
  <c r="N77" i="19"/>
  <c r="R77" i="19"/>
  <c r="O77" i="19"/>
  <c r="O54" i="19"/>
  <c r="P54" i="19"/>
  <c r="Q54" i="19"/>
  <c r="N54" i="19"/>
  <c r="R54" i="19"/>
  <c r="O70" i="19"/>
  <c r="P70" i="19"/>
  <c r="Q70" i="19"/>
  <c r="N70" i="19"/>
  <c r="R70" i="19"/>
  <c r="O86" i="19"/>
  <c r="P86" i="19"/>
  <c r="Q86" i="19"/>
  <c r="N86" i="19"/>
  <c r="R86" i="19"/>
  <c r="Q72" i="19"/>
  <c r="N72" i="19"/>
  <c r="R72" i="19"/>
  <c r="O72" i="19"/>
  <c r="P72" i="19"/>
  <c r="N59" i="19"/>
  <c r="R59" i="19"/>
  <c r="O59" i="19"/>
  <c r="P59" i="19"/>
  <c r="Q59" i="19"/>
  <c r="Q60" i="19"/>
  <c r="N60" i="19"/>
  <c r="R60" i="19"/>
  <c r="O60" i="19"/>
  <c r="P60" i="19"/>
  <c r="Q52" i="19"/>
  <c r="N52" i="19"/>
  <c r="R52" i="19"/>
  <c r="O52" i="19"/>
  <c r="P52" i="19"/>
  <c r="N71" i="19"/>
  <c r="R71" i="19"/>
  <c r="O71" i="19"/>
  <c r="P71" i="19"/>
  <c r="Q71" i="19"/>
  <c r="P49" i="19"/>
  <c r="Q49" i="19"/>
  <c r="N49" i="19"/>
  <c r="R49" i="19"/>
  <c r="O49" i="19"/>
  <c r="P65" i="19"/>
  <c r="Q65" i="19"/>
  <c r="N65" i="19"/>
  <c r="R65" i="19"/>
  <c r="O65" i="19"/>
  <c r="P81" i="19"/>
  <c r="Q81" i="19"/>
  <c r="N81" i="19"/>
  <c r="R81" i="19"/>
  <c r="P29" i="19" s="1"/>
  <c r="O81" i="19"/>
  <c r="O58" i="19"/>
  <c r="P58" i="19"/>
  <c r="Q58" i="19"/>
  <c r="N58" i="19"/>
  <c r="R58" i="19"/>
  <c r="J29" i="19" s="1"/>
  <c r="O74" i="19"/>
  <c r="P74" i="19"/>
  <c r="Q74" i="19"/>
  <c r="N74" i="19"/>
  <c r="R74" i="19"/>
  <c r="Q48" i="19"/>
  <c r="N48" i="19"/>
  <c r="R48" i="19"/>
  <c r="F29" i="19" s="1"/>
  <c r="O48" i="19"/>
  <c r="P48" i="19"/>
  <c r="Q80" i="19"/>
  <c r="N80" i="19"/>
  <c r="R80" i="19"/>
  <c r="O80" i="19"/>
  <c r="P80" i="19"/>
  <c r="N67" i="19"/>
  <c r="R67" i="19"/>
  <c r="O67" i="19"/>
  <c r="P67" i="19"/>
  <c r="Q67" i="19"/>
  <c r="N47" i="19"/>
  <c r="R47" i="19"/>
  <c r="O47" i="19"/>
  <c r="P47" i="19"/>
  <c r="Q47" i="19"/>
  <c r="Q68" i="19"/>
  <c r="N68" i="19"/>
  <c r="R68" i="19"/>
  <c r="O68" i="19"/>
  <c r="P68" i="19"/>
  <c r="R46" i="19"/>
  <c r="N46" i="19"/>
  <c r="Q46" i="19"/>
  <c r="P46" i="19"/>
  <c r="O46" i="19"/>
  <c r="O78" i="19"/>
  <c r="P78" i="19"/>
  <c r="Q78" i="19"/>
  <c r="N78" i="19"/>
  <c r="R78" i="19"/>
  <c r="P53" i="19"/>
  <c r="Q53" i="19"/>
  <c r="N53" i="19"/>
  <c r="R53" i="19"/>
  <c r="H29" i="19" s="1"/>
  <c r="O53" i="19"/>
  <c r="P69" i="19"/>
  <c r="Q69" i="19"/>
  <c r="N69" i="19"/>
  <c r="R69" i="19"/>
  <c r="N29" i="19" s="1"/>
  <c r="O69" i="19"/>
  <c r="P85" i="19"/>
  <c r="Q85" i="19"/>
  <c r="N85" i="19"/>
  <c r="R85" i="19"/>
  <c r="O85" i="19"/>
  <c r="O62" i="19"/>
  <c r="P62" i="19"/>
  <c r="Q62" i="19"/>
  <c r="N62" i="19"/>
  <c r="R62" i="19"/>
  <c r="Q56" i="19"/>
  <c r="N56" i="19"/>
  <c r="R56" i="19"/>
  <c r="O56" i="19"/>
  <c r="P56" i="19"/>
  <c r="N75" i="19"/>
  <c r="R75" i="19"/>
  <c r="O75" i="19"/>
  <c r="P75" i="19"/>
  <c r="Q75" i="19"/>
  <c r="N63" i="19"/>
  <c r="R63" i="19"/>
  <c r="L29" i="19" s="1"/>
  <c r="O63" i="19"/>
  <c r="P63" i="19"/>
  <c r="Q63" i="19"/>
  <c r="Q84" i="19"/>
  <c r="N84" i="19"/>
  <c r="R84" i="19"/>
  <c r="O84" i="19"/>
  <c r="P84" i="19"/>
  <c r="Q76" i="19"/>
  <c r="N76" i="19"/>
  <c r="R76" i="19"/>
  <c r="O76" i="19"/>
  <c r="P76" i="19"/>
  <c r="P57" i="19"/>
  <c r="Q57" i="19"/>
  <c r="N57" i="19"/>
  <c r="R57" i="19"/>
  <c r="O57" i="19"/>
  <c r="P73" i="19"/>
  <c r="Q73" i="19"/>
  <c r="N73" i="19"/>
  <c r="R73" i="19"/>
  <c r="O73" i="19"/>
  <c r="O50" i="19"/>
  <c r="P50" i="19"/>
  <c r="Q50" i="19"/>
  <c r="N50" i="19"/>
  <c r="R50" i="19"/>
  <c r="O66" i="19"/>
  <c r="P66" i="19"/>
  <c r="Q66" i="19"/>
  <c r="N66" i="19"/>
  <c r="R66" i="19"/>
  <c r="O82" i="19"/>
  <c r="P82" i="19"/>
  <c r="Q82" i="19"/>
  <c r="N82" i="19"/>
  <c r="R82" i="19"/>
  <c r="Q64" i="19"/>
  <c r="N64" i="19"/>
  <c r="R64" i="19"/>
  <c r="O64" i="19"/>
  <c r="P64" i="19"/>
  <c r="N51" i="19"/>
  <c r="R51" i="19"/>
  <c r="O51" i="19"/>
  <c r="P51" i="19"/>
  <c r="Q51" i="19"/>
  <c r="N83" i="19"/>
  <c r="R83" i="19"/>
  <c r="O83" i="19"/>
  <c r="P83" i="19"/>
  <c r="Q83" i="19"/>
  <c r="N79" i="19"/>
  <c r="R79" i="19"/>
  <c r="O79" i="19"/>
  <c r="P79" i="19"/>
  <c r="Q79" i="19"/>
  <c r="N55" i="19"/>
  <c r="R55" i="19"/>
  <c r="O55" i="19"/>
  <c r="P55" i="19"/>
  <c r="Q55" i="19"/>
  <c r="H47" i="19"/>
  <c r="G48" i="19"/>
  <c r="F49" i="19"/>
  <c r="E50" i="19"/>
  <c r="I50" i="19"/>
  <c r="H51" i="19"/>
  <c r="G52" i="19"/>
  <c r="F53" i="19"/>
  <c r="E54" i="19"/>
  <c r="I54" i="19"/>
  <c r="H55" i="19"/>
  <c r="G56" i="19"/>
  <c r="F57" i="19"/>
  <c r="E58" i="19"/>
  <c r="I58" i="19"/>
  <c r="I29" i="19" s="1"/>
  <c r="H59" i="19"/>
  <c r="G60" i="19"/>
  <c r="F61" i="19"/>
  <c r="E62" i="19"/>
  <c r="I62" i="19"/>
  <c r="H63" i="19"/>
  <c r="G64" i="19"/>
  <c r="F65" i="19"/>
  <c r="E66" i="19"/>
  <c r="I66" i="19"/>
  <c r="H67" i="19"/>
  <c r="G68" i="19"/>
  <c r="F69" i="19"/>
  <c r="E70" i="19"/>
  <c r="I70" i="19"/>
  <c r="H71" i="19"/>
  <c r="G72" i="19"/>
  <c r="F73" i="19"/>
  <c r="E74" i="19"/>
  <c r="I74" i="19"/>
  <c r="H75" i="19"/>
  <c r="G76" i="19"/>
  <c r="F77" i="19"/>
  <c r="E78" i="19"/>
  <c r="I78" i="19"/>
  <c r="H79" i="19"/>
  <c r="G80" i="19"/>
  <c r="F81" i="19"/>
  <c r="E82" i="19"/>
  <c r="I82" i="19"/>
  <c r="H83" i="19"/>
  <c r="G84" i="19"/>
  <c r="F85" i="19"/>
  <c r="I86" i="19"/>
  <c r="F46" i="19"/>
  <c r="E47" i="19"/>
  <c r="I47" i="19"/>
  <c r="H48" i="19"/>
  <c r="G49" i="19"/>
  <c r="F50" i="19"/>
  <c r="E51" i="19"/>
  <c r="I51" i="19"/>
  <c r="H52" i="19"/>
  <c r="G53" i="19"/>
  <c r="F54" i="19"/>
  <c r="E55" i="19"/>
  <c r="I55" i="19"/>
  <c r="H56" i="19"/>
  <c r="G57" i="19"/>
  <c r="F58" i="19"/>
  <c r="E59" i="19"/>
  <c r="I59" i="19"/>
  <c r="H60" i="19"/>
  <c r="G61" i="19"/>
  <c r="F62" i="19"/>
  <c r="E63" i="19"/>
  <c r="I63" i="19"/>
  <c r="K29" i="19" s="1"/>
  <c r="H64" i="19"/>
  <c r="G65" i="19"/>
  <c r="F66" i="19"/>
  <c r="E67" i="19"/>
  <c r="I67" i="19"/>
  <c r="H68" i="19"/>
  <c r="G69" i="19"/>
  <c r="F70" i="19"/>
  <c r="E71" i="19"/>
  <c r="I71" i="19"/>
  <c r="H72" i="19"/>
  <c r="G73" i="19"/>
  <c r="F74" i="19"/>
  <c r="E75" i="19"/>
  <c r="I75" i="19"/>
  <c r="H76" i="19"/>
  <c r="G77" i="19"/>
  <c r="F78" i="19"/>
  <c r="E79" i="19"/>
  <c r="I79" i="19"/>
  <c r="H80" i="19"/>
  <c r="G81" i="19"/>
  <c r="F82" i="19"/>
  <c r="E83" i="19"/>
  <c r="I83" i="19"/>
  <c r="H84" i="19"/>
  <c r="G85" i="19"/>
  <c r="F86" i="19"/>
  <c r="I46" i="19"/>
  <c r="E46" i="19"/>
  <c r="F47" i="19"/>
  <c r="E48" i="19"/>
  <c r="I48" i="19"/>
  <c r="E29" i="19" s="1"/>
  <c r="H49" i="19"/>
  <c r="G50" i="19"/>
  <c r="F51" i="19"/>
  <c r="E52" i="19"/>
  <c r="I52" i="19"/>
  <c r="H53" i="19"/>
  <c r="G54" i="19"/>
  <c r="F55" i="19"/>
  <c r="E56" i="19"/>
  <c r="I56" i="19"/>
  <c r="H57" i="19"/>
  <c r="G58" i="19"/>
  <c r="F59" i="19"/>
  <c r="E60" i="19"/>
  <c r="I60" i="19"/>
  <c r="H61" i="19"/>
  <c r="G62" i="19"/>
  <c r="F63" i="19"/>
  <c r="E64" i="19"/>
  <c r="I64" i="19"/>
  <c r="H65" i="19"/>
  <c r="G66" i="19"/>
  <c r="F67" i="19"/>
  <c r="E68" i="19"/>
  <c r="I68" i="19"/>
  <c r="H69" i="19"/>
  <c r="G70" i="19"/>
  <c r="F71" i="19"/>
  <c r="E72" i="19"/>
  <c r="I72" i="19"/>
  <c r="H73" i="19"/>
  <c r="G74" i="19"/>
  <c r="F75" i="19"/>
  <c r="E76" i="19"/>
  <c r="I76" i="19"/>
  <c r="H77" i="19"/>
  <c r="G78" i="19"/>
  <c r="F79" i="19"/>
  <c r="E80" i="19"/>
  <c r="I80" i="19"/>
  <c r="H81" i="19"/>
  <c r="G82" i="19"/>
  <c r="F83" i="19"/>
  <c r="E84" i="19"/>
  <c r="I84" i="19"/>
  <c r="H85" i="19"/>
  <c r="G86" i="19"/>
  <c r="H46" i="19"/>
  <c r="G47" i="19"/>
  <c r="F48" i="19"/>
  <c r="E49" i="19"/>
  <c r="I49" i="19"/>
  <c r="H50" i="19"/>
  <c r="G51" i="19"/>
  <c r="F52" i="19"/>
  <c r="E53" i="19"/>
  <c r="I53" i="19"/>
  <c r="G29" i="19" s="1"/>
  <c r="H54" i="19"/>
  <c r="G55" i="19"/>
  <c r="F56" i="19"/>
  <c r="E57" i="19"/>
  <c r="I57" i="19"/>
  <c r="H58" i="19"/>
  <c r="G59" i="19"/>
  <c r="F60" i="19"/>
  <c r="E61" i="19"/>
  <c r="I61" i="19"/>
  <c r="H62" i="19"/>
  <c r="G63" i="19"/>
  <c r="F64" i="19"/>
  <c r="E65" i="19"/>
  <c r="I65" i="19"/>
  <c r="H66" i="19"/>
  <c r="G67" i="19"/>
  <c r="F68" i="19"/>
  <c r="E69" i="19"/>
  <c r="I69" i="19"/>
  <c r="M29" i="19" s="1"/>
  <c r="H70" i="19"/>
  <c r="G71" i="19"/>
  <c r="F72" i="19"/>
  <c r="E73" i="19"/>
  <c r="I73" i="19"/>
  <c r="H74" i="19"/>
  <c r="G75" i="19"/>
  <c r="F76" i="19"/>
  <c r="E77" i="19"/>
  <c r="I77" i="19"/>
  <c r="H78" i="19"/>
  <c r="G79" i="19"/>
  <c r="F80" i="19"/>
  <c r="E81" i="19"/>
  <c r="I81" i="19"/>
  <c r="O29" i="19" s="1"/>
  <c r="H82" i="19"/>
  <c r="G83" i="19"/>
  <c r="F84" i="19"/>
  <c r="E85" i="19"/>
  <c r="I85" i="19"/>
  <c r="H86" i="19"/>
  <c r="G46" i="19"/>
  <c r="E86" i="19"/>
  <c r="E71" i="17"/>
  <c r="E92" i="17" s="1"/>
  <c r="L88" i="17"/>
  <c r="M88" i="17"/>
  <c r="N88" i="17"/>
  <c r="O88" i="17"/>
  <c r="P88" i="17"/>
  <c r="E30" i="17" s="1"/>
  <c r="Q88" i="17"/>
  <c r="R88" i="17"/>
  <c r="S88" i="17"/>
  <c r="T88" i="17"/>
  <c r="U88" i="17"/>
  <c r="F30" i="17" s="1"/>
  <c r="V88" i="17"/>
  <c r="W88" i="17"/>
  <c r="X88" i="17"/>
  <c r="Y88" i="17"/>
  <c r="Z88" i="17"/>
  <c r="G30" i="17" s="1"/>
  <c r="AA88" i="17"/>
  <c r="AB88" i="17"/>
  <c r="AC88" i="17"/>
  <c r="AD88" i="17"/>
  <c r="AE88" i="17"/>
  <c r="AF88" i="17"/>
  <c r="AG88" i="17"/>
  <c r="AH88" i="17"/>
  <c r="H30" i="17" s="1"/>
  <c r="K88" i="17"/>
  <c r="E72" i="17" l="1"/>
  <c r="E86" i="17"/>
  <c r="E94" i="17"/>
  <c r="E73" i="17"/>
  <c r="E81" i="17"/>
  <c r="E89" i="17"/>
  <c r="E77" i="17"/>
  <c r="E31" i="17" s="1"/>
  <c r="E85" i="17"/>
  <c r="E93" i="17"/>
  <c r="E78" i="17"/>
  <c r="E74" i="17"/>
  <c r="E82" i="17"/>
  <c r="F31" i="17" s="1"/>
  <c r="E90" i="17"/>
  <c r="E75" i="17"/>
  <c r="E79" i="17"/>
  <c r="E83" i="17"/>
  <c r="E87" i="17"/>
  <c r="G31" i="17" s="1"/>
  <c r="E91" i="17"/>
  <c r="E95" i="17"/>
  <c r="H31" i="17" s="1"/>
  <c r="E76" i="17"/>
  <c r="E80" i="17"/>
  <c r="E84" i="17"/>
  <c r="E88" i="17"/>
  <c r="G66" i="17"/>
  <c r="F66" i="17"/>
  <c r="E66" i="17"/>
  <c r="D66" i="17"/>
  <c r="D38" i="17" l="1"/>
  <c r="L27" i="17" s="1"/>
  <c r="L28" i="17"/>
  <c r="D39" i="17"/>
  <c r="M27" i="17" s="1"/>
  <c r="M28" i="17"/>
  <c r="D40" i="17"/>
  <c r="N27" i="17" s="1"/>
  <c r="N28" i="17"/>
  <c r="D41" i="17"/>
  <c r="O27" i="17" s="1"/>
  <c r="O28" i="17"/>
  <c r="D42" i="17"/>
  <c r="T72" i="15"/>
  <c r="K43" i="15" s="1"/>
  <c r="R72" i="15"/>
  <c r="K41" i="15" s="1"/>
  <c r="S72" i="15"/>
  <c r="K42" i="15" s="1"/>
  <c r="M72" i="15"/>
  <c r="K37" i="15" s="1"/>
  <c r="N72" i="15"/>
  <c r="P72" i="15"/>
  <c r="K40" i="15" s="1"/>
  <c r="L72" i="15"/>
  <c r="K36" i="15" s="1"/>
  <c r="D112" i="15"/>
  <c r="C112" i="15"/>
  <c r="E111" i="15"/>
  <c r="E110" i="15"/>
  <c r="E109" i="15"/>
  <c r="E108" i="15"/>
  <c r="E107" i="15"/>
  <c r="E106" i="15"/>
  <c r="E105" i="15"/>
  <c r="E104" i="15"/>
  <c r="E103" i="15"/>
  <c r="D99" i="15"/>
  <c r="C99" i="15"/>
  <c r="E98" i="15"/>
  <c r="E97" i="15"/>
  <c r="E96" i="15"/>
  <c r="E95" i="15"/>
  <c r="E94" i="15"/>
  <c r="E93" i="15"/>
  <c r="E92" i="15"/>
  <c r="E91" i="15"/>
  <c r="E90" i="15"/>
  <c r="D86" i="15"/>
  <c r="C86" i="15"/>
  <c r="E85" i="15"/>
  <c r="E84" i="15"/>
  <c r="E83" i="15"/>
  <c r="E82" i="15"/>
  <c r="E80" i="15"/>
  <c r="E79" i="15"/>
  <c r="E78" i="15"/>
  <c r="E77" i="15"/>
  <c r="K38" i="15" l="1"/>
  <c r="L77" i="15"/>
  <c r="M82" i="15" s="1"/>
  <c r="M83" i="15" s="1"/>
  <c r="M84" i="15" s="1"/>
  <c r="E99" i="15"/>
  <c r="E112" i="15"/>
  <c r="E86" i="15"/>
  <c r="P52" i="12" l="1"/>
  <c r="R74" i="12"/>
  <c r="J42" i="12" s="1"/>
  <c r="Q74" i="12"/>
  <c r="I42" i="12" s="1"/>
  <c r="N126" i="12"/>
  <c r="M126" i="12"/>
  <c r="L126" i="12"/>
  <c r="R54" i="12" s="1"/>
  <c r="J40" i="12" s="1"/>
  <c r="K126" i="12"/>
  <c r="G101" i="12"/>
  <c r="Q53" i="12" s="1"/>
  <c r="I39" i="12" s="1"/>
  <c r="F101" i="12"/>
  <c r="E101" i="12"/>
  <c r="Q54" i="12" s="1"/>
  <c r="I40" i="12" s="1"/>
  <c r="D101" i="12"/>
  <c r="R56" i="12"/>
  <c r="J41" i="12" s="1"/>
  <c r="Q56" i="12"/>
  <c r="I41" i="12" s="1"/>
  <c r="R53" i="12"/>
  <c r="J39" i="12" s="1"/>
  <c r="R52" i="12" l="1"/>
  <c r="J43" i="12" s="1"/>
  <c r="Q52" i="12"/>
  <c r="I43" i="12" s="1"/>
  <c r="AA126" i="10" l="1"/>
  <c r="AA127" i="10"/>
  <c r="AA128" i="10"/>
  <c r="AA129" i="10"/>
  <c r="AA130" i="10"/>
  <c r="AA131" i="10"/>
  <c r="AA132" i="10"/>
  <c r="AA133" i="10"/>
  <c r="AA134" i="10"/>
  <c r="AA135" i="10"/>
  <c r="AA136" i="10"/>
  <c r="AA137" i="10"/>
  <c r="AA138" i="10"/>
  <c r="AA139" i="10"/>
  <c r="AA140" i="10"/>
  <c r="AA141" i="10"/>
  <c r="AA142" i="10"/>
  <c r="AA143" i="10"/>
  <c r="AA144" i="10"/>
  <c r="AA145" i="10"/>
  <c r="AA146" i="10"/>
  <c r="AA147" i="10"/>
  <c r="AA148" i="10"/>
  <c r="AA125" i="10"/>
  <c r="S78" i="10"/>
  <c r="F105" i="10"/>
  <c r="J105" i="10" s="1"/>
  <c r="C115" i="10"/>
  <c r="C109" i="10"/>
  <c r="C103" i="10"/>
  <c r="R182" i="10"/>
  <c r="M125" i="10" s="1"/>
  <c r="S182" i="10"/>
  <c r="N125" i="10" s="1"/>
  <c r="T182" i="10"/>
  <c r="O125" i="10" s="1"/>
  <c r="R183" i="10"/>
  <c r="M126" i="10" s="1"/>
  <c r="S183" i="10"/>
  <c r="N126" i="10" s="1"/>
  <c r="T183" i="10"/>
  <c r="O126" i="10" s="1"/>
  <c r="R184" i="10"/>
  <c r="M127" i="10" s="1"/>
  <c r="S184" i="10"/>
  <c r="N127" i="10" s="1"/>
  <c r="T184" i="10"/>
  <c r="O127" i="10" s="1"/>
  <c r="R185" i="10"/>
  <c r="M128" i="10" s="1"/>
  <c r="S185" i="10"/>
  <c r="N128" i="10" s="1"/>
  <c r="T185" i="10"/>
  <c r="O128" i="10" s="1"/>
  <c r="R186" i="10"/>
  <c r="M129" i="10" s="1"/>
  <c r="S186" i="10"/>
  <c r="N129" i="10" s="1"/>
  <c r="T186" i="10"/>
  <c r="O129" i="10" s="1"/>
  <c r="R187" i="10"/>
  <c r="M130" i="10" s="1"/>
  <c r="S187" i="10"/>
  <c r="N130" i="10" s="1"/>
  <c r="T187" i="10"/>
  <c r="O130" i="10" s="1"/>
  <c r="R188" i="10"/>
  <c r="M131" i="10" s="1"/>
  <c r="S188" i="10"/>
  <c r="N131" i="10" s="1"/>
  <c r="T188" i="10"/>
  <c r="O131" i="10" s="1"/>
  <c r="R189" i="10"/>
  <c r="M132" i="10" s="1"/>
  <c r="S189" i="10"/>
  <c r="N132" i="10" s="1"/>
  <c r="T189" i="10"/>
  <c r="O132" i="10" s="1"/>
  <c r="R190" i="10"/>
  <c r="S190" i="10"/>
  <c r="T190" i="10"/>
  <c r="R191" i="10"/>
  <c r="M133" i="10" s="1"/>
  <c r="S191" i="10"/>
  <c r="N133" i="10" s="1"/>
  <c r="T191" i="10"/>
  <c r="O133" i="10" s="1"/>
  <c r="R192" i="10"/>
  <c r="M134" i="10" s="1"/>
  <c r="S192" i="10"/>
  <c r="N134" i="10" s="1"/>
  <c r="T192" i="10"/>
  <c r="O134" i="10" s="1"/>
  <c r="R193" i="10"/>
  <c r="M135" i="10" s="1"/>
  <c r="S193" i="10"/>
  <c r="N135" i="10" s="1"/>
  <c r="T193" i="10"/>
  <c r="O135" i="10" s="1"/>
  <c r="R194" i="10"/>
  <c r="M136" i="10" s="1"/>
  <c r="S194" i="10"/>
  <c r="N136" i="10" s="1"/>
  <c r="T194" i="10"/>
  <c r="O136" i="10" s="1"/>
  <c r="R195" i="10"/>
  <c r="M137" i="10" s="1"/>
  <c r="S195" i="10"/>
  <c r="N137" i="10" s="1"/>
  <c r="T195" i="10"/>
  <c r="O137" i="10" s="1"/>
  <c r="R196" i="10"/>
  <c r="M138" i="10" s="1"/>
  <c r="S196" i="10"/>
  <c r="N138" i="10" s="1"/>
  <c r="T196" i="10"/>
  <c r="O138" i="10" s="1"/>
  <c r="R197" i="10"/>
  <c r="M139" i="10" s="1"/>
  <c r="S197" i="10"/>
  <c r="N139" i="10" s="1"/>
  <c r="T197" i="10"/>
  <c r="O139" i="10" s="1"/>
  <c r="R198" i="10"/>
  <c r="M140" i="10" s="1"/>
  <c r="S198" i="10"/>
  <c r="N140" i="10" s="1"/>
  <c r="T198" i="10"/>
  <c r="O140" i="10" s="1"/>
  <c r="R199" i="10"/>
  <c r="M141" i="10" s="1"/>
  <c r="S199" i="10"/>
  <c r="N141" i="10" s="1"/>
  <c r="T199" i="10"/>
  <c r="O141" i="10" s="1"/>
  <c r="R200" i="10"/>
  <c r="M142" i="10" s="1"/>
  <c r="S200" i="10"/>
  <c r="N142" i="10" s="1"/>
  <c r="T200" i="10"/>
  <c r="O142" i="10" s="1"/>
  <c r="R201" i="10"/>
  <c r="M143" i="10" s="1"/>
  <c r="S201" i="10"/>
  <c r="N143" i="10" s="1"/>
  <c r="T201" i="10"/>
  <c r="O143" i="10" s="1"/>
  <c r="R202" i="10"/>
  <c r="M144" i="10" s="1"/>
  <c r="S202" i="10"/>
  <c r="N144" i="10" s="1"/>
  <c r="T202" i="10"/>
  <c r="O144" i="10" s="1"/>
  <c r="R203" i="10"/>
  <c r="M145" i="10" s="1"/>
  <c r="S203" i="10"/>
  <c r="N145" i="10" s="1"/>
  <c r="T203" i="10"/>
  <c r="O145" i="10" s="1"/>
  <c r="R204" i="10"/>
  <c r="M146" i="10" s="1"/>
  <c r="S204" i="10"/>
  <c r="N146" i="10" s="1"/>
  <c r="T204" i="10"/>
  <c r="O146" i="10" s="1"/>
  <c r="R205" i="10"/>
  <c r="M147" i="10" s="1"/>
  <c r="S205" i="10"/>
  <c r="N147" i="10" s="1"/>
  <c r="T205" i="10"/>
  <c r="O147" i="10" s="1"/>
  <c r="R206" i="10"/>
  <c r="M148" i="10" s="1"/>
  <c r="S206" i="10"/>
  <c r="N148" i="10" s="1"/>
  <c r="T206" i="10"/>
  <c r="O148" i="10" s="1"/>
  <c r="Q183" i="10"/>
  <c r="L126" i="10" s="1"/>
  <c r="Q184" i="10"/>
  <c r="L127" i="10" s="1"/>
  <c r="Q185" i="10"/>
  <c r="L128" i="10" s="1"/>
  <c r="Q186" i="10"/>
  <c r="L129" i="10" s="1"/>
  <c r="Q187" i="10"/>
  <c r="L130" i="10" s="1"/>
  <c r="Q188" i="10"/>
  <c r="L131" i="10" s="1"/>
  <c r="Q189" i="10"/>
  <c r="L132" i="10" s="1"/>
  <c r="Q190" i="10"/>
  <c r="Q191" i="10"/>
  <c r="L133" i="10" s="1"/>
  <c r="Q192" i="10"/>
  <c r="L134" i="10" s="1"/>
  <c r="Q193" i="10"/>
  <c r="L135" i="10" s="1"/>
  <c r="Q194" i="10"/>
  <c r="L136" i="10" s="1"/>
  <c r="Q195" i="10"/>
  <c r="L137" i="10" s="1"/>
  <c r="Q196" i="10"/>
  <c r="L138" i="10" s="1"/>
  <c r="Q197" i="10"/>
  <c r="L139" i="10" s="1"/>
  <c r="Q198" i="10"/>
  <c r="L140" i="10" s="1"/>
  <c r="Q199" i="10"/>
  <c r="L141" i="10" s="1"/>
  <c r="Q200" i="10"/>
  <c r="L142" i="10" s="1"/>
  <c r="Q201" i="10"/>
  <c r="L143" i="10" s="1"/>
  <c r="Q202" i="10"/>
  <c r="L144" i="10" s="1"/>
  <c r="Q203" i="10"/>
  <c r="L145" i="10" s="1"/>
  <c r="Q204" i="10"/>
  <c r="L146" i="10" s="1"/>
  <c r="Q205" i="10"/>
  <c r="L147" i="10" s="1"/>
  <c r="Q206" i="10"/>
  <c r="L148" i="10" s="1"/>
  <c r="Q182" i="10"/>
  <c r="L125" i="10" s="1"/>
  <c r="L182" i="10"/>
  <c r="I125" i="10" s="1"/>
  <c r="M182" i="10"/>
  <c r="J125" i="10" s="1"/>
  <c r="N182" i="10"/>
  <c r="K125" i="10" s="1"/>
  <c r="L183" i="10"/>
  <c r="I126" i="10" s="1"/>
  <c r="M183" i="10"/>
  <c r="J126" i="10" s="1"/>
  <c r="N183" i="10"/>
  <c r="K126" i="10" s="1"/>
  <c r="L184" i="10"/>
  <c r="I127" i="10" s="1"/>
  <c r="M184" i="10"/>
  <c r="J127" i="10" s="1"/>
  <c r="N184" i="10"/>
  <c r="K127" i="10" s="1"/>
  <c r="L185" i="10"/>
  <c r="I128" i="10" s="1"/>
  <c r="M185" i="10"/>
  <c r="J128" i="10" s="1"/>
  <c r="N185" i="10"/>
  <c r="K128" i="10" s="1"/>
  <c r="L186" i="10"/>
  <c r="I129" i="10" s="1"/>
  <c r="M186" i="10"/>
  <c r="J129" i="10" s="1"/>
  <c r="N186" i="10"/>
  <c r="K129" i="10" s="1"/>
  <c r="L187" i="10"/>
  <c r="I130" i="10" s="1"/>
  <c r="M187" i="10"/>
  <c r="J130" i="10" s="1"/>
  <c r="N187" i="10"/>
  <c r="K130" i="10" s="1"/>
  <c r="L188" i="10"/>
  <c r="I131" i="10" s="1"/>
  <c r="M188" i="10"/>
  <c r="J131" i="10" s="1"/>
  <c r="N188" i="10"/>
  <c r="K131" i="10" s="1"/>
  <c r="L189" i="10"/>
  <c r="I132" i="10" s="1"/>
  <c r="M189" i="10"/>
  <c r="J132" i="10" s="1"/>
  <c r="N189" i="10"/>
  <c r="K132" i="10" s="1"/>
  <c r="L190" i="10"/>
  <c r="M190" i="10"/>
  <c r="N190" i="10"/>
  <c r="L191" i="10"/>
  <c r="I133" i="10" s="1"/>
  <c r="M191" i="10"/>
  <c r="J133" i="10" s="1"/>
  <c r="N191" i="10"/>
  <c r="K133" i="10" s="1"/>
  <c r="L192" i="10"/>
  <c r="I134" i="10" s="1"/>
  <c r="M192" i="10"/>
  <c r="J134" i="10" s="1"/>
  <c r="N192" i="10"/>
  <c r="K134" i="10" s="1"/>
  <c r="L193" i="10"/>
  <c r="I135" i="10" s="1"/>
  <c r="M193" i="10"/>
  <c r="J135" i="10" s="1"/>
  <c r="N193" i="10"/>
  <c r="K135" i="10" s="1"/>
  <c r="L194" i="10"/>
  <c r="I136" i="10" s="1"/>
  <c r="M194" i="10"/>
  <c r="J136" i="10" s="1"/>
  <c r="N194" i="10"/>
  <c r="K136" i="10" s="1"/>
  <c r="L195" i="10"/>
  <c r="I137" i="10" s="1"/>
  <c r="M195" i="10"/>
  <c r="J137" i="10" s="1"/>
  <c r="N195" i="10"/>
  <c r="K137" i="10" s="1"/>
  <c r="L196" i="10"/>
  <c r="I138" i="10" s="1"/>
  <c r="M196" i="10"/>
  <c r="J138" i="10" s="1"/>
  <c r="N196" i="10"/>
  <c r="K138" i="10" s="1"/>
  <c r="L197" i="10"/>
  <c r="I139" i="10" s="1"/>
  <c r="M197" i="10"/>
  <c r="J139" i="10" s="1"/>
  <c r="N197" i="10"/>
  <c r="K139" i="10" s="1"/>
  <c r="L198" i="10"/>
  <c r="I140" i="10" s="1"/>
  <c r="M198" i="10"/>
  <c r="J140" i="10" s="1"/>
  <c r="N198" i="10"/>
  <c r="K140" i="10" s="1"/>
  <c r="L199" i="10"/>
  <c r="I141" i="10" s="1"/>
  <c r="M199" i="10"/>
  <c r="J141" i="10" s="1"/>
  <c r="N199" i="10"/>
  <c r="K141" i="10" s="1"/>
  <c r="L200" i="10"/>
  <c r="I142" i="10" s="1"/>
  <c r="M200" i="10"/>
  <c r="J142" i="10" s="1"/>
  <c r="N200" i="10"/>
  <c r="K142" i="10" s="1"/>
  <c r="L201" i="10"/>
  <c r="I143" i="10" s="1"/>
  <c r="M201" i="10"/>
  <c r="J143" i="10" s="1"/>
  <c r="N201" i="10"/>
  <c r="K143" i="10" s="1"/>
  <c r="L202" i="10"/>
  <c r="I144" i="10" s="1"/>
  <c r="M202" i="10"/>
  <c r="J144" i="10" s="1"/>
  <c r="N202" i="10"/>
  <c r="K144" i="10" s="1"/>
  <c r="L203" i="10"/>
  <c r="I145" i="10" s="1"/>
  <c r="M203" i="10"/>
  <c r="J145" i="10" s="1"/>
  <c r="N203" i="10"/>
  <c r="K145" i="10" s="1"/>
  <c r="L204" i="10"/>
  <c r="I146" i="10" s="1"/>
  <c r="M204" i="10"/>
  <c r="J146" i="10" s="1"/>
  <c r="N204" i="10"/>
  <c r="K146" i="10" s="1"/>
  <c r="L205" i="10"/>
  <c r="I147" i="10" s="1"/>
  <c r="M205" i="10"/>
  <c r="J147" i="10" s="1"/>
  <c r="N205" i="10"/>
  <c r="K147" i="10" s="1"/>
  <c r="L206" i="10"/>
  <c r="I148" i="10" s="1"/>
  <c r="M206" i="10"/>
  <c r="J148" i="10" s="1"/>
  <c r="N206" i="10"/>
  <c r="K148" i="10" s="1"/>
  <c r="K183" i="10"/>
  <c r="H126" i="10" s="1"/>
  <c r="K184" i="10"/>
  <c r="H127" i="10" s="1"/>
  <c r="K185" i="10"/>
  <c r="H128" i="10" s="1"/>
  <c r="K186" i="10"/>
  <c r="H129" i="10" s="1"/>
  <c r="K187" i="10"/>
  <c r="H130" i="10" s="1"/>
  <c r="K188" i="10"/>
  <c r="H131" i="10" s="1"/>
  <c r="K189" i="10"/>
  <c r="H132" i="10" s="1"/>
  <c r="K190" i="10"/>
  <c r="K191" i="10"/>
  <c r="H133" i="10" s="1"/>
  <c r="K192" i="10"/>
  <c r="H134" i="10" s="1"/>
  <c r="K193" i="10"/>
  <c r="H135" i="10" s="1"/>
  <c r="K194" i="10"/>
  <c r="H136" i="10" s="1"/>
  <c r="K195" i="10"/>
  <c r="H137" i="10" s="1"/>
  <c r="K196" i="10"/>
  <c r="H138" i="10" s="1"/>
  <c r="K197" i="10"/>
  <c r="H139" i="10" s="1"/>
  <c r="K198" i="10"/>
  <c r="H140" i="10" s="1"/>
  <c r="K199" i="10"/>
  <c r="H141" i="10" s="1"/>
  <c r="K200" i="10"/>
  <c r="H142" i="10" s="1"/>
  <c r="K201" i="10"/>
  <c r="H143" i="10" s="1"/>
  <c r="K202" i="10"/>
  <c r="H144" i="10" s="1"/>
  <c r="K203" i="10"/>
  <c r="H145" i="10" s="1"/>
  <c r="K204" i="10"/>
  <c r="H146" i="10" s="1"/>
  <c r="K205" i="10"/>
  <c r="H147" i="10" s="1"/>
  <c r="K206" i="10"/>
  <c r="H148" i="10" s="1"/>
  <c r="K182" i="10"/>
  <c r="H125" i="10" s="1"/>
  <c r="E183" i="10"/>
  <c r="F183" i="10"/>
  <c r="G183" i="10"/>
  <c r="H183" i="10"/>
  <c r="E184" i="10"/>
  <c r="F184" i="10"/>
  <c r="G184" i="10"/>
  <c r="H184" i="10"/>
  <c r="E185" i="10"/>
  <c r="F185" i="10"/>
  <c r="G185" i="10"/>
  <c r="H185" i="10"/>
  <c r="E186" i="10"/>
  <c r="F186" i="10"/>
  <c r="G186" i="10"/>
  <c r="H186" i="10"/>
  <c r="E187" i="10"/>
  <c r="F187" i="10"/>
  <c r="G187" i="10"/>
  <c r="H187" i="10"/>
  <c r="E188" i="10"/>
  <c r="F188" i="10"/>
  <c r="G188" i="10"/>
  <c r="H188" i="10"/>
  <c r="E189" i="10"/>
  <c r="F189" i="10"/>
  <c r="G189" i="10"/>
  <c r="H189" i="10"/>
  <c r="E190" i="10"/>
  <c r="F190" i="10"/>
  <c r="G190" i="10"/>
  <c r="H190" i="10"/>
  <c r="E191" i="10"/>
  <c r="F191" i="10"/>
  <c r="G191" i="10"/>
  <c r="H191" i="10"/>
  <c r="E192" i="10"/>
  <c r="F192" i="10"/>
  <c r="G192" i="10"/>
  <c r="H192" i="10"/>
  <c r="E193" i="10"/>
  <c r="F193" i="10"/>
  <c r="G193" i="10"/>
  <c r="H193" i="10"/>
  <c r="E194" i="10"/>
  <c r="F194" i="10"/>
  <c r="G194" i="10"/>
  <c r="H194" i="10"/>
  <c r="E195" i="10"/>
  <c r="F195" i="10"/>
  <c r="G195" i="10"/>
  <c r="H195" i="10"/>
  <c r="E196" i="10"/>
  <c r="F196" i="10"/>
  <c r="G196" i="10"/>
  <c r="H196" i="10"/>
  <c r="E197" i="10"/>
  <c r="F197" i="10"/>
  <c r="G197" i="10"/>
  <c r="H197" i="10"/>
  <c r="E198" i="10"/>
  <c r="F198" i="10"/>
  <c r="G198" i="10"/>
  <c r="H198" i="10"/>
  <c r="E199" i="10"/>
  <c r="F199" i="10"/>
  <c r="G199" i="10"/>
  <c r="H199" i="10"/>
  <c r="E200" i="10"/>
  <c r="F200" i="10"/>
  <c r="G200" i="10"/>
  <c r="H200" i="10"/>
  <c r="E201" i="10"/>
  <c r="F201" i="10"/>
  <c r="G201" i="10"/>
  <c r="H201" i="10"/>
  <c r="E202" i="10"/>
  <c r="F202" i="10"/>
  <c r="G202" i="10"/>
  <c r="H202" i="10"/>
  <c r="E203" i="10"/>
  <c r="F203" i="10"/>
  <c r="G203" i="10"/>
  <c r="H203" i="10"/>
  <c r="E204" i="10"/>
  <c r="F204" i="10"/>
  <c r="G204" i="10"/>
  <c r="H204" i="10"/>
  <c r="E205" i="10"/>
  <c r="F205" i="10"/>
  <c r="G205" i="10"/>
  <c r="H205" i="10"/>
  <c r="E206" i="10"/>
  <c r="F206" i="10"/>
  <c r="G206" i="10"/>
  <c r="H206" i="10"/>
  <c r="F182" i="10"/>
  <c r="G182" i="10"/>
  <c r="H182" i="10"/>
  <c r="E182" i="10"/>
  <c r="G149" i="10"/>
  <c r="F149" i="10"/>
  <c r="E149" i="10"/>
  <c r="D149" i="10"/>
  <c r="F117" i="10"/>
  <c r="J117" i="10" s="1"/>
  <c r="D117" i="10"/>
  <c r="J71" i="10" s="1"/>
  <c r="K71" i="10" s="1"/>
  <c r="F114" i="10"/>
  <c r="E114" i="10"/>
  <c r="D114" i="10"/>
  <c r="J68" i="10" s="1"/>
  <c r="F113" i="10"/>
  <c r="E113" i="10"/>
  <c r="D113" i="10"/>
  <c r="J67" i="10" s="1"/>
  <c r="F111" i="10"/>
  <c r="E111" i="10"/>
  <c r="D111" i="10"/>
  <c r="F108" i="10"/>
  <c r="J108" i="10" s="1"/>
  <c r="E108" i="10"/>
  <c r="D108" i="10"/>
  <c r="G68" i="10" s="1"/>
  <c r="F107" i="10"/>
  <c r="E107" i="10"/>
  <c r="D107" i="10"/>
  <c r="G67" i="10" s="1"/>
  <c r="E105" i="10"/>
  <c r="D105" i="10"/>
  <c r="D71" i="10" s="1"/>
  <c r="F102" i="10"/>
  <c r="J102" i="10" s="1"/>
  <c r="E102" i="10"/>
  <c r="D102" i="10"/>
  <c r="D68" i="10" s="1"/>
  <c r="E68" i="10" s="1"/>
  <c r="J101" i="10"/>
  <c r="D101" i="10"/>
  <c r="F68" i="10" l="1"/>
  <c r="L71" i="10"/>
  <c r="H67" i="10"/>
  <c r="I67" i="10" s="1"/>
  <c r="E71" i="10"/>
  <c r="F71" i="10" s="1"/>
  <c r="J107" i="10"/>
  <c r="H111" i="10"/>
  <c r="G71" i="10"/>
  <c r="H71" i="10" s="1"/>
  <c r="I71" i="10" s="1"/>
  <c r="K67" i="10"/>
  <c r="L67" i="10" s="1"/>
  <c r="H68" i="10"/>
  <c r="I68" i="10" s="1"/>
  <c r="J111" i="10"/>
  <c r="H101" i="10"/>
  <c r="D67" i="10"/>
  <c r="E67" i="10" s="1"/>
  <c r="F67" i="10" s="1"/>
  <c r="K68" i="10"/>
  <c r="L68" i="10" s="1"/>
  <c r="S131" i="10"/>
  <c r="W131" i="10"/>
  <c r="P131" i="10"/>
  <c r="T131" i="10"/>
  <c r="X131" i="10"/>
  <c r="Z131" i="10"/>
  <c r="Q131" i="10"/>
  <c r="U131" i="10"/>
  <c r="R131" i="10"/>
  <c r="V131" i="10"/>
  <c r="Y131" i="10"/>
  <c r="R143" i="10"/>
  <c r="V143" i="10"/>
  <c r="Y143" i="10"/>
  <c r="P143" i="10"/>
  <c r="Q143" i="10"/>
  <c r="W143" i="10"/>
  <c r="Z143" i="10"/>
  <c r="S143" i="10"/>
  <c r="X143" i="10"/>
  <c r="T143" i="10"/>
  <c r="U143" i="10"/>
  <c r="Q139" i="10"/>
  <c r="U139" i="10"/>
  <c r="R139" i="10"/>
  <c r="V139" i="10"/>
  <c r="Y139" i="10"/>
  <c r="W139" i="10"/>
  <c r="P139" i="10"/>
  <c r="X139" i="10"/>
  <c r="S139" i="10"/>
  <c r="T139" i="10"/>
  <c r="Z139" i="10"/>
  <c r="Q135" i="10"/>
  <c r="U135" i="10"/>
  <c r="R135" i="10"/>
  <c r="V135" i="10"/>
  <c r="Y135" i="10"/>
  <c r="W135" i="10"/>
  <c r="P135" i="10"/>
  <c r="X135" i="10"/>
  <c r="S135" i="10"/>
  <c r="T135" i="10"/>
  <c r="Z135" i="10"/>
  <c r="S127" i="10"/>
  <c r="W127" i="10"/>
  <c r="P127" i="10"/>
  <c r="T127" i="10"/>
  <c r="X127" i="10"/>
  <c r="Z127" i="10"/>
  <c r="Q127" i="10"/>
  <c r="U127" i="10"/>
  <c r="R127" i="10"/>
  <c r="V127" i="10"/>
  <c r="Y127" i="10"/>
  <c r="P146" i="10"/>
  <c r="T146" i="10"/>
  <c r="X146" i="10"/>
  <c r="Z146" i="10"/>
  <c r="R146" i="10"/>
  <c r="W146" i="10"/>
  <c r="S146" i="10"/>
  <c r="U146" i="10"/>
  <c r="Y146" i="10"/>
  <c r="Q146" i="10"/>
  <c r="V146" i="10"/>
  <c r="P142" i="10"/>
  <c r="T142" i="10"/>
  <c r="X142" i="10"/>
  <c r="Z142" i="10"/>
  <c r="U142" i="10"/>
  <c r="Y142" i="10"/>
  <c r="Q142" i="10"/>
  <c r="V142" i="10"/>
  <c r="R142" i="10"/>
  <c r="W142" i="10"/>
  <c r="S142" i="10"/>
  <c r="S138" i="10"/>
  <c r="W138" i="10"/>
  <c r="P138" i="10"/>
  <c r="T138" i="10"/>
  <c r="X138" i="10"/>
  <c r="Z138" i="10"/>
  <c r="U138" i="10"/>
  <c r="V138" i="10"/>
  <c r="Q138" i="10"/>
  <c r="R138" i="10"/>
  <c r="Y138" i="10"/>
  <c r="S134" i="10"/>
  <c r="W134" i="10"/>
  <c r="P134" i="10"/>
  <c r="T134" i="10"/>
  <c r="X134" i="10"/>
  <c r="Z134" i="10"/>
  <c r="U134" i="10"/>
  <c r="V134" i="10"/>
  <c r="Q134" i="10"/>
  <c r="R134" i="10"/>
  <c r="Y134" i="10"/>
  <c r="Q130" i="10"/>
  <c r="U130" i="10"/>
  <c r="R130" i="10"/>
  <c r="V130" i="10"/>
  <c r="Y130" i="10"/>
  <c r="S130" i="10"/>
  <c r="W130" i="10"/>
  <c r="P130" i="10"/>
  <c r="T130" i="10"/>
  <c r="X130" i="10"/>
  <c r="Z130" i="10"/>
  <c r="Q126" i="10"/>
  <c r="U126" i="10"/>
  <c r="R126" i="10"/>
  <c r="V126" i="10"/>
  <c r="Y126" i="10"/>
  <c r="S126" i="10"/>
  <c r="P126" i="10"/>
  <c r="T126" i="10"/>
  <c r="X126" i="10"/>
  <c r="Z126" i="10"/>
  <c r="AA149" i="10"/>
  <c r="S90" i="10" s="1"/>
  <c r="O69" i="10" s="1"/>
  <c r="R145" i="10"/>
  <c r="V145" i="10"/>
  <c r="Y145" i="10"/>
  <c r="P145" i="10"/>
  <c r="U145" i="10"/>
  <c r="Q145" i="10"/>
  <c r="W145" i="10"/>
  <c r="Z145" i="10"/>
  <c r="S145" i="10"/>
  <c r="X145" i="10"/>
  <c r="T145" i="10"/>
  <c r="Q141" i="10"/>
  <c r="R141" i="10"/>
  <c r="V141" i="10"/>
  <c r="Y141" i="10"/>
  <c r="S141" i="10"/>
  <c r="X141" i="10"/>
  <c r="T141" i="10"/>
  <c r="U141" i="10"/>
  <c r="P141" i="10"/>
  <c r="W141" i="10"/>
  <c r="Z141" i="10"/>
  <c r="Q137" i="10"/>
  <c r="U137" i="10"/>
  <c r="R137" i="10"/>
  <c r="V137" i="10"/>
  <c r="Y137" i="10"/>
  <c r="S137" i="10"/>
  <c r="T137" i="10"/>
  <c r="Z137" i="10"/>
  <c r="W137" i="10"/>
  <c r="P137" i="10"/>
  <c r="X137" i="10"/>
  <c r="P133" i="10"/>
  <c r="T133" i="10"/>
  <c r="Q133" i="10"/>
  <c r="U133" i="10"/>
  <c r="R133" i="10"/>
  <c r="V133" i="10"/>
  <c r="Y133" i="10"/>
  <c r="S133" i="10"/>
  <c r="Z133" i="10"/>
  <c r="W133" i="10"/>
  <c r="X133" i="10"/>
  <c r="S129" i="10"/>
  <c r="W129" i="10"/>
  <c r="P129" i="10"/>
  <c r="T129" i="10"/>
  <c r="X129" i="10"/>
  <c r="Z129" i="10"/>
  <c r="Q129" i="10"/>
  <c r="U129" i="10"/>
  <c r="R129" i="10"/>
  <c r="V129" i="10"/>
  <c r="Y129" i="10"/>
  <c r="R147" i="10"/>
  <c r="V147" i="10"/>
  <c r="Y147" i="10"/>
  <c r="T147" i="10"/>
  <c r="P147" i="10"/>
  <c r="U147" i="10"/>
  <c r="Q147" i="10"/>
  <c r="W147" i="10"/>
  <c r="Z147" i="10"/>
  <c r="S147" i="10"/>
  <c r="X147" i="10"/>
  <c r="P148" i="10"/>
  <c r="T148" i="10"/>
  <c r="X148" i="10"/>
  <c r="Z148" i="10"/>
  <c r="Q148" i="10"/>
  <c r="V148" i="10"/>
  <c r="R148" i="10"/>
  <c r="W148" i="10"/>
  <c r="S148" i="10"/>
  <c r="U148" i="10"/>
  <c r="Y148" i="10"/>
  <c r="P144" i="10"/>
  <c r="T144" i="10"/>
  <c r="X144" i="10"/>
  <c r="Z144" i="10"/>
  <c r="S144" i="10"/>
  <c r="U144" i="10"/>
  <c r="Y144" i="10"/>
  <c r="Q144" i="10"/>
  <c r="V144" i="10"/>
  <c r="R144" i="10"/>
  <c r="W144" i="10"/>
  <c r="S140" i="10"/>
  <c r="W140" i="10"/>
  <c r="P140" i="10"/>
  <c r="T140" i="10"/>
  <c r="X140" i="10"/>
  <c r="Z140" i="10"/>
  <c r="Q140" i="10"/>
  <c r="R140" i="10"/>
  <c r="Y140" i="10"/>
  <c r="U140" i="10"/>
  <c r="V140" i="10"/>
  <c r="S136" i="10"/>
  <c r="W136" i="10"/>
  <c r="P136" i="10"/>
  <c r="T136" i="10"/>
  <c r="X136" i="10"/>
  <c r="Z136" i="10"/>
  <c r="Q136" i="10"/>
  <c r="R136" i="10"/>
  <c r="Y136" i="10"/>
  <c r="U136" i="10"/>
  <c r="V136" i="10"/>
  <c r="U132" i="10"/>
  <c r="R132" i="10"/>
  <c r="V132" i="10"/>
  <c r="Y132" i="10"/>
  <c r="S132" i="10"/>
  <c r="W132" i="10"/>
  <c r="P132" i="10"/>
  <c r="T132" i="10"/>
  <c r="X132" i="10"/>
  <c r="Z132" i="10"/>
  <c r="Q132" i="10"/>
  <c r="Q128" i="10"/>
  <c r="U128" i="10"/>
  <c r="R128" i="10"/>
  <c r="V128" i="10"/>
  <c r="Y128" i="10"/>
  <c r="S128" i="10"/>
  <c r="W128" i="10"/>
  <c r="P128" i="10"/>
  <c r="T128" i="10"/>
  <c r="X128" i="10"/>
  <c r="Z128" i="10"/>
  <c r="Q125" i="10"/>
  <c r="S125" i="10"/>
  <c r="U125" i="10"/>
  <c r="W125" i="10"/>
  <c r="Y125" i="10"/>
  <c r="R125" i="10"/>
  <c r="Z125" i="10"/>
  <c r="P125" i="10"/>
  <c r="X125" i="10"/>
  <c r="V125" i="10"/>
  <c r="T125" i="10"/>
  <c r="I117" i="10"/>
  <c r="L149" i="10"/>
  <c r="D103" i="10" s="1"/>
  <c r="I107" i="10"/>
  <c r="I108" i="10"/>
  <c r="K149" i="10"/>
  <c r="H149" i="10"/>
  <c r="J149" i="10"/>
  <c r="I149" i="10"/>
  <c r="M149" i="10"/>
  <c r="D109" i="10" s="1"/>
  <c r="N149" i="10"/>
  <c r="D115" i="10" s="1"/>
  <c r="J69" i="10" s="1"/>
  <c r="O149" i="10"/>
  <c r="I113" i="10"/>
  <c r="I114" i="10"/>
  <c r="G111" i="10"/>
  <c r="G108" i="10"/>
  <c r="I101" i="10"/>
  <c r="G102" i="10"/>
  <c r="G105" i="10"/>
  <c r="G107" i="10"/>
  <c r="G113" i="10"/>
  <c r="G114" i="10"/>
  <c r="G117" i="10"/>
  <c r="H102" i="10"/>
  <c r="H105" i="10"/>
  <c r="J113" i="10"/>
  <c r="J114" i="10"/>
  <c r="I102" i="10"/>
  <c r="I105" i="10"/>
  <c r="H107" i="10"/>
  <c r="H108" i="10"/>
  <c r="H117" i="10"/>
  <c r="G101" i="10"/>
  <c r="I111" i="10"/>
  <c r="H113" i="10"/>
  <c r="H114" i="10"/>
  <c r="H109" i="10" l="1"/>
  <c r="G69" i="10"/>
  <c r="H103" i="10"/>
  <c r="D69" i="10"/>
  <c r="R149" i="10"/>
  <c r="S81" i="10" s="1"/>
  <c r="M103" i="10" s="1"/>
  <c r="S149" i="10"/>
  <c r="S82" i="10" s="1"/>
  <c r="M104" i="10" s="1"/>
  <c r="L112" i="10"/>
  <c r="M112" i="10"/>
  <c r="X149" i="10"/>
  <c r="S87" i="10" s="1"/>
  <c r="M109" i="10" s="1"/>
  <c r="P149" i="10"/>
  <c r="S79" i="10" s="1"/>
  <c r="W149" i="10"/>
  <c r="S86" i="10" s="1"/>
  <c r="M108" i="10" s="1"/>
  <c r="T149" i="10"/>
  <c r="S83" i="10" s="1"/>
  <c r="M105" i="10" s="1"/>
  <c r="U149" i="10"/>
  <c r="S84" i="10" s="1"/>
  <c r="V149" i="10"/>
  <c r="S85" i="10" s="1"/>
  <c r="M107" i="10" s="1"/>
  <c r="Z149" i="10"/>
  <c r="S89" i="10" s="1"/>
  <c r="M111" i="10" s="1"/>
  <c r="Y149" i="10"/>
  <c r="S88" i="10" s="1"/>
  <c r="M110" i="10" s="1"/>
  <c r="Q149" i="10"/>
  <c r="S80" i="10" s="1"/>
  <c r="M102" i="10" s="1"/>
  <c r="E115" i="10"/>
  <c r="E103" i="10"/>
  <c r="F103" i="10" s="1"/>
  <c r="J103" i="10" s="1"/>
  <c r="E109" i="10"/>
  <c r="H115" i="10"/>
  <c r="F115" i="10" l="1"/>
  <c r="G115" i="10" s="1"/>
  <c r="K69" i="10"/>
  <c r="M106" i="10"/>
  <c r="N69" i="10"/>
  <c r="F109" i="10"/>
  <c r="G109" i="10" s="1"/>
  <c r="H69" i="10"/>
  <c r="E69" i="10"/>
  <c r="F69" i="10" s="1"/>
  <c r="M101" i="10"/>
  <c r="L101" i="10" s="1"/>
  <c r="M69" i="10"/>
  <c r="I103" i="10"/>
  <c r="G103" i="10"/>
  <c r="I115" i="10"/>
  <c r="I109" i="10"/>
  <c r="J109" i="10" l="1"/>
  <c r="I69" i="10"/>
  <c r="J115" i="10"/>
  <c r="L69" i="10"/>
</calcChain>
</file>

<file path=xl/comments1.xml><?xml version="1.0" encoding="utf-8"?>
<comments xmlns="http://schemas.openxmlformats.org/spreadsheetml/2006/main">
  <authors>
    <author>UIS.Stat</author>
  </authors>
  <commentList>
    <comment ref="D93" authorId="0" shapeId="0">
      <text>
        <r>
          <rPr>
            <sz val="9"/>
            <color indexed="81"/>
            <rFont val="Tahoma"/>
            <family val="2"/>
          </rPr>
          <t>‡: UIS Estimation</t>
        </r>
      </text>
    </comment>
    <comment ref="E106" authorId="0" shapeId="0">
      <text>
        <r>
          <rPr>
            <sz val="9"/>
            <color indexed="81"/>
            <rFont val="Tahoma"/>
            <family val="2"/>
          </rPr>
          <t>a: Category not applicable</t>
        </r>
      </text>
    </comment>
  </commentList>
</comments>
</file>

<file path=xl/sharedStrings.xml><?xml version="1.0" encoding="utf-8"?>
<sst xmlns="http://schemas.openxmlformats.org/spreadsheetml/2006/main" count="7439" uniqueCount="1232">
  <si>
    <t>Figure 3.1 Where Skills Are Formed</t>
  </si>
  <si>
    <t xml:space="preserve"> </t>
  </si>
  <si>
    <t xml:space="preserve">Source: Author’s calculations based on household surveys.  Note: Latin American and Caribbean regional average was calculated as the unweighted mean of the country-level shares using last year with available data (2012-2014). Only countries with information regarding public and private education were included. Those countries are: Argentina, Bolivia, Brazil, Colombia, Costa Rica, El Salvador, Mexico, Peru, and Uruguay. Information for ages 0-4 only includes information for Argentina, Brazil, El Salvador and Uruguay. The share was computed as follows: each individual was considered to be “at home” if she was not enrolled in any educational institution and was not working (yellow line); she was considered “in school” if she was enrolled in any educational institution (light grey/ dark blue), she was considered at work if she was not enrolled in any educational institution and was working (light blue), and “at home unemployed” if she was not enrolled in any educational institution, not working, and actively looking for a job (dark grey). </t>
  </si>
  <si>
    <t>Cumulative Distribution of Population Right to Left)</t>
  </si>
  <si>
    <t>Age</t>
  </si>
  <si>
    <t>Home</t>
  </si>
  <si>
    <t>Home - Unemployed</t>
  </si>
  <si>
    <t>Work</t>
  </si>
  <si>
    <t>Private education</t>
  </si>
  <si>
    <t>Public education</t>
  </si>
  <si>
    <t>Figure 3.2: Schooling in the Twentieth Century</t>
  </si>
  <si>
    <t>* Tertiary enrollment rates are calculated as the number of people between the expected school graduation rate and the expected school graduation rate plus five years, who have not completed tertiary education and that are currently enrolled in tertiary education, over the population in the same age range that have not completed tertiary education.
Source: Author’s calculations based on Barro and Lee (2016) and household surveys.  Note: The last available data by Barro and Lee for Latin America and the Caribbean countries was adjusted using household survey data and extrapolated using the trends identified by Barro and Lee. Simple average by region is reported on the graphs. Latin America and the Caribbean region includes: Argentina, Barbados, Belize, Bolivia, Brazil, Chile, Colombia, Costa Rica, Dominican Republic, Ecuador, El Salvador, Guatemala, Guyana, Haiti, Honduras, Jamaica, Mexico, Nicaragua, Panama, Paraguay, Peru, Trinidad and Tobago, Uruguay, and Venezuela. Comparison countries include: Albania, Algeria, Bulgaria, Hungary, Indonesia, Malaysia, Morocco, Philippines, Poland, Serbia, Thailand, Tunisia and Turkey. Developed countries include: Australia, Austria, Belgium, Canada, Denmark, Finland, France, Germany, Greece, Iceland, Ireland, Italy, Japan, Luxembourg, Netherlands, New Zealand, Norway, Portugal, Spain, Sweden, Switzerland and United Kingdom. Regions averages are calculated as the unweighted means of the country-level indicators.</t>
  </si>
  <si>
    <t>Enrollment Rates</t>
  </si>
  <si>
    <t>Years of Schooling</t>
  </si>
  <si>
    <t>Primary</t>
  </si>
  <si>
    <t>Secondary</t>
  </si>
  <si>
    <t>Tertiary</t>
  </si>
  <si>
    <t>year</t>
  </si>
  <si>
    <t>Advanced Economies</t>
  </si>
  <si>
    <t>US</t>
  </si>
  <si>
    <t>Latin America and the Caribbean</t>
  </si>
  <si>
    <t>Comparison Countries</t>
  </si>
  <si>
    <t>USA</t>
  </si>
  <si>
    <t>Graph Source</t>
  </si>
  <si>
    <t>Total</t>
  </si>
  <si>
    <t>xxx</t>
  </si>
  <si>
    <t>LAC2</t>
  </si>
  <si>
    <t>Childhood (Primary)</t>
  </si>
  <si>
    <t>.</t>
  </si>
  <si>
    <t>Adolescence (Secondary)</t>
  </si>
  <si>
    <t>Young Adulthood (Tertiary)*</t>
  </si>
  <si>
    <t>Country</t>
  </si>
  <si>
    <t>primary</t>
  </si>
  <si>
    <t>secondary</t>
  </si>
  <si>
    <t>tertiary</t>
  </si>
  <si>
    <t>Yrs Education</t>
  </si>
  <si>
    <t>Argentina</t>
  </si>
  <si>
    <r>
      <t>Barbados</t>
    </r>
    <r>
      <rPr>
        <sz val="8"/>
        <color theme="1"/>
        <rFont val="Calibri"/>
        <family val="2"/>
        <scheme val="minor"/>
      </rPr>
      <t>*</t>
    </r>
  </si>
  <si>
    <r>
      <t>Belize</t>
    </r>
    <r>
      <rPr>
        <sz val="8"/>
        <color theme="1"/>
        <rFont val="Calibri"/>
        <family val="2"/>
        <scheme val="minor"/>
      </rPr>
      <t>*</t>
    </r>
  </si>
  <si>
    <t>Bolivia</t>
  </si>
  <si>
    <t>Brazil</t>
  </si>
  <si>
    <t>Chile</t>
  </si>
  <si>
    <t>Colombia</t>
  </si>
  <si>
    <t>Costa Rica</t>
  </si>
  <si>
    <t>Dominican Rep.</t>
  </si>
  <si>
    <t>Ecuador</t>
  </si>
  <si>
    <t>El Salvador</t>
  </si>
  <si>
    <t>Guatemala</t>
  </si>
  <si>
    <r>
      <t>Guyana</t>
    </r>
    <r>
      <rPr>
        <sz val="8"/>
        <color theme="1"/>
        <rFont val="Calibri"/>
        <family val="2"/>
        <scheme val="minor"/>
      </rPr>
      <t>*</t>
    </r>
  </si>
  <si>
    <r>
      <t>Haiti</t>
    </r>
    <r>
      <rPr>
        <sz val="8"/>
        <color theme="1"/>
        <rFont val="Calibri"/>
        <family val="2"/>
        <scheme val="minor"/>
      </rPr>
      <t>*</t>
    </r>
  </si>
  <si>
    <t>Honduras</t>
  </si>
  <si>
    <r>
      <t>Jamaica</t>
    </r>
    <r>
      <rPr>
        <sz val="8"/>
        <color theme="1"/>
        <rFont val="Calibri"/>
        <family val="2"/>
        <scheme val="minor"/>
      </rPr>
      <t>*</t>
    </r>
  </si>
  <si>
    <t>Mexico</t>
  </si>
  <si>
    <t>Nicaragua</t>
  </si>
  <si>
    <t>Panama</t>
  </si>
  <si>
    <t>Paraguay</t>
  </si>
  <si>
    <t>Peru</t>
  </si>
  <si>
    <r>
      <t>Trinidad and Tobago</t>
    </r>
    <r>
      <rPr>
        <sz val="8"/>
        <color theme="1"/>
        <rFont val="Calibri"/>
        <family val="2"/>
        <scheme val="minor"/>
      </rPr>
      <t>*</t>
    </r>
  </si>
  <si>
    <t>Uruguay</t>
  </si>
  <si>
    <t>Venezuela</t>
  </si>
  <si>
    <t>LAC</t>
  </si>
  <si>
    <t>country</t>
  </si>
  <si>
    <t>pri</t>
  </si>
  <si>
    <t>sec</t>
  </si>
  <si>
    <t>ter</t>
  </si>
  <si>
    <t>tyr</t>
  </si>
  <si>
    <t>Barbados</t>
  </si>
  <si>
    <t>Belize</t>
  </si>
  <si>
    <t>Cuba</t>
  </si>
  <si>
    <t>Guyana</t>
  </si>
  <si>
    <t>Haiti</t>
  </si>
  <si>
    <t>Jamaica</t>
  </si>
  <si>
    <t>Trinidad and Tobago</t>
  </si>
  <si>
    <t>Choose country to graph</t>
  </si>
  <si>
    <t>Trend Years of Education</t>
  </si>
  <si>
    <t>Figure 3.3. Students that Achieve at least the Low Benchmark in Math on International Tests (percent)</t>
  </si>
  <si>
    <t xml:space="preserve">Source: PISA and authors' calculations using TIMSS 2007 and SERCE. Note: To equate low benchmark rates across SERCE and TIMSS participating countries, the authors execute a crosswalk between the two tests by identifying levels of performance on SERCE that yield equivalent percentage of Colombian students meeting the TIMSS low benchmark (400 points). Low benchmark TIMSS: Students have some basic mathematical knowledge. Low performers PISA: cannot use basic algorithms, formulas, procedures or conventions to solve problems involving whole numbers. Countries in each category are grouped as follows: TIMMS/SERCE - (Latin America and the Caribbean) Argentina, Brazil, Chile, Colombia, Costa Rica, Dominican Republic, Ecuador, El Salvador, Guatemala, Mexico,  Nicaragua, Panama, Paraguay, Peru, and Uruguay. (Comparison countries) Algeria,  Armenia, Georgia, Hungary, Kazakhstan, Latvia,  Morocco, and Tunisia. (Developed countries) Australia, Austria, Denmark, England, Germany, Hong Kong, Italy, Japan, Netherlands, New Zealand, Norway, Scotland,  Singapore, and Sweden. PISA - (Latin America and the Caribbean ) Brazil, Chile, Colombia, Dominican Republic, Mexico, Peru, and Uruguay. (Comparison Countries)  Albania, Algeria, Bulgaria, Croatia, Georgia, Hungary, Indonesia, Latvia, Macedonia, Montenegro, Poland, Romania, Thailand, Tunisia, and Turkey.
</t>
  </si>
  <si>
    <t>TIMMS</t>
  </si>
  <si>
    <t>Developed Countries</t>
  </si>
  <si>
    <t>Hong Kong</t>
  </si>
  <si>
    <t>Slovenia</t>
  </si>
  <si>
    <t>Lithuania</t>
  </si>
  <si>
    <t>Denmark</t>
  </si>
  <si>
    <t>Scotland</t>
  </si>
  <si>
    <t>England</t>
  </si>
  <si>
    <t>Singapore</t>
  </si>
  <si>
    <t>Japan</t>
  </si>
  <si>
    <t>Italy</t>
  </si>
  <si>
    <t>Sweden</t>
  </si>
  <si>
    <t>Australia</t>
  </si>
  <si>
    <t>United States</t>
  </si>
  <si>
    <t>Slovak Republic</t>
  </si>
  <si>
    <t>Norway</t>
  </si>
  <si>
    <t>Czech Republic</t>
  </si>
  <si>
    <t>Austria</t>
  </si>
  <si>
    <t>Chinese Taipei</t>
  </si>
  <si>
    <t>Hungary</t>
  </si>
  <si>
    <t>Latvia</t>
  </si>
  <si>
    <t>Russian Federation</t>
  </si>
  <si>
    <t>New Zealand</t>
  </si>
  <si>
    <t>Netherlands</t>
  </si>
  <si>
    <t>Kazakhstan</t>
  </si>
  <si>
    <t>Germany</t>
  </si>
  <si>
    <t>Armenia</t>
  </si>
  <si>
    <t>Ukraine</t>
  </si>
  <si>
    <t>Georgia</t>
  </si>
  <si>
    <t>Iran</t>
  </si>
  <si>
    <t>Algeria</t>
  </si>
  <si>
    <t>Kuwait</t>
  </si>
  <si>
    <t>Morocco</t>
  </si>
  <si>
    <t>Tunisia</t>
  </si>
  <si>
    <t>Qatar</t>
  </si>
  <si>
    <t>Yemen</t>
  </si>
  <si>
    <t>Dominican Republic</t>
  </si>
  <si>
    <t>PISA</t>
  </si>
  <si>
    <t>OECD</t>
  </si>
  <si>
    <t>low achievers</t>
  </si>
  <si>
    <t>Developed Economies</t>
  </si>
  <si>
    <t>Belgium</t>
  </si>
  <si>
    <t>Canada</t>
  </si>
  <si>
    <t>Estonia</t>
  </si>
  <si>
    <t>Finland</t>
  </si>
  <si>
    <t>France</t>
  </si>
  <si>
    <t>Greece</t>
  </si>
  <si>
    <t>Iceland</t>
  </si>
  <si>
    <t>Ireland</t>
  </si>
  <si>
    <t>Israel</t>
  </si>
  <si>
    <t>Korea</t>
  </si>
  <si>
    <t>Luxembourg</t>
  </si>
  <si>
    <t>Poland</t>
  </si>
  <si>
    <t>Portugal</t>
  </si>
  <si>
    <t>Spain</t>
  </si>
  <si>
    <t>Switzerland</t>
  </si>
  <si>
    <t>Turkey</t>
  </si>
  <si>
    <t>United Kingdom</t>
  </si>
  <si>
    <t>European Union total</t>
  </si>
  <si>
    <t>OECD total</t>
  </si>
  <si>
    <t>OECD average</t>
  </si>
  <si>
    <t>Partners</t>
  </si>
  <si>
    <t>Albania</t>
  </si>
  <si>
    <t>B-S-J-G (China)</t>
  </si>
  <si>
    <t>Bulgaria</t>
  </si>
  <si>
    <t>CABA (Argentina)</t>
  </si>
  <si>
    <t>Croatia</t>
  </si>
  <si>
    <t>Cyprus1,2</t>
  </si>
  <si>
    <t>FYROM</t>
  </si>
  <si>
    <t>Hong Kong (China)</t>
  </si>
  <si>
    <t>Indonesia</t>
  </si>
  <si>
    <t>Jordan</t>
  </si>
  <si>
    <t>Kosovo</t>
  </si>
  <si>
    <t>Lebanon</t>
  </si>
  <si>
    <t>Macao (China)</t>
  </si>
  <si>
    <t>Malta</t>
  </si>
  <si>
    <t>Moldova</t>
  </si>
  <si>
    <t>Montenegro</t>
  </si>
  <si>
    <t>Romania</t>
  </si>
  <si>
    <t>Russia</t>
  </si>
  <si>
    <t>Thailand</t>
  </si>
  <si>
    <t>United Arab Emirates</t>
  </si>
  <si>
    <t>Viet Nam</t>
  </si>
  <si>
    <t>Childhood (TIMMS - 4th and 5th graders)</t>
  </si>
  <si>
    <t>Adolescence (PISA - 8th graders)</t>
  </si>
  <si>
    <t>NA</t>
  </si>
  <si>
    <t>Figure 3.4 Gaps in Skills by Socioeconomic Status</t>
  </si>
  <si>
    <t>Early Childhood (PRIDI)</t>
  </si>
  <si>
    <t>Childhood (TERCE)</t>
  </si>
  <si>
    <t>Adolescence (PISA)</t>
  </si>
  <si>
    <t>Adulthood (STEP)</t>
  </si>
  <si>
    <t>Adulthood (Wages)</t>
  </si>
  <si>
    <t>Socio-emotional development</t>
  </si>
  <si>
    <t>Cognitive development</t>
  </si>
  <si>
    <t>Language and communication</t>
  </si>
  <si>
    <t>Math</t>
  </si>
  <si>
    <t>Reading</t>
  </si>
  <si>
    <t>Science</t>
  </si>
  <si>
    <t>Openness</t>
  </si>
  <si>
    <t>Decision Making</t>
  </si>
  <si>
    <t>Wages*</t>
  </si>
  <si>
    <t>Socio-Emotional Development</t>
  </si>
  <si>
    <t>Cognitive Development</t>
  </si>
  <si>
    <t>Language and Communication</t>
  </si>
  <si>
    <t>PISA - Math</t>
  </si>
  <si>
    <t>Mean Q1</t>
  </si>
  <si>
    <t>Mean Q5</t>
  </si>
  <si>
    <t>Gap</t>
  </si>
  <si>
    <t>Costa_Rica</t>
  </si>
  <si>
    <t>Trinidad_and_Tobago</t>
  </si>
  <si>
    <t>Dominican_Republic</t>
  </si>
  <si>
    <t>PISA - Reading</t>
  </si>
  <si>
    <t>PISA - Science</t>
  </si>
  <si>
    <t>Openess</t>
  </si>
  <si>
    <t>Wages</t>
  </si>
  <si>
    <t>Source: Author's calculations based on Regional Project on Child Development Indicators – IDB; Third Regional Comparative and Explanatory Study (TERCE); PISA; and Skills Towards Employability and Productivity Survey - World Bank (STEP). Note: First three surveys calculate the socioeconomic status of the child using household data on assets and dwelling characteristics. STEP socioeconomic status was calculated using the maximum level of education of the parents and controlled for education, age and gender of the person. Point estimates show difference between parents with less than primary with parents with tertiary education.</t>
  </si>
  <si>
    <t>Trinidad &amp; Tobago</t>
  </si>
  <si>
    <t>PRIDI</t>
  </si>
  <si>
    <t>TERCE</t>
  </si>
  <si>
    <t>STEP</t>
  </si>
  <si>
    <t>Figure 3.7. Government Expenditure on Education</t>
  </si>
  <si>
    <t>Tertiary (College)</t>
  </si>
  <si>
    <t>Non-college tertiary</t>
  </si>
  <si>
    <t>Pre-primary</t>
  </si>
  <si>
    <t>Post-Secondary</t>
  </si>
  <si>
    <t>País/Región</t>
  </si>
  <si>
    <t>2010/2014</t>
  </si>
  <si>
    <t>PrePrimary</t>
  </si>
  <si>
    <t>CostaRica</t>
  </si>
  <si>
    <t>DominicanRepublic</t>
  </si>
  <si>
    <t>G_Albania</t>
  </si>
  <si>
    <t>G_Armenia</t>
  </si>
  <si>
    <t>G_Bulgaria</t>
  </si>
  <si>
    <t>G_Hungary</t>
  </si>
  <si>
    <t>G_Indonesia</t>
  </si>
  <si>
    <t>G_Kazakhstan</t>
  </si>
  <si>
    <t>G_Latvia</t>
  </si>
  <si>
    <t>G_Malaysia</t>
  </si>
  <si>
    <t>G_Morocco</t>
  </si>
  <si>
    <t>G_Philippines</t>
  </si>
  <si>
    <t>G_Poland</t>
  </si>
  <si>
    <t>G_Romania</t>
  </si>
  <si>
    <t>G_Thailand</t>
  </si>
  <si>
    <t>G_Tunisia</t>
  </si>
  <si>
    <t>G_Turkey</t>
  </si>
  <si>
    <t>Source: Panel A: Authors’ calculations based on World Bank Indicators. Panel B: Volman (2016). Note: Panel A countries are grouped as follows: (Latin America and the Caribbean): Argentina, Barbados, Bolivia, Brazil, Chile, Colombia, Costa Rica, Dominican Republic, Ecuador, El Salvador, Guatemala, Honduras, Jamaica, Mexico, Nicaragua, Paraguay, Trinidad and Tobago, Uruguay and Venezuela. (Comparison Countries): Albania, Armenia, Bulgaria, Hungary, Indonesia, Kazakhstan, Malaysia, Morocco, Philippines, Poland, Romania, Thailand, Tunisia, and Turkey. When data is missing, it was linearly interpolated using the closest two data points. Other points were imputed using data on countries where the correlation was higher than 0.8.   Panel B Latin American and Caribbean countries include: Argentina, Bahamas, Barbados, Belize, Bolivia, Brazil, Chile, Colombia, Costa Rica, Dominican Republic, Ecuador, El Salvador, Guatemala, Guyana, Haiti, Honduras, Jamaica, Mexico, Nicaragua, Panama, Paraguay, Peru, Surinam, Trinidad and Tobago, Uruguay, and Venezuela.</t>
  </si>
  <si>
    <t>1. Select the country to graph</t>
  </si>
  <si>
    <t>2. Each tab shows the graph of the country and LAC</t>
  </si>
  <si>
    <t>3. Summary tab shows the main mentions of the country in the DIA</t>
  </si>
  <si>
    <t>Private Education</t>
  </si>
  <si>
    <t>Public Education</t>
  </si>
  <si>
    <t>Age 2</t>
  </si>
  <si>
    <t>Age 7</t>
  </si>
  <si>
    <t>Age 12</t>
  </si>
  <si>
    <t>Age 17</t>
  </si>
  <si>
    <t>Age 23</t>
  </si>
  <si>
    <t>Age 35</t>
  </si>
  <si>
    <t>Q1</t>
  </si>
  <si>
    <t>Q5</t>
  </si>
  <si>
    <t>Code</t>
  </si>
  <si>
    <t xml:space="preserve">Environment by age and income quintile. </t>
  </si>
  <si>
    <t>% students above low benchmark</t>
  </si>
  <si>
    <t xml:space="preserve">Math </t>
  </si>
  <si>
    <t>Government expenditure (% of GDP)</t>
  </si>
  <si>
    <t>Source: Author’s calculations. Household surveys. Estimates are population weighted, controlling for gender, age groups and country fixed effects. Countries included in South America in Panel D: Argentina, Bolivia, Brazil, Chile, Colombia, Ecuador, Paraguay, Peru, Uruguay and Venezuela. Mexico, Central America and the Caribbean include: Costa Rica, Dominican Republic, Guatemala, Honduras, Mexico, Panama and El Salvador. The wage variable is hourly earnings of all workers aged 16-65.</t>
  </si>
  <si>
    <t>Male</t>
  </si>
  <si>
    <t>Female</t>
  </si>
  <si>
    <t>max95</t>
  </si>
  <si>
    <t>estimate</t>
  </si>
  <si>
    <t>min95</t>
  </si>
  <si>
    <t>chg_ret</t>
  </si>
  <si>
    <t>Rep. Dominicana</t>
  </si>
  <si>
    <t>Latin Am. &amp; Caribbean</t>
  </si>
  <si>
    <t>Figure 4.1. Premium to Education</t>
  </si>
  <si>
    <t>code</t>
  </si>
  <si>
    <t>All</t>
  </si>
  <si>
    <t xml:space="preserve">Source: Author’s calculations. Household surveys. Estimates are population weighted, controlling for gender, age groups and country fixed effects. Countries include: Argentina, Bolivia, Brazil, Chile, Colombia, Costa Rica, Dominican Republic, Ecuador, El Salvador, Guatemala, Honduras, Mexico, Panama, Paraguay, Peru, Uruguay, and Venezuela. The wage variable is hourly earnings of all workers aged 16-65. </t>
  </si>
  <si>
    <t>Tertiary over secondary</t>
  </si>
  <si>
    <t>Secondary over primary</t>
  </si>
  <si>
    <t>Figure 4.2. Unpacking the Education Premium</t>
  </si>
  <si>
    <t>parmid</t>
  </si>
  <si>
    <t>Yr1995</t>
  </si>
  <si>
    <t>yr2004</t>
  </si>
  <si>
    <t>yr2013</t>
  </si>
  <si>
    <t>YearEduc</t>
  </si>
  <si>
    <t>Figure 4.3. Returns to Education Around the Globe</t>
  </si>
  <si>
    <t>Source: Countries with available information after 2000 are selected from Montenegro and Patrinos (2014). If a country had more than one estimate, the latest year is displayed. Panel B shows returns to tertiary education compared to people with completed secondary school. Countries included in Latin America and the Caribbean: Argentina, Bolivia, Brazil, Chile, Colombia, Costa Rica, Dominican Republic, Ecuador, El Salvador, Guatemala, Haiti, Honduras, Jamaica, Mexico, Nicaragua, Panama, Paraguay, Peru, Puerto Rico, Uruguay, and Venezuela.</t>
  </si>
  <si>
    <t>region_adjusted</t>
  </si>
  <si>
    <t>a</t>
  </si>
  <si>
    <t>e</t>
  </si>
  <si>
    <t>Middle East &amp; North Africa</t>
  </si>
  <si>
    <t>South Asia</t>
  </si>
  <si>
    <t>Europe &amp; Central Asia</t>
  </si>
  <si>
    <t>East Asia Pacific</t>
  </si>
  <si>
    <t>Latin America &amp; the Caribbean</t>
  </si>
  <si>
    <t>Sub-Saharan Africa</t>
  </si>
  <si>
    <t>Puerto Rico</t>
  </si>
  <si>
    <t>Venezuela, RB</t>
  </si>
  <si>
    <t>Figure 4.4. Changes in the Skill Premium. The Importance of Relative Labor Supply</t>
  </si>
  <si>
    <t>Observed</t>
  </si>
  <si>
    <t>Predicted. Full Model</t>
  </si>
  <si>
    <t>Predicted. Supply Changes Only</t>
  </si>
  <si>
    <t>Table 4.1. The Four Fastest Growing Industries in Argentina, Brazil, Chile, and Peru</t>
  </si>
  <si>
    <t>Sector</t>
  </si>
  <si>
    <t>Mean Log Hourly Wage. Local Currency</t>
  </si>
  <si>
    <t>Mean Years of Education</t>
  </si>
  <si>
    <t>Employment Share (%)</t>
  </si>
  <si>
    <t>Change in Employment Share (p.p.)</t>
  </si>
  <si>
    <t>2003-2011</t>
  </si>
  <si>
    <t>Construction (NT)</t>
  </si>
  <si>
    <t>Other business activities (NT)</t>
  </si>
  <si>
    <t>Hotels and restaurants (NT)</t>
  </si>
  <si>
    <t>Extra-territorial organizations and bodies (NT)</t>
  </si>
  <si>
    <t>Land transport; transport via pipelines (NT)</t>
  </si>
  <si>
    <t>Wholesale and retail trade and commission trade (NT)</t>
  </si>
  <si>
    <t>Mining of metal ores (T)</t>
  </si>
  <si>
    <t>Sale, maintenance and repair of motor vehicles (NT)</t>
  </si>
  <si>
    <r>
      <t>1.16</t>
    </r>
    <r>
      <rPr>
        <sz val="12"/>
        <color theme="1"/>
        <rFont val="Times New Roman"/>
        <family val="1"/>
      </rPr>
      <t> </t>
    </r>
  </si>
  <si>
    <t>Public administration and defense (NT)</t>
  </si>
  <si>
    <t xml:space="preserve">Source. Own elaboration based on household survey data. Industries are considered at a 2-digit level of the International Standard Industrial Classification of All Economic Activities (ISIC), Rev.3. T: Tradable; NT=NonTradable. Mean Log Hourly Wage, Mean Years of Education and the Employment Share are calculated at baseline, i.e., in 2003. </t>
  </si>
  <si>
    <t>Table 4.3. Employment Polarization in Latin America</t>
  </si>
  <si>
    <t>Occupations</t>
  </si>
  <si>
    <t>ISCO Code</t>
  </si>
  <si>
    <t>Brazil (2002 - 2012)</t>
  </si>
  <si>
    <t>Chile (2003 - 2011)</t>
  </si>
  <si>
    <t>Mexico (2000 - 2008)</t>
  </si>
  <si>
    <t>Peru (2002 - 2012)</t>
  </si>
  <si>
    <t>Western European Countries (1993 - 2010)</t>
  </si>
  <si>
    <t>High-paying occupations</t>
  </si>
  <si>
    <t>Corporate managers</t>
  </si>
  <si>
    <t>Physical, mathematical and engineering science professionals</t>
  </si>
  <si>
    <t>Life science and health professional</t>
  </si>
  <si>
    <t>Other professionals</t>
  </si>
  <si>
    <t>General managers</t>
  </si>
  <si>
    <t>Physical and engineering science associate professionals</t>
  </si>
  <si>
    <t>Other associate professionals</t>
  </si>
  <si>
    <t>Life science and health associate professionals</t>
  </si>
  <si>
    <t>Middling occupations</t>
  </si>
  <si>
    <t>Stationary plant and related operators</t>
  </si>
  <si>
    <t>Metal, machinery and related trades workers</t>
  </si>
  <si>
    <t>Drivers and mobile plant operators</t>
  </si>
  <si>
    <t>Office clerks</t>
  </si>
  <si>
    <t>Precision, handicraft, printing and related trades workers</t>
  </si>
  <si>
    <t>Extraction and building trade workers</t>
  </si>
  <si>
    <t>Customer service clerks</t>
  </si>
  <si>
    <t>Machine operators and assemblers</t>
  </si>
  <si>
    <t>Other craft and related trades workers</t>
  </si>
  <si>
    <t>Low-paying occupations</t>
  </si>
  <si>
    <t>Labourers in mining, construction, manufacturing and transport</t>
  </si>
  <si>
    <t>Personal and protective services workers</t>
  </si>
  <si>
    <t>Models, salespersons and demonstrators</t>
  </si>
  <si>
    <t>Sales and services elementary occupations</t>
  </si>
  <si>
    <t xml:space="preserve">Sources: Author's calculation based on household surveys for Brazil (Pesquisa Nacional por Amostra de Domicilios, PNAD 2002), Chile (Encuesta de Caracterizacion Socioeconomica Nacional, CASEN), Mexico (Encuesta Nacional de Ingresos y Gastos de los Hogares, ENIGH) and Peru (Encuesta Nacional de Hogares, ENH). The data for Western European countries is taken from Goos et al. (2014).   </t>
  </si>
  <si>
    <t>Figure 4.8. Digital Adoption Index by Country</t>
  </si>
  <si>
    <t>Source:  World Development Report 2016, World Bank. Note: Comparison countries and advanced economies values were calculated as the simple mean across countries. Comparison countries were selected using the definition used in Chapter 3: It includes countries within the same range of GDP per capita adjusted for purchasing power parity than the Latin America and the Caribbean countries and that have available data for at least two indicators used in Chapter 3. The countries for this graph are grouped as follows: (Comparison Countries) Albania, Algeria, Armenia, Bulgaria, Croatia, Georgia, Hungary, Indonesia, Kazakhstan, Latvia, Macedonia, Malaysia, Morocco, Philippines, Poland, Romania, Serbia, Thailand, Tunisia, and Turkey. (Advanced Economies) Australia, Austria, Belgium, Canada, Czech Republic, Estonia, Finland, France, Germany, Greece, Iceland, Ireland, Israel, Italy, Japan, Korea, Lithuania, Luxembourg, Netherlands, New Zealand, Portugal, Spain, Sweden, Switzerland, and United Kingdom.</t>
  </si>
  <si>
    <t>Country Name</t>
  </si>
  <si>
    <t>Business_DAI</t>
  </si>
  <si>
    <t>Governments_DAI</t>
  </si>
  <si>
    <t>People_DAI</t>
  </si>
  <si>
    <t>Angola</t>
  </si>
  <si>
    <t>Bahrain</t>
  </si>
  <si>
    <t>Bangladesh</t>
  </si>
  <si>
    <t>Belarus</t>
  </si>
  <si>
    <t>Botswana</t>
  </si>
  <si>
    <t>Brunei Darussalam</t>
  </si>
  <si>
    <t>Burundi</t>
  </si>
  <si>
    <t>Cambodia</t>
  </si>
  <si>
    <t>Cameroon</t>
  </si>
  <si>
    <t>China</t>
  </si>
  <si>
    <t>Cote d'Ivoire</t>
  </si>
  <si>
    <t>Cyprus</t>
  </si>
  <si>
    <t>Egypt, Arab Rep.</t>
  </si>
  <si>
    <t>Ethiopia</t>
  </si>
  <si>
    <t>Gabon</t>
  </si>
  <si>
    <t>Gambia, The</t>
  </si>
  <si>
    <t>Ghana</t>
  </si>
  <si>
    <t>India</t>
  </si>
  <si>
    <t>Iran, Islamic Rep.</t>
  </si>
  <si>
    <t>Kenya</t>
  </si>
  <si>
    <t>Korea, Rep.</t>
  </si>
  <si>
    <t>Kyrgyz Republic</t>
  </si>
  <si>
    <t>Lao PDR</t>
  </si>
  <si>
    <t>Lesotho</t>
  </si>
  <si>
    <t>Liberia</t>
  </si>
  <si>
    <t>Macedonia, FYR</t>
  </si>
  <si>
    <t>Malawi</t>
  </si>
  <si>
    <t>Malaysia</t>
  </si>
  <si>
    <t>Mali</t>
  </si>
  <si>
    <t>Mauritania</t>
  </si>
  <si>
    <t>Mauritius</t>
  </si>
  <si>
    <t>Mongolia</t>
  </si>
  <si>
    <t>Mozambique</t>
  </si>
  <si>
    <t>Myanmar</t>
  </si>
  <si>
    <t>Namibia</t>
  </si>
  <si>
    <t>Nepal</t>
  </si>
  <si>
    <t>Niger</t>
  </si>
  <si>
    <t>Nigeria</t>
  </si>
  <si>
    <t>Pakistan</t>
  </si>
  <si>
    <t>Papua New Guinea</t>
  </si>
  <si>
    <t>Philippines</t>
  </si>
  <si>
    <t>Rwanda</t>
  </si>
  <si>
    <t>Saudi Arabia</t>
  </si>
  <si>
    <t>Senegal</t>
  </si>
  <si>
    <t>Serbia</t>
  </si>
  <si>
    <t>Seychelles</t>
  </si>
  <si>
    <t>Sierra Leone</t>
  </si>
  <si>
    <t>South Africa</t>
  </si>
  <si>
    <t>Sri Lanka</t>
  </si>
  <si>
    <t>Swaziland</t>
  </si>
  <si>
    <t>Tajikistan</t>
  </si>
  <si>
    <t>Tanzania</t>
  </si>
  <si>
    <t>Uganda</t>
  </si>
  <si>
    <t>Uzbekistan</t>
  </si>
  <si>
    <t>Vietnam</t>
  </si>
  <si>
    <t>Yemen, Rep.</t>
  </si>
  <si>
    <t>Zambia</t>
  </si>
  <si>
    <t>Zimbabwe</t>
  </si>
  <si>
    <t>Figure 4.9. Use of Computers by Firm Size</t>
  </si>
  <si>
    <t>Source: PIACC and STEP. Author’s calculations. Large firms are defined as firms with 51 or more employees.</t>
  </si>
  <si>
    <t>Computer Usage by Country</t>
  </si>
  <si>
    <t>Small and Medium Firms</t>
  </si>
  <si>
    <t>Large Firms</t>
  </si>
  <si>
    <t>Lao_PDR</t>
  </si>
  <si>
    <t>Sri_Lanka</t>
  </si>
  <si>
    <t>No LAC - STEP</t>
  </si>
  <si>
    <t>Returns to one year of education</t>
  </si>
  <si>
    <t>Year of schooling</t>
  </si>
  <si>
    <t>Returns</t>
  </si>
  <si>
    <t>F3.1</t>
  </si>
  <si>
    <t>F3.2</t>
  </si>
  <si>
    <t>F3.3</t>
  </si>
  <si>
    <t>F3.4</t>
  </si>
  <si>
    <t>F3.7</t>
  </si>
  <si>
    <t>F4.1</t>
  </si>
  <si>
    <t>F4.2</t>
  </si>
  <si>
    <t>F4.3</t>
  </si>
  <si>
    <t>F4.5</t>
  </si>
  <si>
    <t>T4.1</t>
  </si>
  <si>
    <t>T4.3</t>
  </si>
  <si>
    <t>F4.8</t>
  </si>
  <si>
    <t>F4.9</t>
  </si>
  <si>
    <t>Y</t>
  </si>
  <si>
    <t>Availability of information in graphs</t>
  </si>
  <si>
    <t>Mentions of the Country in the DIA</t>
  </si>
  <si>
    <t>Mention 1</t>
  </si>
  <si>
    <t>Mention 2</t>
  </si>
  <si>
    <t>Mention 3</t>
  </si>
  <si>
    <t>Mention 4</t>
  </si>
  <si>
    <t>Mention 5</t>
  </si>
  <si>
    <t>Mention 6</t>
  </si>
  <si>
    <t>Mention 7</t>
  </si>
  <si>
    <t>Mention 8</t>
  </si>
  <si>
    <t>Mention 9</t>
  </si>
  <si>
    <t>Mention 10</t>
  </si>
  <si>
    <t>Mention 11</t>
  </si>
  <si>
    <t>Mention 12</t>
  </si>
  <si>
    <t>Mention 13</t>
  </si>
  <si>
    <t>Mention 14</t>
  </si>
  <si>
    <t>Mention 15</t>
  </si>
  <si>
    <t>Mention 16</t>
  </si>
  <si>
    <t>Mention 17</t>
  </si>
  <si>
    <t>Mention 18</t>
  </si>
  <si>
    <t>Mention 19</t>
  </si>
  <si>
    <t>Mention 20</t>
  </si>
  <si>
    <t>Mention 21</t>
  </si>
  <si>
    <t>Mention 22</t>
  </si>
  <si>
    <t>Mention 23</t>
  </si>
  <si>
    <t>Mention 24</t>
  </si>
  <si>
    <t>Mention 25</t>
  </si>
  <si>
    <t>Mention 26</t>
  </si>
  <si>
    <t>Mention 27</t>
  </si>
  <si>
    <t>Mention 28</t>
  </si>
  <si>
    <t>Mention 29</t>
  </si>
  <si>
    <t>Mention 30</t>
  </si>
  <si>
    <t>Amongst the 72 participating economies, all Latin American and Caribbean countries ranked at the bottom of the proficiency distribution. More than 60 percent of the 15-year-old Latin Americans that participated in PISA are unable to conduct more than the simplest math tasks for that grade and are likely to struggle using basic math concepts throughout their lives. In the Caribbean the situation is alike. Results from the 2013 Caribbean Secondary Education Certificate (CSEC), an assessment administered to secondary students in Barbados, Trinidad and Tobago, Jamaica, and Guyana show that at the end of 5 years of secondary school only 34 percent of students have the skills required to access higher education. Despite the region’s relatively poor performance, it seems to be making progress. In Brazil, Chile, Mexico, and Peru—the only 4 countries in the region with reliable data for both 2000 and 2015—the share of low achievers dropped 14 percentage points both in math and language.</t>
  </si>
  <si>
    <t>In either case these initiatives do not substitute for a systemic, effective quality assurance mechanisms. The book reviews best practices to strengthening the quality assurance systems in the region, an area where is lagging. In Colombia, for instance, only 13 percent of higher education institutions were accredited in 2016. Only 2 percent of the 5,705 private institutions in Mexico have been accredited. These low levels likely reflect the voluntary nature of accreditation and weak incentives. Only in Argentina is accreditation compulsory.</t>
  </si>
  <si>
    <t>Within countries, private spending clearly varies according to the socioeconomic level of households throughout the life cycle. During the early years of skills development, high-income households tend to spend twice as much on skills development as low-income households. These gaps widen during childhood, adolescence, and young adulthood when children and youth attend school and persist as they enter adulthood. Moreover, the gaps magnify if measured in absolute value because total expenditure is much higher for households at the top of the expenditure distribution. A household in the fifth quintile of the income distribution in Latin America and the Caribbean spends three times more on skills development than a household in the fourth quintile and 10 times more than a household in the first quintile. Even after controlling for price differences, a poor household in the United States spends about eight times more than a poor household in Mexico on skills development, while households in the top 10 percent of the distribution spend almost the same amount on skills development in both countries (Székely and Mendoza, 2016). The richer households in Latin America seem to use private resources to compensate for the low quality of public schools; the poor cannot afford to do this.</t>
  </si>
  <si>
    <t xml:space="preserve">Direct measures of skills in the adult population are unfortunately scarce in Latin America. International efforts to measure skills, such as the survey for adult skills (PIACC) carried out in OECD countries, at the moment only include Chile, although Ecuador, Mexico, and Peru will be participating in the next round. A notable exception is the World Bank’s STEP skills measurement survey (STEP), which includes measures of skills in Bolivia, Colombia, El Salvador and a few other developing countries outside Latin America and the Caribbean.[1] The survey includes a detailed questionnaire assessing the reading abilities of adults.  </t>
  </si>
  <si>
    <t xml:space="preserve">Consistent with the polarization hypothesis, low-paying occupations grow rapidly while middle, routine occupations decline slowly in Chile and Mexico. The expansion of low-paying occupations is particularly remarkable. Led by mining, construction, transport, and manufacturing laborers in Chile, and elementary service and sales workers in Mexico, the pace of growth of low-paying occupations more than doubled the average of low-paying jobs in the industrialized world. To some extent this may relate to the excessive number of workers in agricultural activities. The region is still going through a strong process of structural change in agriculture, which enjoyed substantial productivity gains during the last decade. This generated an excess supply of low-skill workers that needed to be employed in other sectors and occupations. Agricultural employment shrank in all four countries but was much stronger in Mexico: in just eight years the share of workers engaged in agricultural activities declined by 4.6 percentage points from 14.2 percent to 9.6 percent. </t>
  </si>
  <si>
    <t>The decline of middling occupations in Chile and Mexico was not nearly as fast. The de-industrialization of Mexico, driven by the rapid expansion of Chinese exports (Blyde et al. 2016), led to a contraction of metal, machinery, and related trade workers. In Chile, this process was fundamentally driven by lower demand for office clerks. Interestingly, these two occupations also declined fastest in Western Europe.</t>
  </si>
  <si>
    <t xml:space="preserve">Technologically, Latin American countries lag far behind advanced economies and, in particular, the United States (World Bank, 2016). Figure 4.8 highlights this gap between Latin America and advanced economies in the availability and adoption of digital technologies. The index is a simple average of four indicators: the percentage of businesses with websites, the number of secure servers per million residents, download speeds, and 3G coverage in the country (World Bank, 2016). All Latin American countries fall behind advanced economies, and the gaps vary little across countries; even the most developed economies in the region such as Chile and Uruguay present a substantial technological gap with respect to advanced economies. Note, however, that this technological gap is shared among developing economies. The penetration of digital technologies in a pool of comparison countries with similar GDP per capita to the average Latin American economy is similar to that observed in Venezuela and Mexico.  </t>
  </si>
  <si>
    <t>The figure 5.8 also shows that larger economies tend to account for a higher share of evaluations. This can be expected. Because the GDP of Mexico is much larger than that of Guatemala, we should expect that the former country will account for a larger share of evaluations. This motivates the dotted line in the figure which shows the expected share of evaluations based on the GDP level. Consequently, countries that are above the dotted line have a share of evaluations higher than what should be expected based on the size of their economy. This analysis suggests, on one hand, that Chile, Colombia, Mexico, and Peru have a higher share of evaluations than it is expected. On the other hand, Argentina, Brazil, Ecuador, Guatemala, and Venezuela have a lower share of evaluations than it is expected. This means that some countries in our region are leading the way in terms of the production of evidence for skills policies while others are lagging behind.</t>
  </si>
  <si>
    <t>Toddlers have access to other forms of care outside the home; the most widespread is preprimary education. Pre-primary school participation in the region has risen sharply for all income groups and enrollment gaps among income quintiles have narrowed (Berlinski and Schady, 2015). Indeed, many countries (including Argentina, Chile, Colombia, Ecuador, Jamaica, Mexico, Peru, and Uruguay) enjoyed universal enrollment in kindergarten by 2013.</t>
  </si>
  <si>
    <t>Governments are well aware of the problem of low and unequal learning levels and are trying hard to tackle these problems. Real spending on primary education per student increased by about 100 percent between 1999 and 2014 in the average country in the region. This average trend is well represented by Colombia: annual spending per student in increased during this period from $816 to $1,453.[1] Moreover, in some countries, such as Brazil and Dominican Republic, spending per student increased even more (about 200 percent). But even in Argentina and Mexico where spending grew at the lowest rate, the increment was substantial (about 50 percent). That is more than in the United States, where spending per student grew by 40 percent during the period. However, the United States and other OECD countries had much higher spending levels both at the beginning and the end of the period under analysis compared to Latin American and Caribbean countries. Consequently, many countries in the region have been aiming to approach these higher levels of spending.</t>
  </si>
  <si>
    <t>The final intervention reviewed involves increasing the number of years of education of teachers. Proponents argue that teachers with more years of education should be better prepared to instruct students and hence, employing them should result in more learning. Unlike the cases of reducing class size and extending the school day, requiring teachers to have more years of education does not seem to increase student learning. Aggregating the four evaluations, one of which was implemented in Mexico, suggests that this intervention had a null effect on learning, a finding consistent with previous literature using less rigorous methodologies (see a review by Wayne and Youngs, 2003). Importantly, there are many additional policy actions that can potentially strengthen teacher preparation, but there were no rigorous evaluations that could be included in this review.</t>
  </si>
  <si>
    <t>Still, some countries in the region have made small improvements in their PISA performance. Figure 8.1 shows the three-year average improvement in math since each country joined PISA. Improvements in Brazil, Colombia, Mexico, and Peru are statistically significant, but still have a long way to go to close the gap relative to advanced countries. All countries need to improve at a faster rate in order to reach good performance levels.</t>
  </si>
  <si>
    <t>The most promising evidence comes from a competitive teacher selection process introduced in Mexico in 2013. Traditionally, teachers were hired in a discretionary process led by teachers’ unions. The reform introduced a standardized evaluation in the selection process. Learning among students whose teachers were hired through the competitive process improved significantly (Estrada, 2015). The effect size (41 learning points) is the largest found among the studies in the review.</t>
  </si>
  <si>
    <t>On average, technical schools account for about 21 percent of total enrollment in secondary schools, but the percentage varies greatly within the region. For example, while enrollment in technical secondary programs is only about 2 percent of total enrollment in Nicaragua, it reaches 36 percent in Mexico (Bassi and Ñopo, 2016). During the past decade, coverage of technical secondary schools has expanded, mostly in those countries that started with lower baseline shares in total enrollment.</t>
  </si>
  <si>
    <t>While access increased in all countries, attainment still varies widely (Figure 9.1). Whereas gross enrollment in Chile and Argentina is close to 60 percent, it is less than 25 percent in countries like Honduras. Even in large countries such as Brazil and Mexico, only about 1 in 3 individuals between ages 18 and 23 attends a formal higher education institution.</t>
  </si>
  <si>
    <t>Finally, for many disadvantaged students the problem may boil down to money. For some segments of the population in the region, financial barriers may be limiting access to higher education. In the United States, due to large information asymmetries, the private financial market is rarely willing to place a lien on future individual earnings to finance higher education investments. Evidence from Chile shows that loans have a positive (causal) effect on the probability of enrollment and, more importantly, they effectively eliminate the income gradient in enrollment (Solis, 2013).[1] In Mexico, research suggests that credit constraints may explain inequalities in access (Attanasio and Kaufman, 2009).  Differences in current income can explain some of the gap in higher education enrollment by income levels in Latin America and the Caribbean (Alfonso, 2009).</t>
  </si>
  <si>
    <t xml:space="preserve">The limited available evidence indicates that private education is growing. In Mexico, household expenditures in higher education increased dramatically in the past two decades, even among the poor. While the largest surges have occurred among households at the top of the income distribution, the poorest households in the lowest deciles also increased their spending in real terms (Székely and Mendoza, 2016). At the same time, the costs of higher education for households, measured by tuition and entry fees, have also been increasing. In Chile, for example, tuition increased 60 percent in real terms since the late 1990s and over 100 percent for some majors (courses of study). The cost of sending a student to college for a middle-class family is over 40 percent of family income (Meller, 2012). </t>
  </si>
  <si>
    <t xml:space="preserve">Another force driving the surge in higher education enrollment has been the growth and diversification in supply. The number of institutions and programs has increased substantially. Over the past decade, the number of institutions in Mexico and Brazil increased by 50 percent and almost 100 percent, respectively (Ferreyra et al. 2016).  This increase was largely due to a surge in the number of private providers. Against a backdrop of growing demand, many governments in the region made regulatory adjustments to facilitate the introduction of private institutions in the market. </t>
  </si>
  <si>
    <t>Some countries in Latin America and the Caribbean were early adopters of quality assurance mechanisms. Colombia and Mexico for example built their systems in the early 1990s, many years before Western Europe and Asia (Salmi, 2013). Recent evidence for Colombia shows that quality assurance systems can be an accurate signal of quality, with accredited programs having greater value added in terms of learning (Camacho, Messina, and Uribe, 2016).</t>
  </si>
  <si>
    <t xml:space="preserve">In most Latin American and Caribbean countries, a compulsory payroll contribution on firms is the principal source of financing for training.[1] These resources fund national training institutes (NTIs) that provide free or low-cost training. NTIs were created in the mid-20th century to train active workers in technical skills. In the 1980s, as a result of stabilization measures and structural reforms enacted throughout the region, this traditional training model came under scrutiny. In the following years, these institutes were reformed to improve their responsiveness to the needs of the labor market and to include other segments of the population such as unemployed youth (Ibarraran and Rosas-Shady, 2009). Some countries (Chile, Paraguay, Uruguay, and El Salvador) issue tenders to public or private institutions to offer courses, instead of channeling the training through NTIs. Meanwhile, in most countries (Colombia, Ecuador, Honduras, Mexico, Panama, and the Dominican Republic) NTIs still operate as training providers (Alaimo et al., 2015; Huneeus et.al., 2013; Ricart et al., 2014). </t>
  </si>
  <si>
    <t>Latin America</t>
  </si>
  <si>
    <t>Table 5.1. Government Spending on Education by Educational Level, Select Latin American and Caribbean Countries</t>
  </si>
  <si>
    <t>Government expenditure in Education</t>
  </si>
  <si>
    <t>as % of GDP</t>
  </si>
  <si>
    <t>in constant PPP (per student)</t>
  </si>
  <si>
    <t>Pre-Primary</t>
  </si>
  <si>
    <t>Tertiary
(college)</t>
  </si>
  <si>
    <t>Tertiary
(non-college)</t>
  </si>
  <si>
    <t>Belice</t>
  </si>
  <si>
    <t>Panamá</t>
  </si>
  <si>
    <t>Perú</t>
  </si>
  <si>
    <t xml:space="preserve">Source: WorldBank - Education Statistics and Volman (2016). Note: The year closest to 2014 was chosen for each country from the information available from 2009 to 2014. Countries included in comparison countries are: Albania, Armenia, Bulgaria, Hungary, Indonesia, Kazakhstan,  Latvia, Malaysia, Morocco, Philippines, Poland, Romania, and Thailand. </t>
  </si>
  <si>
    <t>Series</t>
  </si>
  <si>
    <t>Government expenditure on pre-primary education as % of GDP (%)</t>
  </si>
  <si>
    <t>Government expenditure on primary education as % of GDP (%)</t>
  </si>
  <si>
    <t>Government expenditure on secondary education as % of GDP (%)</t>
  </si>
  <si>
    <t>Government expenditure on tertiary education as % of GDP (%)</t>
  </si>
  <si>
    <t>Government expenditure per primary student (constant PPP$)</t>
  </si>
  <si>
    <t>Government expenditure per secondary student (constant PPP$)</t>
  </si>
  <si>
    <t>Government expenditure per tertiary student (constant PPP$)</t>
  </si>
  <si>
    <t/>
  </si>
  <si>
    <t>Comparison Countrues</t>
  </si>
  <si>
    <t>Figure 5.3. Spending on Secondary Education, Latin America and the Caribbean and Other Regions</t>
  </si>
  <si>
    <t>Source: Authors’ calculations based on World Bank Education Statistics. 
Note: The color shows the tercile in which the country performed in the math PISA test in 2015. Countries in the third (lowest)  tercile are red; countries in the second (middle) tercile are blue; and countries in the first (highest) tercile are green. Countries that did not participate in PISA 2015 are gray. OECD = Organisation for Economic Co-operation and Development; PISA = Programme for International Student Assessment; PPP = purchasing power parity.</t>
  </si>
  <si>
    <t>countrycode</t>
  </si>
  <si>
    <t>lgdp</t>
  </si>
  <si>
    <t>lsecondary</t>
  </si>
  <si>
    <t>secondary_gdp</t>
  </si>
  <si>
    <t>qpisa</t>
  </si>
  <si>
    <t>lac</t>
  </si>
  <si>
    <t>oecd</t>
  </si>
  <si>
    <t>usa</t>
  </si>
  <si>
    <t>Aruba</t>
  </si>
  <si>
    <t>ABW</t>
  </si>
  <si>
    <t>ALB</t>
  </si>
  <si>
    <t>ARE</t>
  </si>
  <si>
    <t>Hong Kong SAR, China</t>
  </si>
  <si>
    <t>HKG</t>
  </si>
  <si>
    <t>ARG</t>
  </si>
  <si>
    <t>BRA</t>
  </si>
  <si>
    <t>AUS</t>
  </si>
  <si>
    <t>AUT</t>
  </si>
  <si>
    <t>Andorra</t>
  </si>
  <si>
    <t>ADO</t>
  </si>
  <si>
    <t>DZA</t>
  </si>
  <si>
    <t>BGR</t>
  </si>
  <si>
    <t>SGP</t>
  </si>
  <si>
    <t>BOL</t>
  </si>
  <si>
    <t>CHL</t>
  </si>
  <si>
    <t>CZE</t>
  </si>
  <si>
    <t>BEL</t>
  </si>
  <si>
    <t>Afghanistan</t>
  </si>
  <si>
    <t>AFG</t>
  </si>
  <si>
    <t>GEO</t>
  </si>
  <si>
    <t>HRV</t>
  </si>
  <si>
    <t>VNM</t>
  </si>
  <si>
    <t>ECU</t>
  </si>
  <si>
    <t>COL</t>
  </si>
  <si>
    <t>ESP</t>
  </si>
  <si>
    <t>CAN</t>
  </si>
  <si>
    <t>AGO</t>
  </si>
  <si>
    <t>IDN</t>
  </si>
  <si>
    <t>LTU</t>
  </si>
  <si>
    <t>GTM</t>
  </si>
  <si>
    <t>CRI</t>
  </si>
  <si>
    <t>FRA</t>
  </si>
  <si>
    <t>CHE</t>
  </si>
  <si>
    <t>ARM</t>
  </si>
  <si>
    <t>JOR</t>
  </si>
  <si>
    <t>MLT</t>
  </si>
  <si>
    <t>GUY</t>
  </si>
  <si>
    <t>DOM</t>
  </si>
  <si>
    <t>GBR</t>
  </si>
  <si>
    <t>DEU</t>
  </si>
  <si>
    <t>American Samoa</t>
  </si>
  <si>
    <t>ASM</t>
  </si>
  <si>
    <t>LBN</t>
  </si>
  <si>
    <t>ROM</t>
  </si>
  <si>
    <t>HND</t>
  </si>
  <si>
    <t>MEX</t>
  </si>
  <si>
    <t>GRC</t>
  </si>
  <si>
    <t>DNK</t>
  </si>
  <si>
    <t>Antigua and Barbuda</t>
  </si>
  <si>
    <t>ATG</t>
  </si>
  <si>
    <t>MDA</t>
  </si>
  <si>
    <t>RUS</t>
  </si>
  <si>
    <t>HTI</t>
  </si>
  <si>
    <t>PER</t>
  </si>
  <si>
    <t>HUN</t>
  </si>
  <si>
    <t>EST</t>
  </si>
  <si>
    <t>Azerbaijan</t>
  </si>
  <si>
    <t>AZE</t>
  </si>
  <si>
    <t>MKD</t>
  </si>
  <si>
    <t>JAM</t>
  </si>
  <si>
    <t>TTO</t>
  </si>
  <si>
    <t>ISL</t>
  </si>
  <si>
    <t>FIN</t>
  </si>
  <si>
    <t>BDI</t>
  </si>
  <si>
    <t>MNE</t>
  </si>
  <si>
    <t>NIC</t>
  </si>
  <si>
    <t>URY</t>
  </si>
  <si>
    <t>ISR</t>
  </si>
  <si>
    <t>IRL</t>
  </si>
  <si>
    <t>Benin</t>
  </si>
  <si>
    <t>BEN</t>
  </si>
  <si>
    <t>QAT</t>
  </si>
  <si>
    <t>PAN</t>
  </si>
  <si>
    <t>ITA</t>
  </si>
  <si>
    <t>JPN</t>
  </si>
  <si>
    <t>Burkina Faso</t>
  </si>
  <si>
    <t>BFA</t>
  </si>
  <si>
    <t>THA</t>
  </si>
  <si>
    <t>PRY</t>
  </si>
  <si>
    <t>LUX</t>
  </si>
  <si>
    <t>KOR</t>
  </si>
  <si>
    <t>BGD</t>
  </si>
  <si>
    <t>TUN</t>
  </si>
  <si>
    <t>SLV</t>
  </si>
  <si>
    <t>LVA</t>
  </si>
  <si>
    <t>NLD</t>
  </si>
  <si>
    <t>BHR</t>
  </si>
  <si>
    <t>VEN</t>
  </si>
  <si>
    <t>PRT</t>
  </si>
  <si>
    <t>NOR</t>
  </si>
  <si>
    <t>Bahamas, The</t>
  </si>
  <si>
    <t>BHS</t>
  </si>
  <si>
    <t>SVK</t>
  </si>
  <si>
    <t>NZL</t>
  </si>
  <si>
    <t>Bosnia and Herzegovina</t>
  </si>
  <si>
    <t>BIH</t>
  </si>
  <si>
    <t>SWE</t>
  </si>
  <si>
    <t>POL</t>
  </si>
  <si>
    <t>BLR</t>
  </si>
  <si>
    <t>SVN</t>
  </si>
  <si>
    <t>BLZ</t>
  </si>
  <si>
    <t>Bermuda</t>
  </si>
  <si>
    <t>BMU</t>
  </si>
  <si>
    <t>BRB</t>
  </si>
  <si>
    <t>BRN</t>
  </si>
  <si>
    <t>Bhutan</t>
  </si>
  <si>
    <t>BTN</t>
  </si>
  <si>
    <t>BWA</t>
  </si>
  <si>
    <t>Central African Republic</t>
  </si>
  <si>
    <t>CAF</t>
  </si>
  <si>
    <t>Channel Islands</t>
  </si>
  <si>
    <t>CHI</t>
  </si>
  <si>
    <t>CHN</t>
  </si>
  <si>
    <t>CIV</t>
  </si>
  <si>
    <t>CMR</t>
  </si>
  <si>
    <t>Congo, Rep.</t>
  </si>
  <si>
    <t>COG</t>
  </si>
  <si>
    <t>Comoros</t>
  </si>
  <si>
    <t>COM</t>
  </si>
  <si>
    <t>Cabo Verde</t>
  </si>
  <si>
    <t>CPV</t>
  </si>
  <si>
    <t>CUB</t>
  </si>
  <si>
    <t>Curacao</t>
  </si>
  <si>
    <t>CUW</t>
  </si>
  <si>
    <t>Cayman Islands</t>
  </si>
  <si>
    <t>CYM</t>
  </si>
  <si>
    <t>CYP</t>
  </si>
  <si>
    <t>Djibouti</t>
  </si>
  <si>
    <t>DJI</t>
  </si>
  <si>
    <t>Dominica</t>
  </si>
  <si>
    <t>DMA</t>
  </si>
  <si>
    <t>EGY</t>
  </si>
  <si>
    <t>Eritrea</t>
  </si>
  <si>
    <t>ERI</t>
  </si>
  <si>
    <t>ETH</t>
  </si>
  <si>
    <t>Fiji</t>
  </si>
  <si>
    <t>FJI</t>
  </si>
  <si>
    <t>Faroe Islands</t>
  </si>
  <si>
    <t>FRO</t>
  </si>
  <si>
    <t>Micronesia, Fed. Sts.</t>
  </si>
  <si>
    <t>FSM</t>
  </si>
  <si>
    <t>GAB</t>
  </si>
  <si>
    <t>GHA</t>
  </si>
  <si>
    <t>Gibraltar</t>
  </si>
  <si>
    <t>GIB</t>
  </si>
  <si>
    <t>Guinea</t>
  </si>
  <si>
    <t>GIN</t>
  </si>
  <si>
    <t>GMB</t>
  </si>
  <si>
    <t>Guinea-Bissau</t>
  </si>
  <si>
    <t>GNB</t>
  </si>
  <si>
    <t>Equatorial Guinea</t>
  </si>
  <si>
    <t>GNQ</t>
  </si>
  <si>
    <t>Grenada</t>
  </si>
  <si>
    <t>GRD</t>
  </si>
  <si>
    <t>Greenland</t>
  </si>
  <si>
    <t>GRL</t>
  </si>
  <si>
    <t>Guam</t>
  </si>
  <si>
    <t>GUM</t>
  </si>
  <si>
    <t>Isle of Man</t>
  </si>
  <si>
    <t>IMY</t>
  </si>
  <si>
    <t>IND</t>
  </si>
  <si>
    <t>IRN</t>
  </si>
  <si>
    <t>Iraq</t>
  </si>
  <si>
    <t>IRQ</t>
  </si>
  <si>
    <t>KAZ</t>
  </si>
  <si>
    <t>KEN</t>
  </si>
  <si>
    <t>KGZ</t>
  </si>
  <si>
    <t>KHM</t>
  </si>
  <si>
    <t>Kiribati</t>
  </si>
  <si>
    <t>KIR</t>
  </si>
  <si>
    <t>St. Kitts and Nevis</t>
  </si>
  <si>
    <t>KNA</t>
  </si>
  <si>
    <t>KWT</t>
  </si>
  <si>
    <t>LAO</t>
  </si>
  <si>
    <t>LBR</t>
  </si>
  <si>
    <t>Libya</t>
  </si>
  <si>
    <t>LBY</t>
  </si>
  <si>
    <t>St. Lucia</t>
  </si>
  <si>
    <t>LCA</t>
  </si>
  <si>
    <t>Liechtenstein</t>
  </si>
  <si>
    <t>LIE</t>
  </si>
  <si>
    <t>LKA</t>
  </si>
  <si>
    <t>LSO</t>
  </si>
  <si>
    <t>St. Martin (French part)</t>
  </si>
  <si>
    <t>MAF</t>
  </si>
  <si>
    <t>MAR</t>
  </si>
  <si>
    <t>Monaco</t>
  </si>
  <si>
    <t>MCO</t>
  </si>
  <si>
    <t>Madagascar</t>
  </si>
  <si>
    <t>MDG</t>
  </si>
  <si>
    <t>Maldives</t>
  </si>
  <si>
    <t>MDV</t>
  </si>
  <si>
    <t>Marshall Islands</t>
  </si>
  <si>
    <t>MHL</t>
  </si>
  <si>
    <t>MLI</t>
  </si>
  <si>
    <t>MMR</t>
  </si>
  <si>
    <t>MNG</t>
  </si>
  <si>
    <t>Northern Mariana Islands</t>
  </si>
  <si>
    <t>MNP</t>
  </si>
  <si>
    <t>MOZ</t>
  </si>
  <si>
    <t>MRT</t>
  </si>
  <si>
    <t>MUS</t>
  </si>
  <si>
    <t>MWI</t>
  </si>
  <si>
    <t>MYS</t>
  </si>
  <si>
    <t>NAM</t>
  </si>
  <si>
    <t>New Caledonia</t>
  </si>
  <si>
    <t>NCL</t>
  </si>
  <si>
    <t>NER</t>
  </si>
  <si>
    <t>NGA</t>
  </si>
  <si>
    <t>NPL</t>
  </si>
  <si>
    <t>Nauru</t>
  </si>
  <si>
    <t>NRU</t>
  </si>
  <si>
    <t>Oman</t>
  </si>
  <si>
    <t>OMN</t>
  </si>
  <si>
    <t>PAK</t>
  </si>
  <si>
    <t>PHL</t>
  </si>
  <si>
    <t>Palau</t>
  </si>
  <si>
    <t>PLW</t>
  </si>
  <si>
    <t>PNG</t>
  </si>
  <si>
    <t>Korea, Dem. People’s Rep.</t>
  </si>
  <si>
    <t>PRK</t>
  </si>
  <si>
    <t>French Polynesia</t>
  </si>
  <si>
    <t>PYF</t>
  </si>
  <si>
    <t>RWA</t>
  </si>
  <si>
    <t>SAU</t>
  </si>
  <si>
    <t>Sudan</t>
  </si>
  <si>
    <t>SDN</t>
  </si>
  <si>
    <t>SEN</t>
  </si>
  <si>
    <t>Solomon Islands</t>
  </si>
  <si>
    <t>SLB</t>
  </si>
  <si>
    <t>SLE</t>
  </si>
  <si>
    <t>San Marino</t>
  </si>
  <si>
    <t>SMR</t>
  </si>
  <si>
    <t>Somalia</t>
  </si>
  <si>
    <t>SOM</t>
  </si>
  <si>
    <t>SRB</t>
  </si>
  <si>
    <t>South Sudan</t>
  </si>
  <si>
    <t>SSD</t>
  </si>
  <si>
    <t>Sao Tome and Principe</t>
  </si>
  <si>
    <t>STP</t>
  </si>
  <si>
    <t>Suriname</t>
  </si>
  <si>
    <t>SUR</t>
  </si>
  <si>
    <t>SWZ</t>
  </si>
  <si>
    <t>Sint Maarten (Dutch part)</t>
  </si>
  <si>
    <t>SXM</t>
  </si>
  <si>
    <t>SYC</t>
  </si>
  <si>
    <t>Syrian Arab Republic</t>
  </si>
  <si>
    <t>SYR</t>
  </si>
  <si>
    <t>Turks and Caicos Islands</t>
  </si>
  <si>
    <t>TCA</t>
  </si>
  <si>
    <t>Chad</t>
  </si>
  <si>
    <t>TCD</t>
  </si>
  <si>
    <t>Togo</t>
  </si>
  <si>
    <t>TGO</t>
  </si>
  <si>
    <t>TJK</t>
  </si>
  <si>
    <t>Turkmenistan</t>
  </si>
  <si>
    <t>TKM</t>
  </si>
  <si>
    <t>Timor-Leste</t>
  </si>
  <si>
    <t>TMP</t>
  </si>
  <si>
    <t>Tonga</t>
  </si>
  <si>
    <t>TON</t>
  </si>
  <si>
    <t>Tuvalu</t>
  </si>
  <si>
    <t>TUV</t>
  </si>
  <si>
    <t>TZA</t>
  </si>
  <si>
    <t>UGA</t>
  </si>
  <si>
    <t>UKR</t>
  </si>
  <si>
    <t>UZB</t>
  </si>
  <si>
    <t>St. Vincent and the Grenadines</t>
  </si>
  <si>
    <t>VCT</t>
  </si>
  <si>
    <t>British Virgin Islands</t>
  </si>
  <si>
    <t>VGB</t>
  </si>
  <si>
    <t>Vanuatu</t>
  </si>
  <si>
    <t>VUT</t>
  </si>
  <si>
    <t>Samoa</t>
  </si>
  <si>
    <t>WSM</t>
  </si>
  <si>
    <t>YEM</t>
  </si>
  <si>
    <t>ZAF</t>
  </si>
  <si>
    <t>Congo, Dem. Rep.</t>
  </si>
  <si>
    <t>ZAR</t>
  </si>
  <si>
    <t>ZMB</t>
  </si>
  <si>
    <t>ZWE</t>
  </si>
  <si>
    <t>PRI</t>
  </si>
  <si>
    <t>TUR</t>
  </si>
  <si>
    <t>Government Expenditure</t>
  </si>
  <si>
    <t>% of GDP</t>
  </si>
  <si>
    <t>Dollar amount</t>
  </si>
  <si>
    <t>log GDP</t>
  </si>
  <si>
    <t>Table 7.5. Indicators on Capital and Labor Intensive Interventions</t>
  </si>
  <si>
    <t>Students per teacher</t>
  </si>
  <si>
    <t>Extended school day</t>
  </si>
  <si>
    <t>Teachers' years 
of education</t>
  </si>
  <si>
    <t>Circa 1999</t>
  </si>
  <si>
    <t>Circa 2014</t>
  </si>
  <si>
    <t>Brasil</t>
  </si>
  <si>
    <t>-</t>
  </si>
  <si>
    <t xml:space="preserve">Notes: The indicator "Students per teacher" was obtained from the World Development Indicators database and corresponds to the number of students divided by the number of teachers based on head counts. The indicator "Extended school day" corresponds to the fraction of students in third grade that atend a school for at least 6 hours a day. For 1999, this indicator was approximated using information reported in studies and reports (e.g. Tenti, 2010). For 2014, this indicator was constructed using data from TERCE which was collected in 2013. The indicator "Teachers' years of education" was constructed using data from household surveys. When data were not available for year t, we estimated it by averaging data for years t-1 and t+1. If data for neither t-1 nor t+1 were available, then we estimated it by averaging data for years t-2 and t+2. The indicator "Students per teacher" was computed including students and teachers in all schools (i.e. both public and private). In contrast, indicators for "Extended school day" and "Teachers' years of education" correspond to students and teachers in public schools. </t>
  </si>
  <si>
    <t>Table 8.1. Secondary School Enrollment and Graduation Rates in Select Latin American Countries, 1995–2014</t>
  </si>
  <si>
    <t>Panel A</t>
  </si>
  <si>
    <t>Panel B</t>
  </si>
  <si>
    <t>Net Enrollment Rate</t>
  </si>
  <si>
    <t xml:space="preserve"> On-time Graduation Rate</t>
  </si>
  <si>
    <t>Change p.p
(95-14)</t>
  </si>
  <si>
    <t xml:space="preserve">Source: Author's calculations based on household surveys.  Note: Net enrollment rate is calculated as the number of children enrolled in secondary school and in the age group that officially corresponds to secondary schooling, divided by the population of the same age group.On-time graduation rate is calculated using the expected graduation age + 1 for each country. </t>
  </si>
  <si>
    <t xml:space="preserve">Table 8.2. Differences in Academic Performance between Adolescents in Latin America and the Caribbean and the OECD </t>
  </si>
  <si>
    <t xml:space="preserve">Schooling years behind </t>
  </si>
  <si>
    <t>Science
OECD (493)</t>
  </si>
  <si>
    <t>Reading
OECD (493)</t>
  </si>
  <si>
    <t>Math
OECD (490)</t>
  </si>
  <si>
    <t>-1</t>
  </si>
  <si>
    <t>Chile (459)</t>
  </si>
  <si>
    <t>-2</t>
  </si>
  <si>
    <t>Chile (447)
Costa Rica (420)
Trinidad &amp; Tobago (425)
Uruguay (435)</t>
  </si>
  <si>
    <t>Colombia (425)
Costa Rica (427)
Mexico (423)
Trinidad &amp; Tobago (427)
Uruguay (437)</t>
  </si>
  <si>
    <t>Chile (423)
Trinidad &amp; Tobago (417)
Uruguay (418)</t>
  </si>
  <si>
    <t>-3</t>
  </si>
  <si>
    <t>Brazil (401)
Colombia (416)
Mexico (416)
Peru (397)</t>
  </si>
  <si>
    <t>Brazil (407)
Peru (398)</t>
  </si>
  <si>
    <t>Colombia (390)
Costa Rica (400)
Mexico (408)
Peru (387)</t>
  </si>
  <si>
    <t>-4</t>
  </si>
  <si>
    <t>Dominican Rep. (358)</t>
  </si>
  <si>
    <t>Brazil (377)</t>
  </si>
  <si>
    <t>-5</t>
  </si>
  <si>
    <t>Dominican Rep (332)</t>
  </si>
  <si>
    <t>Dominican Rep. (328)</t>
  </si>
  <si>
    <t>Source: PISA 2015. Note: PISA scores are in parentheses. PISA equates 30 score points with about one year of schooling. This must be understood as an approximate equivalent and does not take into account national variations or differences across subjects.</t>
  </si>
  <si>
    <t>Scores</t>
  </si>
  <si>
    <t>Differences in years</t>
  </si>
  <si>
    <t>Pais</t>
  </si>
  <si>
    <t>_OECD</t>
  </si>
  <si>
    <t xml:space="preserve">Based on the PISA-based evidence as well as on the more general finding that learning gains on most national and international tests during one year are equal to between one-quarter and one-third of a standard deviation (Woessmann, 2016), the PISA equates 30 score points with about one year of schooling. </t>
  </si>
  <si>
    <t>Figure 8.1. Three-year Average Improvement in Math for Select Latin American and Caribbean  Countries</t>
  </si>
  <si>
    <t xml:space="preserve">Note: The three-year trend is the average rate of change observed between two PISA assessments. Solid color bars are statistically significant changes (95%). </t>
  </si>
  <si>
    <t>Average three-year trend</t>
  </si>
  <si>
    <t xml:space="preserve">Notes: Values that are statistically significant are marked in bold in the table and are solid filled in the graph.
The average trend is reported for the longest available period since PISA 2006 for science, PISA 2000 for reading, and PISA 2003 for mathematics.
</t>
  </si>
  <si>
    <r>
      <t xml:space="preserve">Source: OECD, PISA 2015 Database, Tables </t>
    </r>
    <r>
      <rPr>
        <b/>
        <sz val="11"/>
        <color theme="1"/>
        <rFont val="Arial"/>
        <family val="2"/>
      </rPr>
      <t>I.2.4a,</t>
    </r>
    <r>
      <rPr>
        <sz val="11"/>
        <color theme="1"/>
        <rFont val="Arial"/>
        <family val="2"/>
      </rPr>
      <t xml:space="preserve"> </t>
    </r>
    <r>
      <rPr>
        <b/>
        <sz val="11"/>
        <color theme="1"/>
        <rFont val="Arial"/>
        <family val="2"/>
      </rPr>
      <t>I.4.4a</t>
    </r>
    <r>
      <rPr>
        <sz val="11"/>
        <color theme="1"/>
        <rFont val="Arial"/>
        <family val="2"/>
      </rPr>
      <t xml:space="preserve"> and </t>
    </r>
    <r>
      <rPr>
        <b/>
        <sz val="11"/>
        <color theme="1"/>
        <rFont val="Arial"/>
        <family val="2"/>
      </rPr>
      <t>I.5.4a.</t>
    </r>
  </si>
  <si>
    <r>
      <rPr>
        <b/>
        <sz val="11"/>
        <color theme="1"/>
        <rFont val="Arial"/>
        <family val="2"/>
      </rPr>
      <t xml:space="preserve">Note from PISA: </t>
    </r>
    <r>
      <rPr>
        <sz val="11"/>
        <color theme="1"/>
        <rFont val="Arial"/>
        <family val="2"/>
      </rPr>
      <t>To better understand a country's / economy's trends and maximize the number of countries in the comparisons, this report focuses on the average three-year trend in student performance. The three-year trend is the average rate of change observed (Three years corresponding to the typical interval between two PISA assessments, the magnitude of the average three-year trend can therefore be directly compared to the change between two consecutive assessments, eg PISA 2012 and PISA 2015). For countries and economies that have participated in all four PISA assessments, the average three-year trend takes into account all four points in time; For those countries that have valid data for fewer assessments, the average three-year trend takes into account only the valid and available information.</t>
    </r>
  </si>
  <si>
    <r>
      <rPr>
        <b/>
        <sz val="11"/>
        <color theme="1"/>
        <rFont val="Arial"/>
        <family val="2"/>
      </rPr>
      <t xml:space="preserve">Note for DIANA: </t>
    </r>
    <r>
      <rPr>
        <sz val="11"/>
        <color theme="1"/>
        <rFont val="Arial"/>
        <family val="2"/>
      </rPr>
      <t xml:space="preserve">The three-year trend is the average rate of change observed between two PISA assessments. </t>
    </r>
  </si>
  <si>
    <t xml:space="preserve">Table 8.3.  Secondary School Inputs in Latin American and Caribbean Countries </t>
  </si>
  <si>
    <t>Inputs</t>
  </si>
  <si>
    <t>México</t>
  </si>
  <si>
    <t>Human capital</t>
  </si>
  <si>
    <t>% teachers with Master</t>
  </si>
  <si>
    <t>-           If we keep it, we should make a more general point than just going one by one through the statistics reported</t>
  </si>
  <si>
    <t>Physical resources</t>
  </si>
  <si>
    <t>Class size</t>
  </si>
  <si>
    <t>Computer-student ratio</t>
  </si>
  <si>
    <t>Student motivation</t>
  </si>
  <si>
    <t>% skipped a whole school day more than 3 times in the last 2 weeks</t>
  </si>
  <si>
    <t>--</t>
  </si>
  <si>
    <t>Support</t>
  </si>
  <si>
    <t xml:space="preserve">% rooms where the students can do their homework </t>
  </si>
  <si>
    <t>% school staff help with homework</t>
  </si>
  <si>
    <t>Source: PISA 2015</t>
  </si>
  <si>
    <t>Figure 8.2. Reasons Students Drop Out of Secondary School</t>
  </si>
  <si>
    <t>Source: Household Surveys for Bolivia (2014), Chile (2013), Costa Rica (2015), Ecuador (2015), Panama (2015), Paraguay (2014), and Uruguay (2015).</t>
  </si>
  <si>
    <t>Lack of money</t>
  </si>
  <si>
    <t>Lack of interest</t>
  </si>
  <si>
    <t xml:space="preserve">Family </t>
  </si>
  <si>
    <t>Access</t>
  </si>
  <si>
    <t>Health</t>
  </si>
  <si>
    <t>Others</t>
  </si>
  <si>
    <t>Figure 9.1. Gross Enrollment Rates in Higher Education (percent)</t>
  </si>
  <si>
    <t xml:space="preserve">Source: Authors’ calculations using household surveys from eight countries: Argentina, Brazil, Chile, Colombia, Costa Rica, Honduras, Mexico, and Peru. Note: Gross enrollment rates are measured as the share of individuals aged 18–23 enrolled in a higher education program at the time of the survey. </t>
  </si>
  <si>
    <t>Circa 1994</t>
  </si>
  <si>
    <t>Circa 2004</t>
  </si>
  <si>
    <t>Figure 9.3. Gross Enrollment Rates of Individuals Aged 18–23 by Family Income Quintile, 1998 and 2014 (percent)</t>
  </si>
  <si>
    <t>Source: Authors’ calculations using household surveys.</t>
  </si>
  <si>
    <t>Quintiles 1 and 2</t>
  </si>
  <si>
    <t>Quintile 5</t>
  </si>
  <si>
    <r>
      <t>Figure 9.4 Government Expenditure in Tertiary Institutions as Percentage of GDP (percent)</t>
    </r>
    <r>
      <rPr>
        <b/>
        <vertAlign val="superscript"/>
        <sz val="14"/>
        <rFont val="Times New Roman"/>
        <family val="1"/>
      </rPr>
      <t xml:space="preserve"> </t>
    </r>
  </si>
  <si>
    <t xml:space="preserve">Source: UNESCO Institute for Statistics (UIS). Note: Total general (local, regional, and central) government expenditure in educational institutions (current and capital), expressed as a percentage of GDP. The measure excludes transfers to private entities such as subsidies to households and students, but includes expenditure funded by transfers from international sources to the government.
</t>
  </si>
  <si>
    <t>CIRCA 2001</t>
  </si>
  <si>
    <t>CIRCA 2012</t>
  </si>
  <si>
    <t>United States of America</t>
  </si>
  <si>
    <t>Slovakia</t>
  </si>
  <si>
    <t>United Kingdom of Great Britain and Northern Ireland</t>
  </si>
  <si>
    <t>Democratic People's Republic of Korea</t>
  </si>
  <si>
    <t>Latin America &amp; Caribbean (all income levels) - Following WB Clasification</t>
  </si>
  <si>
    <t>..</t>
  </si>
  <si>
    <t>Bolivia (Plurinational State of)</t>
  </si>
  <si>
    <t>Saint Kitts and Nevis</t>
  </si>
  <si>
    <t>Saint Lucia</t>
  </si>
  <si>
    <t>Saint Vincent and the Grenadines</t>
  </si>
  <si>
    <t>http://data.uis.unesco.org/?queryid=181#</t>
  </si>
  <si>
    <t>Figure 9.5 Private Gross Enrollment Rate in Post-Secondary Education (percent)</t>
  </si>
  <si>
    <t xml:space="preserve">Source:  Authors’ calculations using household surveys.  Note: The baseline year for Mexico is 2004, for Brazil 2001, and for Peru 1998. For Chile, the comparison year is 2013. 
</t>
  </si>
  <si>
    <t>CIRCA 2003</t>
  </si>
  <si>
    <t>CIRCA 2014</t>
  </si>
  <si>
    <t>Source:IDB</t>
  </si>
  <si>
    <t>For MEX previous year 2004, BRA 2001 and PER 1998. For CHL latest 2013</t>
  </si>
  <si>
    <t>pais_c	anio_c	asist	asist_priv	previous	latest</t>
  </si>
  <si>
    <t>ARG	2003	0</t>
  </si>
  <si>
    <t>56	0</t>
  </si>
  <si>
    <t>12	20</t>
  </si>
  <si>
    <t xml:space="preserve">97351	</t>
  </si>
  <si>
    <t>ARG	2014	0</t>
  </si>
  <si>
    <t>59	0</t>
  </si>
  <si>
    <t>13		21</t>
  </si>
  <si>
    <t>CHL	1998	0</t>
  </si>
  <si>
    <t>32	0</t>
  </si>
  <si>
    <t>16	49</t>
  </si>
  <si>
    <t xml:space="preserve">42591	</t>
  </si>
  <si>
    <t>CHL	2013	0</t>
  </si>
  <si>
    <t>61	0</t>
  </si>
  <si>
    <t>42		68</t>
  </si>
  <si>
    <t>HND	2003	0</t>
  </si>
  <si>
    <t>16	0</t>
  </si>
  <si>
    <t>03	19</t>
  </si>
  <si>
    <t xml:space="preserve">6243	</t>
  </si>
  <si>
    <t>HND	2014	0</t>
  </si>
  <si>
    <t>23	0</t>
  </si>
  <si>
    <t>08		34</t>
  </si>
  <si>
    <t>BRA	2001	0</t>
  </si>
  <si>
    <t>17	0</t>
  </si>
  <si>
    <t>12	71</t>
  </si>
  <si>
    <t xml:space="preserve">39011	</t>
  </si>
  <si>
    <t>BRA	2014	0</t>
  </si>
  <si>
    <t>39	0</t>
  </si>
  <si>
    <t>29		73</t>
  </si>
  <si>
    <t>MEX	2005	0</t>
  </si>
  <si>
    <t>30	0</t>
  </si>
  <si>
    <t>10	32</t>
  </si>
  <si>
    <t xml:space="preserve">88964	</t>
  </si>
  <si>
    <t>MEX	2014	0</t>
  </si>
  <si>
    <t>35	0</t>
  </si>
  <si>
    <t>11		31</t>
  </si>
  <si>
    <t>PER	1998	0</t>
  </si>
  <si>
    <t>12	39</t>
  </si>
  <si>
    <t xml:space="preserve">75048	</t>
  </si>
  <si>
    <t>PER	2014	0</t>
  </si>
  <si>
    <t>42	0</t>
  </si>
  <si>
    <t>28		66</t>
  </si>
  <si>
    <t>COL	2003	0</t>
  </si>
  <si>
    <t>37	0</t>
  </si>
  <si>
    <t>16	42</t>
  </si>
  <si>
    <t xml:space="preserve">34208	</t>
  </si>
  <si>
    <t>COL	2014	0</t>
  </si>
  <si>
    <t>50	0</t>
  </si>
  <si>
    <t>17		33</t>
  </si>
  <si>
    <t>CRI	2003	0</t>
  </si>
  <si>
    <t>38	0</t>
  </si>
  <si>
    <t>24	64</t>
  </si>
  <si>
    <t xml:space="preserve">82253	</t>
  </si>
  <si>
    <t>CRI	2014	0</t>
  </si>
  <si>
    <t>49	0</t>
  </si>
  <si>
    <t>33		66</t>
  </si>
  <si>
    <t>Figure 9.6. Gross Enrollment Rates of Individuals 18–23 in Private Institutions by Family Income Quintile</t>
  </si>
  <si>
    <t>Source: Own calculations using HH surveys from 2014 except for Chile, in which case the data corresponds to 2013. The figure shows the percentage of students from quintiles 1 and 2 of the income distribution who are enrolled in private HE institutions.</t>
  </si>
  <si>
    <t>Quintile 1 and 2</t>
  </si>
  <si>
    <t>Figure 9.7. Dropout Rates in Undergraduate Programs in Latin America and the Caribbean, 2005</t>
  </si>
  <si>
    <t>Source: IESALC (UNESCO), and SNIES for Colombia , Salmi 2013. Others LAC countries include a simple average of Venezuela, Uruguay, Bolivia and Dominican Republic.</t>
  </si>
  <si>
    <t>Drop-out</t>
  </si>
  <si>
    <t>T5.1</t>
  </si>
  <si>
    <t>F5.3</t>
  </si>
  <si>
    <t>F5.8</t>
  </si>
  <si>
    <t>F7.1</t>
  </si>
  <si>
    <t>F7.2</t>
  </si>
  <si>
    <t>T7.5</t>
  </si>
  <si>
    <t>T8.1</t>
  </si>
  <si>
    <t>T8.2</t>
  </si>
  <si>
    <t>F8.1</t>
  </si>
  <si>
    <t>T8.3</t>
  </si>
  <si>
    <t>F8.2</t>
  </si>
  <si>
    <t>F9.1</t>
  </si>
  <si>
    <t>F9.3</t>
  </si>
  <si>
    <t>F9.4</t>
  </si>
  <si>
    <t>F9.7</t>
  </si>
  <si>
    <t>F9.5</t>
  </si>
  <si>
    <t>F9.6</t>
  </si>
  <si>
    <t>Figure 10.2. Chile: Elsa and Rodrigo in Real Life</t>
  </si>
  <si>
    <t xml:space="preserve">Source: Authors’ calculations based on the panel built by Carpio et al. (2011) using Chile’s Social Protection Survey for 2002 and 2009. 
Notes: Only employed individuals in both 2002 and 2009 are depicted. Real hourly wages expressed as an index where the base (equal to 100) is the average wage in 2002 of individuals with at least secondary complete education working in large firms (with more than 50 employees) in the tradable sector. The categories are based on education level and sector of employment in 2002. Tradable sector includes Agriculture, Hunting, Forestry and Fishing; Manufacturing; Financial Services; Transport and Communication Services. Non-Tradable sector includes Electricity Gas and Water Supply; Construction; Retail, Hotels and Restaurants; Community, Social and Personal Services.
</t>
  </si>
  <si>
    <t>Data</t>
  </si>
  <si>
    <t>25-35</t>
  </si>
  <si>
    <t>32-42</t>
  </si>
  <si>
    <t>Secondary Incomplete - Non-tradable SME</t>
  </si>
  <si>
    <t>Secondary Complete - Non-tradable SME</t>
  </si>
  <si>
    <t>Secondary Incomplete - Tradable Large</t>
  </si>
  <si>
    <t>Secondary Complete - Tradable Large</t>
  </si>
  <si>
    <t>Figure 10.4. Chile. Labor Participation and Employment Status Transitions</t>
  </si>
  <si>
    <t>Source: Authors’ calculations based on the panel built by Carpio et al. (2011) using Chile’s Social Protection Survey for 2002, 2004 and 2009. Notes: The figure shows the share of time spend in different employment status two (left) and seven (right) years after January 2002, conditional on the employment status on January 2002. Group age: 20-55 years old on Jan 2002. Category "Others" includes inactive, unemployed and unpaid workers.</t>
  </si>
  <si>
    <t>share 2 years</t>
  </si>
  <si>
    <t>initial (each var)</t>
  </si>
  <si>
    <t>current (area)</t>
  </si>
  <si>
    <t>Employed-Formal</t>
  </si>
  <si>
    <t>Employed-Informal</t>
  </si>
  <si>
    <t>Self-Employed</t>
  </si>
  <si>
    <t>Employer</t>
  </si>
  <si>
    <t>Other</t>
  </si>
  <si>
    <t>Employed Formal</t>
  </si>
  <si>
    <t>Employed Informal</t>
  </si>
  <si>
    <t>share 7 years</t>
  </si>
  <si>
    <t>*6 means no data availabe. It was only one month in "others"</t>
  </si>
  <si>
    <t>Inactive or Unemployed</t>
  </si>
  <si>
    <t>Different sector</t>
  </si>
  <si>
    <t>Same sector</t>
  </si>
  <si>
    <t>Sector (area)</t>
  </si>
  <si>
    <t>initial (each bar)</t>
  </si>
  <si>
    <t>7 years after</t>
  </si>
  <si>
    <t>2 years after</t>
  </si>
  <si>
    <t>Women</t>
  </si>
  <si>
    <t>Men</t>
  </si>
  <si>
    <t>Source: Authors’ calculations based on the panel built by Carpio et al. (2011) using Chile’s Social Protection Survey for 2002 and 2009. Notes: The figure shows the proportion of time that individuals worked in the same sector as their sector of employment in January 2002, defining sectors at one-digit SIC codes. Adults (20-55 years old), occupied on January 2002.</t>
  </si>
  <si>
    <t>Figure 10.6. Chile. Sector Stability of Employment</t>
  </si>
  <si>
    <t xml:space="preserve">Figure 10.3. Latin America and the Caribbean. Active-Age Population Employment Status over the Lifecycle </t>
  </si>
  <si>
    <t xml:space="preserve">Source: Authors’ calculations based on Calero et al. (2017). Notes: The figure shows the shares of the active age population, that are employed (formally and informally), self-employed, employers, unemployed and inactive (outside of the labor force). Agricultural workers are excluded from the analysis.
</t>
  </si>
  <si>
    <t>Men less than secondary school</t>
  </si>
  <si>
    <t>Men secondary school or more</t>
  </si>
  <si>
    <t>Women less than secondary school</t>
  </si>
  <si>
    <t>Women secondary school or more</t>
  </si>
  <si>
    <t>Employers</t>
  </si>
  <si>
    <t>Unemployed</t>
  </si>
  <si>
    <t>Inactive</t>
  </si>
  <si>
    <t>Figure 10.5. Lifecycle Earnings Profiles</t>
  </si>
  <si>
    <t xml:space="preserve">Source: Authors’ calculations based on Calero et al. (2017).
Notes: The figure shows the lifecycle profiles of a real earnings index (net of expenses for self-employed and employers), where the index is set equal to 100 for the real average earnings in 2006 of 20 to 24 years old men with secondary or more education, employed formally. The panels on the left and right side show the profiles for men and women, respectively, while the top and bottom panels show the profiles for those with less than secondary school education and those with secondary school or more education, respectively. Agricultural workers are excluded from the analysis.
</t>
  </si>
  <si>
    <t>Self-employed</t>
  </si>
  <si>
    <t>Selfemployed</t>
  </si>
  <si>
    <t>F10.2</t>
  </si>
  <si>
    <t>F10.3</t>
  </si>
  <si>
    <t>F10.4</t>
  </si>
  <si>
    <t>F10.5</t>
  </si>
  <si>
    <t>F10.6</t>
  </si>
  <si>
    <t>These average returns to education differ across schooling levels. The returns are particularly high among workers with tertiary education. In the case of Latin America, the returns to a year of tertiary education jump to 16.6 percent. And not all post-secondary education is created equal. Returns across institutions vary significantly. Some vocational training programs have high returns, while others do very poorly when compared to general high schools. In post-secondary education, universities tend to provide higher returns than technical schools. Similarly, some fields of study pay more than others. For instance, engineering and other technical degrees are highly valued by the market, displaying high returns in Chile and Colombia. In contrast, education, social work, and design garner much lower average returns.</t>
  </si>
  <si>
    <t>However, CCTs have been less successful in keeping adolescents in schools until graduation, and in promoting learning. This may reflect that CCTs target credit constraints but does not deal with other reasons why youth drop out from secondary school. Often mentioned reasons why students drop out of public secondary schools include high opportunity costs of studying and lack of student interest in the school curriculum. Some interventions have tried to improve students’ perception of future benefits from secondary education by providing them with better, more personalized, and more accurate information about the returns to secondary school and university education, as well as funding opportunities. Results are promising, but more experimentation is needed. Scholarships and achievements awards provide direct incentives to school completion and rank first among promising interventions to promote high-school graduation. However, most of these interventions have taken place outside the region. Ser Pilo Paga, an innovative program in Colombia, constitutes an exception. The program offers incentives for students to stay in high school and graduate by providing eligible good students with college loans that are forgiven if they complete their university degree. Preliminary results show improvements in the test performance of secondary school students, particularly among students from the lowest socioeconomic backgrounds. The region needs much more innovation and experimentation in this area.</t>
  </si>
  <si>
    <t>Youth training programs (“Jovenes”) have been widely used in Latin America and the Caribbean to improve the employability of disadvantaged youth, providing participants with a combination of vocational training and an internship at a firm in the private sector. Some programs include socioemotional skills training. These programs often succeed in helping disadvantaged youth access employment in good firms, although the gains are sometimes restricted to certain sub-groups of the population. In Panama and Colombia, these programs have favorably impacted the employment opportunity, working hours, and labor income of women. In the Dominican Republic and Colombia, men have found more employment in the formal sector. In general, these programs continue to have a positive impact on the quality of employment in the medium and long term and are cost effective, as the short-term duration of the typical program keep the costs at bay.</t>
  </si>
  <si>
    <t>The first three bars show the gaps in PRIDI scores between the richest and poorest quintiles. The differences in language development and cognition are large, while the variation is smaller in socioemotional development. Similar results were found using the Peabody Picture Vocabulary Test in Chile, Colombia, Ecuador, Nicaragua, and Peru (Schady, et al., 2014).</t>
  </si>
  <si>
    <t>In adulthood, the World Bank's Skills Towards Employability and Productivity Program (STEP) measures skills in low- and middle-income countries, including Colombia and Bolivia, and finds socioeconomic gradients among adults in academic and socioemotional skills as well as wages. Individuals with more educated parents reach adulthood with literacy and noncognitive skills (measured as intellectual curiosity and decision-making ability) that are 0.4-0.6 standard deviations higher than their counterparts with less educated parents.  Because both cognitive and noncognitive skills affect wages (Heckman, Stixrud and Urzua, 2006), it is no surprise that these gradients in skills translate into gradients in wages: a person whose parents completed secondary education enjoys wages that are 33 percent higher than a person with the same level of education but whose parents did not complete primary education. Parents with low skills beget children with low skills and wages. Can differential investments compensate children born to poor households?</t>
  </si>
  <si>
    <t xml:space="preserve">Latin American parents and children seem to allocate a similar number of hours to skills development as families in more developed countries. However, is it possible that the quality of those investments is low? Three examples suggest that is the case. One measure of the quality of interactions at home is given by the prevalence of harsh punishment or child abuse. In Belize, Bolivia, Jamaica, and Saint Lucia, the incidence (measured as once in a lifetime) of harsh corporal punishment is 40 percent or more, and in Colombia, Peru, Suriname, and Trinidad and Tobago, it is close to or above 30 percent (Berlinski and Schady, 2015). By comparison,  in the United States the incidence of severe corporal punishment is about 5 percent per year (Landford et al., 2010).  </t>
  </si>
  <si>
    <t xml:space="preserve">The broad regional patterns of schooling premiums and sheepskin effects, however, mask important variations across countries. Country-by-country analysis suggests that in Bolivia, Chile, Dominican Republic, and Ecuador the secondary education premium is quite low. Bolivia is an outlier because even the premium for tertiary completion is not high. Dropping out of high school is more heavily penalized in Argentina, Chile, Colombia, Costa Rica, Ecuador, Guatemala, Honduras, El Salvador, Paraguay, and Venezuela. At the country level, the college graduation premium becomes more apparent. It is particularly evident in Argentina, Brazil, Chile, Colombia, Dominican Republic, Guatemala, Paraguay, El Salvador, and Venezuela. </t>
  </si>
  <si>
    <t xml:space="preserve">Although average returns to post-secondary education are high, not all post-secondary education is created equal. Returns across institutions vary significantly. Some vocational training programs have high returns, while others do very poorly when compared to general high schools. In post-secondary education, universities tend to provide higher returns than technical schools (Gonzalez-Velosa, Rucci, Sarzosa, and Urzúa, 2015). Similarly, some fields of study pay far more than others (Kirkeboen, Leuven, and Mogstad, forthcoming). Gonzalez-Velosa et al. (2015) show that engineering and other technical degrees are highly valued by the market, displaying high returns in Chile and Colombia. In contrast, education, social work, and design garner much lower average returns. </t>
  </si>
  <si>
    <t xml:space="preserve">Even within these broadly defined fields of study, the returns to education vary considerably across institutions and, most importantly, across students. The best performing graduates in any of the low-paying areas of study in Chile and Colombia do as well, if not better, than the worst performing students from engineering programs (Gonzalez-Velosa, Rucci, Sarzosa and Urzúa, 2015). However, some of the poor performing graduates in low-paying fields may obtain negative financial returns from their investments. Simply put, their education may not have been worth the time and money invested, raising an issue that has received support in a recent study of the Chilean post-secondary education market (Rodriguez, Urzúa and Reyes, forthcoming). Thus, while average returns remain high, the differences across fields, institutions and students need to be taken into account when making schooling decisions. In this context, having good information about the alternatives becomes crucial. Chapter 9 discusses in detail the importance of information when making schooling decisions and the evidence of programs that try to improve student choices regarding post-secondary education. </t>
  </si>
  <si>
    <t>The quality of new schools and programs created in the 2000s to meet increasing demand has raised considerable concern among policymakers throughout the region. Colombian data show that higher education graduates from new programs and universities score lower on exit exams and command lower wages in their first job than graduates from traditional, well-established programs. Is this because the new programs and universities are of lower quality or because the students accessing those programs are less prepared? New research by Camacho, Messina and Uribe (2016) shows that this gap is fundamentally driven by the lower preparedness of the students accessing the new programs and universities. The value added of new higher education programs, measured as the difference between a student’s test scores at entry and at exit, varies little from the value added of traditional programs. At least in the case of Colombia, the student effect dominates the school effect. Of course, not all schools are the same. The value added of high- and low-performing institutions and programs varies widely. However, no evidence exists that this institutional gap increased during the 2000s. More research is needed to determine whether the conclusions reached for Colombia can be extended to other countries.</t>
  </si>
  <si>
    <t xml:space="preserve">In terms of socioemotional skills, the answer is not nearly as definitive as for reading. The market does not reward all socioemotional skills equally, and the associated wage premium varies much more across countries. On average, across the three Latin American countries, extraversion and emotional stability are positively associated with higher wages (Figure 4.7, Panel B). However, the premium of one standard deviation, at around 3 percent, is much lower than that of cognitive skills. Interestingly, in the STEP countries outside Latin America more extraversion is not considered an asset. Instead, conscientiousness, openness to experience, emotional stability, agreeableness, and decision-making abilities command higher wages in other countries. But even country groupings are deceiving. Within Latin America, emotional stability is highly valued among employers in Bolivia and El Salvador, where extraversion and conscientiousness also carry a high premium. In Colombia, instead, the only socioemotional skill rewarded with higher wages is decision-making skills (Table 4.2).  </t>
  </si>
  <si>
    <t xml:space="preserve">Some socioemotional skills affect other labor market outcomes beyond wages. Workers with more developed socioemotional skills are more likely to be employed in the formal economy (Table 4.1). Conscientiousness and emotional stability are associated with better jobs, as approximated by higher formality, in Bolivia and El Salvador, while in Colombia openness, emotional stability, and grit appear more important. However, the relationship between employment or unemployment and socioemotional skills is weak. Conscientiousness in Colombia and decision-making in Bolivia are negatively associated with unemployment, but other skills show modest positive associations. Conscientiousness is positively associated with employment in both Colombia and El Salvador; however, while emotional stability is favored by employers in Colombia, grit is more appreciated in El Salvador. Surprisingly, a more developed ability for decision-making is negatively associated with employment in Colombia and El Salvador. </t>
  </si>
  <si>
    <t xml:space="preserve">Interestingly, at the heart of Latin America’s technological problems is the proliferation of small, unproductive firms in the region’s economies. Figure 4.9 shows the proportion of workers using a computer at work by firm size for Colombia, Bolivia, Chile, and developed countries. As expected, Latin American countries lag behind in the share of workers using a computer at work: the gap with developed countries runs from 20 percentage points in Chile to 30 percentage points in Bolivia. However, the gap is much larger for small than for large firms. Firms with more than 50 employees in Latin America incorporate computers in the workplace nearly as quickly as large firms in advanced economies. In Bolivia, for instance, the gap is less than 10 percentage points among large firms. However, the gap among small- and medium-sized firms is very large. Only 35 percent of the workforce employed by small- and medium-sized firms in Bolivia uses a computer, as opposed to almost 65 percent in advanced countries. </t>
  </si>
  <si>
    <t>The figure also shows that larger economies tend to account for a higher share of evaluations. This can be expected. Because the GDP of Mexico is much larger than that of Guatemala, we should expect that the former country will account for a larger share of evaluations. This motivates the dotted line in the figure which shows the expected share of evaluations based on the GDP level. Consequently, countries that are above the dotted line have a share of evaluations higher than what should be expected based on the size of their economy. This analysis suggests, on one hand, that Chile, Colombia, Mexico, and Peru have a higher share of evaluations than it is expected. On the other hand, Argentina, Brazil, Ecuador, Guatemala, and Venezuela have a lower share of evaluations than it is expected. This means that some countries in our region are leading the way in terms of the production of evidence for skills policies while others are lagging behind.</t>
  </si>
  <si>
    <t>Most enrollment in daycare facilities aims to help families balance work with childcare needs and not necessarily to serve the needs of children at risk of developmental delay. In Latin America and the Caribbean, daycare enrollment has soared in the past 10 years (Berlinski and Schady, 2015). For example, in Brazil and Chile, the proportion of children in daycare doubled, and in Ecuador it jumped six-fold. In Brazil, Chile, Colombia, and Ecuador between one-fifth and one-third of children between the ages of 0 and 3 are in daycare. Public daycare is more prevalent among more educated women. The data on center quality are patchy but the quality of services tends to be poor (Berlinski and Schady, 2015). Sadly, low-quality services do not lead to gains in childhood development (e.g., Bernal et al., 2014) and may even harm them (e.g., Baker et al., 2008).</t>
  </si>
  <si>
    <t xml:space="preserve">In numerous surveys, including the Demographic and Health Survey (DHS) and the Multiple Indicator Cluster Surveys (MICS), mothers are asked how they discipline their children, including whether they spank or hit them, or whether they read to them. Based on these data, the prevalence of harsh punishment is about 40 percent or more in Belize, Bolivia, Jamaica, and Saint Lucia and about 30 percent or more in Colombia, Peru, Suriname, and Trinidad and Tobago (Berlinski and Schady, 2015). In most countries, harsh punishment varies significantly according to the education level of the mother. In particular, in Bolivia and Peru, children whose mothers did not complete primary school are twice as likely to face harsh punishment compared to those whose mothers completed secondary or more. Similarly significant socioeconomic gradients exist in the region in the frequency of reading (Berlinski and Schady, 2015). </t>
  </si>
  <si>
    <t>Table 6.2 analyzes the impact on cognitive outcomes as measured by valid psychometric tests[1] at the end of the intervention or within a year from the end of the intervention. The largest average effects are for the Jamaica Curriculum. These estimates mask substantial variation. For example, in the Jamaica Curriculum, the gains in the seminal Kingston intervention with 129 children (Grantham-McGregor et al., 1991) are about three times larger than in the Colombian experiment with 1,420 children (Attanasio et al., 2014). Still, it is important to recognize that implementation costs of the Colombian intervention are expected to be considerably lower compared to the seminal Kingston intervention.</t>
  </si>
  <si>
    <t>One of the biggest questions relates to the relative costs of different parenting programs (see Table 6.4).[1] This analysis limits itself to estimating the financial costs of implementation. That is, the reported costs do not factor in the opportunity costs to parents for participating in these programs or the distortionary costs of taxation to raise public funds to finance implementation. Costs are computed for Colombia prices and are expressed in 2015 dollars. Results indicate that human resources are the key driver of costs.</t>
  </si>
  <si>
    <t xml:space="preserve">The annual total cost of a home visiting program ranges from $334 per child per year for Parents as Teachers to $921 for HIPPY. The total cost of parenting programs varies largely according to the prescribed number of sessions and the number of facilitators per child/parent. Not surprisingly, the more expensive programs are the integrated programs, as they include a center-based component that not only requires an infrastructure outlay, but also involves more contact hours between children and providers. The full Early Head Start program implemented in Colombia would cost about $9,100 per child per year. </t>
  </si>
  <si>
    <t>Results from all evaluations indicated a positive overall effect of 6 learning points from this intervention. The evidence, presented in Table 7.4, shows that effects vary, ranging from a negative effect of 1 learning point in an evaluation in the United States to a positive effect of 18 learning points in Bolivia. Though this evidence may suggest that effects are larger in less developed countries, results from other studies do not support this interpretation. In particular, an evaluation in Kenya found an effect of only 3 learning points and two additional evaluations in the United States found effects ranging from 3 to 14 learning points. In terms of costs, the analysis estimates that reducing class size from 25 to 20 students in Colombia increases spending by $281 per student per year. Combining the estimates of effects and costs suggests that the cost per point for this policy would be $47 dollars―well above $15; thus, this intervention is considered to have a high cost per point.</t>
  </si>
  <si>
    <t>The evidence from three evaluations implemented in Latin America and the Caribbean indicates that this intervention generated an overall increase in learning of about 4 learning points. An evaluation in Chile documented a positive effect of 1 learning point, while evaluations in Uruguay and Colombia documented positive effects of 5 and 8 learning points, respectively. However, costs for this intervention are massive. Implementing the analyzed intervention in Colombia would require increasing spending by $842 per student per year. Combining these results, the estimated cost per point for this intervention would be $210 ―a staggering amount. However, extending the school day could bring other benefits to families including freeing up parents’ time that could be devoted to labor market activities and providing a safe environment for children. Consequently, an overall assessment of this intervention should factor in the monetary value of these additional benefits. However, from the perspective of skills development, extending the school day is not a cost-effective policy.</t>
  </si>
  <si>
    <t>The average share of students attending an extended-day school increased from 4 percent to 10 percent in Latin America and the Caribbean between 1999 and 2014. Unlike the case of reducing class size, several countries in the region have implemented explicit policies to extend the school day. The leading case is Chile, which introduced a reform that increased the share of children attending an extended-day school from about 50 percent to 87 percent over a 15-year period. Colombia and Uruguay have introduced reforms in this area and many other countries are starting to follow suit. However, given their high price, these reforms should be analyzed in depth to ensure they do not crowd out other more cost-effective interventions.</t>
  </si>
  <si>
    <t>In many countries, access expanded for lower-income groups that traditionally had been excluded from the system. This gain in equity was especially large in countries such as Argentina and Chile, where the enrollment of individuals aged 18–23 from the lowest quintiles rose from 25 and 20 percent in the 1990s to 62 and 66 percent in 2014 respectively (Figure 9.3). In Colombia, access for low-income students also increased significantly, reaching 48 percent. Despite these equity gains, large gaps in access by socioeconomic status are still present. For instance, in Brazil, Costa Rica, and particularly Honduras, access to higher education among those in the fifth quintile is very high, with enrollment rates around 70 percent, whereas enrollment rates among low-income students is 30 percent or less (Figure 9.3)</t>
  </si>
  <si>
    <t xml:space="preserve">Latin America and the Caribbean has a diverse array of financing models for higher education. Some countries rely mostly on public sources and provide free tuition (like Argentina), while others—such as Colombia and Peru—rely more on private funds and thus, higher entry fees (see Arias Ortiz, Elacqua, and González, 2017). Irrespective of the type of financing or allocation system, the expansion in higher education resulted from private and public efforts. Except for Peru, the share of public spending in higher education as a percentage of GDP increased over the past decade (Figure 9.4). In Argentina and Honduras, this share is currently on a par with that of the United States and other member countries of the Organisation for Economic Co-operation and Development (OECD).  </t>
  </si>
  <si>
    <t>Another force driving the surge in higher education enrollment has been the growth and diversification in supply. The number of institutions and programs has increased substantially. Over the past decade, the number of institutions in Mexico and Brazil increased by 50 percent and almost 100 percent, respectively (Ferreyra et al. 2016).  This increase was largely due to a surge in the number of private providers. Against a backdrop of growing demand, many governments in the region made regulatory adjustments to facilitate the introduction of private institutions in the market. Chile, for instance, authorized the establishment of non-profit institutions in the 1980s to meet the burgeoning demand for higher education (Brunner, 2009). In Brazil, the for-profit private sector expanded greatly, and was able to cater to disadvantaged students who received subsidized loans. It is estimated that over one-third of college students in Brazil are enrolled in a for-profit university.[1] In Peru, where the sector has also expanded quickly since the mid-1990s, about 40 percent of university students are in for-profit institutions.[2]  As a result, the share of enrollment in private institutions has expanded in many countries (Figure 9.5). Interestingly, in some countries, private institutions have helped absorb not only high-income students but also students from more disadvantaged backgrounds. In Chile, the expansion of private enrollment attracted a substantial share of individuals from the most vulnerable families. Something similar occurred in Brazil. In Colombia, Costa Rica, and Peru, one out of three higher education students from the lowest income quintiles is enrolled in a private institution (Figure 9.6). Argentina displays the lowest enrollment in private higher education institutions, reflecting the dominance of the public system in this country</t>
  </si>
  <si>
    <t>The diversification in supply of higher education is also reflected in the number and types of degrees. In Colombia, for instance, the number of programs almost doubled, from 3,600 in 2001 to 6,279 in 2011 (Camacho et al. 2011). Importantly, technical and technological (TT) programs expanded greatly. Enrollment in these programs increased from 435,000 to 3 million students between 2000 and 2013 in Argentina, Brazil, Chile, Colombia, and Mexico (Ferreyra et al. 2016). Currently, one out of five higher education students in Latin America and the Caribbean is enrolled in a technical or technological program (OECD, CAF, and ECLAC, 2015).</t>
  </si>
  <si>
    <t xml:space="preserve">Data from Colombia also point to incoming students’ lack of academic preparedness as an important issue that may affect quality. Using a rich administrative dataset and controlling for self-selection, Camacho, Messina, and Uribe (2016) study the expansion of higher education in the 2000s and find that, while the quality of programs remained stable, students have on average lower ability levels. Moreover, many of the new programs sprung up in areas of study that traditionally have had low returns. In Peru, both the quality of institutions and students’ academic standards have declined.  Since the higher education market was deregulated in 1997, the share of low-quality institutions has grown and the probability of being underemployed for higher education graduates has increased (Lavado, Martinez, and Yamada, 2014). The Peruvian Government has recently introduced a comprehensive reform to assess this issue. </t>
  </si>
  <si>
    <t>For instance, programs with both very high and very low profitability coexist in Chile and Colombia (Gonzalez-Velosa et al., 2015). While net economic returns[1] are positive on average, there is major dispersions across both institutions and careers. Of great concern are the number of students who may be losing out in both countries. In Colombia, some 30 percent of university graduates and 59 percent of graduates from post-secondary technical and technological programs are experiencing negative net returns on their higher education. In Chile, 22 percent of university graduates and 51 percent of graduates of technological degrees fare similar circumstances. Since low-income students are more likely to enroll in technological education programs, the equity implications are concerning. A study using an alternative methodology for Chile yields similar results (Reyes, Rodriguez, and Urzúa 2015)</t>
  </si>
  <si>
    <t xml:space="preserve">Unfortunately, both types of scholarships can lead to unintended consequences. Needs-based scholarships may adversely affect outcomes if they are offered to students who are not adequately prepared for academic studies. This is the case of the Pell Grant in the United States, whose recipients have abysmally low graduation rates: only 45 percent of all recipients complete their degree within six years of entering the program (Brookings Institution, 2013). Academic-based scholarships can also have unintended consequences on equity, widening the gap in college attendance rates by race and socioeconomic status. This potential negative effect is particularly important in Latin America and the Caribbean where the quality of secondary schools varies widely.  Thus, the combination of needs-based and academic selection criteria adopted by some programs in Chile, Colombia, and Peru can prove beneficial. </t>
  </si>
  <si>
    <t>Aside from increasing access, scholarships can also be effective in strategically supporting higher education programs that are of special relevance for development goals. For example, in Argentina, Brazil, Colombia, and Peru, this mechanism has been used to attract more students to priority careers, such as science, math, and technology (Salmi and Hauptman, 2006).</t>
  </si>
  <si>
    <t xml:space="preserve">Internationally, student loans consistently have a positive impact on enrollment and Chile and Colombia are no exception.[1] Clearly, students prefer scholarships over loans to avoid accumulating debt. There is some evidence of a “psychological response” to educational debt that can influence career choices, as students steer away from lower-earning professions that would make it harder to repay debt (Scott-Clayton, 2015; Field, 2009).[2] However, three arguments can be made in favor of subsidized loans over government-provided scholarships.  The first can be justified on equity grounds, by recognizing that higher education has both social and private returns. Students obtain significant private benefits while society at large gains from better educated, productive individuals; thus, cost-sharing between the individual and the government is warranted (Chapman, 2016). </t>
  </si>
  <si>
    <t>Unfortunately, there is a disconnect between higher education programs and the skills needs of employees. As mentioned, studies point to quality and relevance issues as reasons why so many students derive net negative returns from their higher education investments. More specific evidence shows a mismatch between the type of degrees provided and those in demand by the productive sector. For instance, Colombia faces a major deficit of technologists with a 3-year postsecondary degree</t>
  </si>
  <si>
    <t>The direct costs of these programs are usually low because they do not last long and are aimed at helping individuals find a job. Cost-benefit analyses for Colombia and the Dominican Republic confirm their positive total benefits net of costs (Attanasio et al., 2015; Kugler et al., 2015; Card et al, 2011).</t>
  </si>
  <si>
    <t xml:space="preserve">Randomized controlled trials (RCT) have been performed and analyzed in four programs in the region: Entra21 in Argentina, three years after training; Jóvenes en Acción in Colombia, ten years after; Juventud y Empleo in the Dominican Republic, six years after; and Projoven in Peru, three years after. In general, these programs continue to have a positive impact on the quality of employment in the medium and long term (Alzua et al., 2015; Attanasio et al., 2015; Kugler et al., 2015; Ibarraran et al., 2015; Diaz and Rosas-Shady, 2016). </t>
  </si>
  <si>
    <t xml:space="preserve">The amount of resources channeled to NTIs varies among countries. In some countries, the investments are substantial. For example, in Colombia, Jamaica, and Panama, investment levels are above 0.3 percent of GDP. In Chile, El Salvador, and Honduras, the numbers range from 0.1 percent to 0.2 percent of GDP, while in other countries such as Ecuador, Paraguay, the Dominican Republic, and Uruguay, the allocated resources are below the regional average of 0.1 percent of GDP (Huneeus et al., 2013). </t>
  </si>
  <si>
    <t xml:space="preserve">Even though these investments are sizable, their effectiveness could be improved. Nowadays, training is provided to only a small fraction of employed workers; less than 15 percent of employed workers have access to training from NTIs―Colombia is the exception at 24 percent. Research from a survey of formal firms in five countries (The Bahamas, Colombia, Honduras, Panama, and Uruguay) indicates that no more than 24 percent of firms use public resources to finance their training initiatives, and that most of these resources go to large firms. Thus, there is ample room to improve the allocation of the investments made by these institutes.[1] In the future, NTIs could invest in forecasting skills needs to better understand where to invest their resources, as well as to increase and improve training to employed individuals. Additionally, NTIs need to invest in their management and administrative processes, including monitoring and evaluation systems, and the design of incentives for competition and for firms’ involvement in allocating resources (Bassi et al., 2014; Gonzalez-Velosa et al., 2016; Flores-Lima et al., 2014). </t>
  </si>
  <si>
    <t>Mention 31</t>
  </si>
  <si>
    <t>Mention 32</t>
  </si>
  <si>
    <t>Mention 33</t>
  </si>
  <si>
    <t>Mention 34</t>
  </si>
  <si>
    <t>Mention 35</t>
  </si>
  <si>
    <t>Mention 36</t>
  </si>
  <si>
    <t>Mention 37</t>
  </si>
  <si>
    <t>Mention 38</t>
  </si>
  <si>
    <t>Mention 39</t>
  </si>
  <si>
    <t>Mention 40</t>
  </si>
  <si>
    <t>Mention 41</t>
  </si>
  <si>
    <t>Mention 42</t>
  </si>
  <si>
    <t>Mention 43</t>
  </si>
  <si>
    <t>Mention 44</t>
  </si>
  <si>
    <t>Mention 45</t>
  </si>
  <si>
    <t>Mention 46</t>
  </si>
  <si>
    <t>Mention 47</t>
  </si>
  <si>
    <t>Mention 48</t>
  </si>
  <si>
    <t>Mention 49</t>
  </si>
  <si>
    <t>Mention 50</t>
  </si>
  <si>
    <t>Mention 51</t>
  </si>
  <si>
    <t>Mention 52</t>
  </si>
  <si>
    <t>A second channel for a worker to learn new skills in the workplace is formal training conducted by the firm. Companies have incentives to train workers in tasks specific to the production of their goods or services that cannot be used in other firms (Becker, 1964). However, firms have incentives to provide general training too. In Argentina, Chile, and Brazil, 60 percent of firms hire the best applicant they can and then provide extensive training in areas where the mismatch between demand and supply of skills is widest (Bassi et al., 2012).</t>
  </si>
  <si>
    <t xml:space="preserve">Certainly, supply changes have been an important force behind recent changes in the schooling premium in Latin America and the Caribbean, but they are not the sole factor (Messina and Silva, forthcoming). Fernández and Messina (forthcoming) study the supply effects of education and experience in the schooling and experience premiums of Argentina, Brazil and Chile. They consider two types of workers: skilled and unskilled. Skilled workers are college graduates with varying labor market experience levels, while unskilled workers combine high school graduates with high school dropouts. Within each group, workers with much and little experience can be used for production indistinctively, but the more experienced workers are more productive.[1] The model evaluates how changes in the supply of college graduates and highly experienced workers translate into changes in the skill premiums. </t>
  </si>
  <si>
    <t xml:space="preserve">Unskilled intensive sectors among non-tradables grew fast during the 2000s (Table 4.1). Most countries, for example, enjoyed a construction boom during the period, and construction is intensive in low-skill employment. Other low-skill intensive sectors that grew fast include hotels and restaurants (Argentina, Brazil and Peru), wholesale and retail (Chile), and land transportation (Brazil and Peru). However, some non-tradable skill-intensive sectors, in particular business services, also grew fast during the period. </t>
  </si>
  <si>
    <t xml:space="preserve">Non-market forces may also affect the schooling premium. During the 2000s, the minimum wage grew strongly in Argentina, Brazil, Chile, Ecuador, Honduras and Uruguay, and to a lesser extent in Guatemala, Nicaragua and Panama (Messina and Silva, forthcoming). Minimum wage hikes may push up the wages of low skill jobs. In Argentina and Brazil, the minimum wage played a role in the decline of the skill premium, but supply forces remain important (Fernández and Messina, 2016). Moreover, not all countries raised the minimum wage during the 2000s while the slide of the schooling premium was widespread across the region. Hence, while non-market forces may have been important in reducing the schooling premium in select countries, they are hardly the sole forces behind this regional trend. </t>
  </si>
  <si>
    <t>If the demand for employees with the right socioemotional abilities in Latin America is as high as employers’ surveys suggest, why aren’t firms willing to pay a higher premium to attract the most able workers? One reason may be that the socioemotional skills and personality traits measured in STEP do not coincide with those sought by employers. In employers’ surveys, managers from Argentina, Brazil, and Chile showed high demand for employees with commitment and responsiveness in the workplace, good customer relations, and the ability to work in teams (Bassi et al., 2013). To be sure, these socioemotional abilities are correlated with the personality traits measured in STEP, but they are not the same. Clearly, it is important to measure the right set of socioemotional skills to guide policy recommendations (see Chapter 8).</t>
  </si>
  <si>
    <t>And, which countries are leading the way in terms of production of skill-related evaluations in our region? Figure 5.8 presents results to answer this question. In this figure, each point corresponds to a country, and for clarity, only the ten largest economies in our region are included in this analysis. Note that the vertical axis shows the share of evaluations implemented in each country and the horizontal axis shows the total Gross Domestic Product adjusted for purchasing power parity. The figure shows that the evaluations are not equally distributed across countries. For example, while Mexico accounts for 31% of experimental evaluations, Argentina, Guatemala, and  Venezuela account for 1% each of them.</t>
  </si>
  <si>
    <t>Do these programs work? During the 1990s, the provision of pre-primary education in public schools in Argentina and Uruguay, mostly, expanded dramatically thanks largely to the construction of preschool rooms in existing primary schools. In Argentina, between 1991 and 2001, average enrollment for children between 3 and 5 years of age increased from 49 percent to 64 percent. In Uruguay, between 1995 and 2004, enrollment in preprimary education grew by 76 percent. In both countries, the newly enrolled children attended school for two to four hours a day during the normal school year (about 180 days) in a structured school/classroom environment.</t>
  </si>
  <si>
    <t xml:space="preserve">Berlinski et al. (2008, 2009) look at how participation in pre-primary education affects learning and behavior. As the decision to build new preschool rooms was compensatory (i.e., more rooms were built where less children were going to preschool), the studies use statistical techniques to tease out causal effects from the intervention. In Argentina, children who participated in pre-primary education scored better on standardized tests in math and Spanish taken in the third grade as well as on measures of classroom behavior reported by teachers. In Uruguay, attending a pre-primary school program reduced school dropout rates and increased the years of completed education. At age 15, those who attended pre-primary education had completed 0.8 years of education more than those who did not attend. </t>
  </si>
  <si>
    <t>While access increased in all countries, attainment still varies widely (Figure 9.1). Whereas gross enrollment in Chile and Argentina is close to 60 percent, it is less than 25 percent in countries like Honduras. Even in large countries such as Brazil and Mexico, only about 1 in 3 individuals between ages 18 and 23 attends a formal higher education institution</t>
  </si>
  <si>
    <t xml:space="preserve">Nonetheless, the coverage of these systems in many countries remains rather limited. In Colombia, for instance, only 13 percent of higher education institutions were accredited in 2016 according to the National Accreditation Council of Colombia, even though the system was instituted in 1992. Only 2 percent of the 5,705 private institutions in Mexico have been accredited. These low levels likely reflect the voluntary nature of accreditation and weak incentives. Only in Argentina is accreditation compulsory as discussed earlier, public resources are rarely allocated based on accreditation or other quality performance measures. For instance, despite the rapid expansion of private providers and the low levels of accreditation, loan eligibility is, with few exceptions, not used as an incentive for quality accreditation in the region. </t>
  </si>
  <si>
    <t>Countries like Argentina (province of Cordoba), Brazil, Colombia, Costa Rica, Chile, Peru, and Mexico, have programs or laws that regulate apprenticeship-type experiences. However, these experiences do not share the main characteristics present in more established apprenticeship systems (Fazio et al, 2016). Impact evaluations of apprenticeship-type programs in Argentina and Brazil show positive impacts (Corseuil et al, 2012; Berniell and de la Mata, 2017).</t>
  </si>
  <si>
    <t>When individuals enter the labor market as adults, a lifetime of deficient skills accumulation can take a toll on their productivity in the workplace. Results from the 2015 OECD’s Programme for the International Assessment of Adult Competencies (PIACC) reveal the very low level of skills among adults in Chile, the only Latin American country that participated in this round of the program (and the country in the region that best performs in PISA). Only about 1.6 percent of adults in Chile achieve the highest levels of literacy proficiency, compared to around 10.6 percent of adults on average across OECD countries. Adults that lack this level of proficiency cannot search and integrate information across multiple, dense texts or synthesize similar and contrasting ideas or points of view. Numeracy skills are similarly poor; almost 62 percent of adults scored at or below Level 1 in numeracy (39 percentage points higher than the OECD average of 22.7 percent). That means they cannot perform tasks that require two or more steps involving the calculation of whole numbers, decimals, percentages, and fractions, for example</t>
  </si>
  <si>
    <t>These average returns to education differ across schooling levels. The returns are particularly high among workers with tertiary education. In the case of Latin America, the returns to a year of tertiary education jump to 16.6 percent. And not all post-secondary education is created equal. Returns across institutions vary significantly. Some vocational training programs have high returns, while others do very poorly when compared to general high schools. In post-secondary education, universities tend to provide higher returns than technical schools. Similarly, some fields of study pay more than others. For instance, engineering and other technical degrees are highly valued by the market, displaying high returns in Chile and Colombia. In contrast, education, social work, and design garner much lower average returns</t>
  </si>
  <si>
    <t>Assessing the quality of the training received on the job in Latin America and the Caribbean is complicated, because quality is often unobservable. The best signal of workers’ skills development in the labor market is the evolution of their wages, and such evolution differs depending on the type of employer. Workers employed by larger firms in the tradable sector, “good firms”, see their wages improve rapidly compared with workers employed in smaller firms engaged in non-tradable activities (“bad firms”). Over a 7 year period, workers in Chile with completed secondary education see their wages improve by almost 20% if they are employed in good firms, against 6 % if they are employed in a small/medium size enterprise that operates in a non-tradable sector. The wage gain of the high school graduate employed in a good firm is even larger than that of a college graduate employed by a bad firm, although she does not catch up completely over the 7 years. So, it is not only that the type of employer matters, it is also good employers may help closing the skill gaps workers bring to the labor market</t>
  </si>
  <si>
    <t>In 2015, ten Latin American countries participated in the Programme for International Student Assessment (PISA). Amongst the 72 participating economies, all Latin American and Caribbean countries ranked at the bottom of the proficiency distribution: Chile, Latin America’s best PISA performer, ranked 48 in math, 42 in reading, and 44 in science, while the Dominican Republic was the worst performing country of all those that participated. Moreover, more than 63 percent of the 15-year-old Latin Americans that participated in PISA are unable to conduct more than the simplest math tasks for that grade and are likely to struggle using basic math concepts throughout their lives</t>
  </si>
  <si>
    <t xml:space="preserve">The first three bars show the gaps in PRIDI scores between the richest and poorest quintiles. The differences in language development and cognition are large, while the variation is smaller in socioemotional development. Similar results were found using the Peabody Picture Vocabulary Test in Chile, Colombia, Ecuador, Nicaragua, and Peru </t>
  </si>
  <si>
    <t xml:space="preserve">Data from the World Bank Enterprise Survey suggests that a large proportion of firms in the region offer some form of training to their employees (Figure 3.10, Panel A). Note, however, that this survey does not capture data from very small firms which, in the region, employ a substantial portion of the labor force (Busso, Madrigal, and Pages, 2013). Except for in Chile and Ecuador, firms themselves in most cases fund this training. Whether or not this is economically efficient depends on the nature of training: the more general the training (i.e. the more transferable those skills are to other firms and occupations), the less likely it is that firms themselves would provide that training. Assuming some positive externality in the form of peer effects or social benefits, it would make sense for the government to subsidize firm training. </t>
  </si>
  <si>
    <t>The broad regional patterns of schooling premiums and sheepskin effects, however, mask important variations across countries. Country-by-country analysis suggests that in Bolivia, Chile, Dominican Republic, and Ecuador the secondary education premium is quite low. Bolivia is an outlier because even the premium for tertiary completion is not high. Dropping out of high school is more heavily penalized in Argentina, Chile, Colombia, Costa Rica, Ecuador, Guatemala, Honduras, El Salvador, Paraguay, and Venezuela. At the country level, the college graduation premium becomes more apparent. It is particularly evident in Argentina, Brazil, Chile, Colombia, Dominican Republic, Guatemala, Paraguay, El Salvador, and Venezuela</t>
  </si>
  <si>
    <t>Although average returns to post-secondary education are high, not all post-secondary education is created equal. Returns across institutions vary significantly. Some vocational training programs have high returns, while others do very poorly when compared to general high schools. In post-secondary education, universities tend to provide higher returns than technical schools (Gonzalez-Velosa, Rucci, Sarzosa, and Urzúa, 2015). Similarly, some fields of study pay far more than others (Kirkeboen, Leuven, and Mogstad, forthcoming). Gonzalez-Velosa et al. (2015) show that engineering and other technical degrees are highly valued by the market, displaying high returns in Chile and Colombia. In contrast, education, social work, and design garner much lower average returns</t>
  </si>
  <si>
    <t>Even within these broadly defined fields of study, the returns to education vary considerably across institutions and, most importantly, across students. The best performing graduates in any of the low-paying areas of study in Chile and Colombia do as well, if not better, than the worst performing students from engineering programs (Gonzalez-Velosa, Rucci, Sarzosa and Urzúa, 2015). However, some of the poor performing graduates in low-paying fields may obtain negative financial returns from their investments. Simply put, their education may not have been worth the time and money invested, raising an issue that has received support in a recent study of the Chilean post-secondary education market (Rodriguez, Urzúa and Reyes, forthcoming). Thus, while average returns remain high, the differences across fields, institutions and students need to be taken into account when making schooling decisions. In this context, having good information about the alternatives becomes crucial. Chapter 9 discusses in detail the importance of information when making schooling decisions and the evidence of programs that try to improve student choices regarding post-secondary education</t>
  </si>
  <si>
    <t>Certainly, supply changes have been an important force behind recent changes in the schooling premium in Latin America and the Caribbean, but they are not the sole factor (Messina and Silva, forthcoming). Fernández and Messina (forthcoming) study the supply effects of education and experience in the schooling and experience premiums of Argentina, Brazil and Chile. They consider two types of workers: skilled and unskilled. Skilled workers are college graduates with varying labor market experience levels, while unskilled workers combine high school graduates with high school dropouts. Within each group, workers with much and little experience can be used for production indistinctively, but the more experienced workers are more productive</t>
  </si>
  <si>
    <t>Unskilled intensive sectors among non-tradables grew fast during the 2000s (Table 4.1). Most countries, for example, enjoyed a construction boom during the period, and construction is intensive in low-skill employment. Other low-skill intensive sectors that grew fast include hotels and restaurants (Argentina, Brazil and Peru), wholesale and retail (Chile), and land transportation (Brazil and Peru). However, some non-tradable skill-intensive sectors, in particular business services, also grew fast during the period</t>
  </si>
  <si>
    <t>Non-market forces may also affect the schooling premium. During the 2000s, the minimum wage grew strongly in Argentina, Brazil, Chile, Ecuador, Honduras and Uruguay, and to a lesser extent in Guatemala, Nicaragua and Panama (Messina and Silva, forthcoming). Minimum wage hikes may push up the wages of low skill jobs. In Argentina and Brazil, the minimum wage played a role in the decline of the skill premium, but supply forces remain important (Fernández and Messina, 2016). Moreover, not all countries raised the minimum wage during the 2000s while the slide of the schooling premium was widespread across the region. Hence, while non-market forces may have been important in reducing the schooling premium in select countries, they are hardly the sole forces behind this regional trend</t>
  </si>
  <si>
    <t>Direct measures of skills in the adult population are unfortunately scarce in Latin America. International efforts to measure skills, such as the survey for adult skills (PIACC) carried out in OECD countries, at the moment only include Chile, although Ecuador, Mexico, and Peru will be participating in the next round. A notable exception is the World Bank’s STEP skills measurement survey (STEP), which includes measures of skills in Bolivia, Colombia, El Salvador and a few other developing countries outside Latin America and the Caribbean</t>
  </si>
  <si>
    <t>If the demand for employees with the right socioemotional abilities in Latin America is as high as employers’ surveys suggest, why aren’t firms willing to pay a higher premium to attract the most able workers? One reason may be that the socioemotional skills and personality traits measured in STEP do not coincide with those sought by employers. In employers’ surveys, managers from Argentina, Brazil, and Chile showed high demand for employees with commitment and responsiveness in the workplace, good customer relations, and the ability to work in teams (Bassi et al., 2013). To be sure, these socioemotional abilities are correlated with the personality traits measured in STEP, but they are not the same. Clearly, it is important to measure the right set of socioemotional skills to guide policy recommendations (see Chapter 8)</t>
  </si>
  <si>
    <t>Consistent with the polarization hypothesis, low-paying occupations grow rapidly while middle, routine occupations decline slowly in Chile and Mexico. The expansion of low-paying occupations is particularly remarkable. Led by mining, construction, transport, and manufacturing laborers in Chile, and elementary service and sales workers in Mexico, the pace of growth of low-paying occupations more than doubled the average of low-paying jobs in the industrialized world. To some extent this may relate to the excessive number of workers in agricultural activities. The region is still going through a strong process of structural change in agriculture, which enjoyed substantial productivity gains during the last decade. This generated an excess supply of low-skill workers that needed to be employed in other sectors and occupations. Agricultural employment shrank in all four countries but was much stronger in Mexico: in just eight years the share of workers engaged in agricultural activities declined by 4.6 percentage points from 14.2 percent to 9.6 percent</t>
  </si>
  <si>
    <t>The decline of middling occupations in Chile and Mexico was not nearly as fast. The de-industrialization of Mexico, driven by the rapid expansion of Chinese exports (Blyde et al. 2016), led to a contraction of metal, machinery, and related trade workers. In Chile, this process was fundamentally driven by lower demand for office clerks. Interestingly, these two occupations also declined fastest in Western Europe</t>
  </si>
  <si>
    <t>Technologically, Latin American countries lag far behind advanced economies and, in particular, the United States (World Bank, 2016). Figure 4.8 highlights this gap between Latin America and advanced economies in the availability and adoption of digital technologies. The index is a simple average of four indicators: the percentage of businesses with websites, the number of secure servers per million residents, download speeds, and 3G coverage in the country (World Bank, 2016). All Latin American countries fall behind advanced economies, and the gaps vary little across countries; even the most developed economies in the region such as Chile and Uruguay present a substantial technological gap with respect to advanced economies. Note, however, that this technological gap is shared among developing economies. The penetration of digital technologies in a pool of comparison countries with similar GDP per capita to the average Latin American economy is similar to that observed in Venezuela and Mexico</t>
  </si>
  <si>
    <t>Interestingly, at the heart of Latin America’s technological problems is the proliferation of small, unproductive firms in the region’s economies. Figure 4.9 shows the proportion of workers using a computer at work by firm size for Colombia, Bolivia, Chile, and developed countries. As expected, Latin American countries lag behind in the share of workers using a computer at work: the gap with developed countries runs from 20 percentage points in Chile to 30 percentage points in Bolivia. However, the gap is much larger for small than for large firms. Firms with more than 50 employees in Latin America incorporate computers in the workplace nearly as quickly as large firms in advanced economies. In Bolivia, for instance, the gap is less than 10 percentage points among large firms. However, the gap among small- and medium-sized firms is very large. Only 35 percent of the workforce employed by small- and medium-sized firms in Bolivia uses a computer, as opposed to almost 65 percent in advanced countries</t>
  </si>
  <si>
    <t>Moving forward, the employment polarization process that has only started in the most advanced countries of the region will likely spread to the rest of Latin America and the Caribbean. In Chile, where the diffusion of new technologies is closest to advanced countries, there are clear signs of employment polarization. Other countries around the region show no signs yet, as the pace of technological change may be hindered by the abundance of low-skilled labor and a wide range of distortions that prevent the rapid spread of new technologies. However, new technologies cannot be shut out forever. Policies that alleviate the distortions behind technology diffusion are likely to boost growth and the demand for non-routine manual and abstract skills in the region as it walks, rather than races, into the age of technology</t>
  </si>
  <si>
    <t>These constraints affect poor individuals more severely: poor parents have less time to help their children with homework and less money in general to spend on skills formation. By way of example, in Chile, providing access to credit to students applying to college leads to a 100 percent increase in immediate enrollment and a 50 percent increase in the probability of ever enrolling. More importantly, access to loans eliminates the bias against low-income students in enrollment and in years of college attainment (Solis, 2017)</t>
  </si>
  <si>
    <t>Another source of inequity that provides a rationale for government intervention are information constraints. Individuals often lack accurate information about the costs of acquiring skills or about the benefits of investing in skills (Dinkelman and Martinez, 2013; Bobba and Frisancho, 2016; Jensen, 2010; Hastings et al., 2015). There are many examples of these information failures. For instance, providing low-income students in Chile with information about alternative career choices can help them access higher education options that require less time and thus less cost, to obtain a degree (Busso et al. forthcoming)</t>
  </si>
  <si>
    <t>For instance, most countries have laws that establish a mandatory schooling age and education laws that govern how schooling is financed and provided. Second, policymakers can shape the regulatory environment in which institutions that provide skills operate, such as the certification requirements imposed on higher education institutions. A third tool that governments use is providing relevant information for individuals deciding whether to invest in developing their skills. In Chile, for instance, mifuturo.cl provides a platform with information on earnings, probability of employment, costs, and funding opportunities for different careers and higher education institutions. Fourth, governments can subsidize the demand for skills development via transfers (conditional cash transfers, school vouchers) or the supply of skills development (direct provision of public education, parenting programs, job training programs)</t>
  </si>
  <si>
    <t>The figure also shows that larger economies tend to account for a higher share of evaluations. This can be expected. Because the GDP of Mexico is much larger than that of Guatemala, we should expect that the former country will account for a larger share of evaluations. This motivates the dotted line in the figure which shows the expected share of evaluations based on the GDP level. Consequently, countries that are above the dotted line have a share of evaluations higher than what should be expected based on the size of their economy. This analysis suggests, on one hand, that Chile, Colombia, Mexico, and Peru have a higher share of evaluations than it is expected. On the other hand, Argentina, Brazil, Ecuador, Guatemala, and Venezuela have a lower share of evaluations than it is expected. This means that some countries in our region are leading the way in terms of the production of evidence for skills policies while others are lagging behind</t>
  </si>
  <si>
    <t>SUMMA seeks to improve the process of decision-making in educational policies and practices to increase the quality, equity, and inclusion of education systems in Latin America. It was launched in 2016 with the support of the Inter-American Development Bank, Fundación Chile, and the governments of Brazil, Chile, Colombia, Ecuador, Mexico, Peru, and Uruguay. The initiative aims to promote the use of innovative research methodologies that are well suited to be applied in the region. By documenting innovative practices, it also seeks to generate institutional models that promote innovation, produce comparative analyses of educational strategies, and spur novel solutions</t>
  </si>
  <si>
    <t>It is challenging to properly assess the state of such a complex, multifaceted phenomenon as child development. Berlinski and Schady (2015) have documented the considerable gains made in infant health in Latin America and the Caribbean in the last 30 years. The percentage of newborns with low birthweight is lower than in other regions with similar levels of economic development. Moreover, infant mortality rates and stunting have fallen dramatically. Over a 50-year period, in 15 of the 17 countries in Latin America and the Caribbean with available data, infant mortality fell by more than 75 percent; in three countries—Brazil, Chile, and Peru—infant mortality fell by more than 90 percent. However, despite this progress, there are still some important socioeconomic gradients in stunting</t>
  </si>
  <si>
    <t>Most enrollment in daycare facilities aims to help families balance work with childcare needs and not necessarily to serve the needs of children at risk of developmental delay. In Latin America and the Caribbean, daycare enrollment has soared in the past 10 years (Berlinski and Schady, 2015). For example, in Brazil and Chile, the proportion of children in daycare doubled, and in Ecuador it jumped six-fold. In Brazil, Chile, Colombia, and Ecuador between one-fifth and one-third of children between the ages of 0 and 3 are in daycare. Public daycare is more prevalent among more educated women. The data on center quality are patchy but the quality of services tends to be poor (Berlinski and Schady, 2015). Sadly, low-quality services do not lead to gains in childhood development (e.g., Bernal et al., 2014) and may even harm them (e.g., Baker et al., 2008)</t>
  </si>
  <si>
    <t>Toddlers have access to other forms of care outside the home; the most widespread is preprimary education. Pre-primary school participation in the region has risen sharply for all income groups and enrollment gaps among income quintiles have narrowed (Berlinski and Schady, 2015). Indeed, many countries (including Argentina, Chile, Colombia, Ecuador, Jamaica, Mexico, Peru, and Uruguay) enjoyed universal enrollment in kindergarten by 2013</t>
  </si>
  <si>
    <t>Countries vary widely in terms of these mean learning gaps. The mean learning gap for Chile, Honduras, and Costa Rica is close to zero (see Figure 7.1). That is, the average learning levels in these countries are close to what is expected based on their levels of economic development. However, mean performance in Paraguay, and especially in Panama and the Dominican Republic, is dismal. Paraguay is about 80 points below expectation, Panama is 120 points below expectation, and the Dominican Republic is a staggering 160 points below what is expected based on its level of economic development. The rest of the countries have mean learning gaps that range from 30 to 60 points, close to the regional average. Furthermore, these mean learning gaps are considerably larger if students in Latin America and the Caribbean are compared with their counterparts in member countries of the Organisation for Economic Co-operation and Development (OECD) and even larger when compared to students in the top-performing countries in the world. In short, learning levels in Latin America and the Caribbean are low and need to be increased to promote growth, productivity, and overall welfare</t>
  </si>
  <si>
    <t>The review also analyzed the costs of these interventions when implemented in Latin America and the Caribbean. In particular, it estimated the costs per student per year for the baseline case of Colombia. Colombia was selected for the baseline analysis because it is close to the regional mean in important dimensions such as GDP per capita, primary spending per student, and learning levels. The qualitative findings for Colombia remain unaltered when this analysis was repeated for other countries in the region, such as Chile and Guatemala</t>
  </si>
  <si>
    <t>The second intervention provides lesson plans to teachers. The six evaluations of this intervention, implemented in Brazil, Chile, England, and the United States, documented positive effects ranging from 1 to 21 learning points. The design of these interventions varies. One of the interventions implemented in the United States tested students to determine their initial learning levels and assigned personalized learning materials and exercises to them using specialized software (Ysseldyke and Bolt, 2007). The other intervention implemented in the United States involved the provision of materials to teachers to help them reflect about their practices and improve their performance during instruction (Randel et al., 2011). The interventions implemented in Brazil, Chile and England provided lesson plans that were similar for all students in a grade and that contained specific exercises and guides for each subject. All these interventions included a short period of training and some limited pedagogical support to facilitate the use of the lesson plans</t>
  </si>
  <si>
    <t>The evidence from three evaluations implemented in Latin America and the Caribbean indicates that this intervention generated an overall increase in learning of about 4 learning points. An evaluation in Chile documented a positive effect of 1 learning point, while evaluations in Uruguay and Colombia documented positive effects of 5 and 8 learning points, respectively. However, costs for this intervention are massive. Implementing the analyzed intervention in Colombia would require increasing spending by $842 per student per year. Combining these results, the estimated cost per point for this intervention would be $210 ―a staggering amount. However, extending the school day could bring other benefits to families including freeing up parents’ time that could be devoted to labor market activities and providing a safe environment for children. Consequently, an overall assessment of this intervention should factor in the monetary value of these additional benefits. However, from the perspective of skills development, extending the school day is not a cost-effective policy</t>
  </si>
  <si>
    <t>The average share of students attending an extended-day school increased from 4 percent to 10 percent in Latin America and the Caribbean between 1999 and 2014. Unlike the case of reducing class size, several countries in the region have implemented explicit policies to extend the school day. The leading case is Chile, which introduced a reform that increased the share of children attending an extended-day school from about 50 percent to 87 percent over a 15-year period. Colombia and Uruguay have introduced reforms in this area and many other countries are starting to follow suit. However, given their high price, these reforms should be analyzed in depth to ensure they do not crowd out other more cost-effective interventions</t>
  </si>
  <si>
    <t>The review of the evidence has identified certain interventions as cost effective and others not. However, these findings and their implications are not a recipe for success to be followed in a strict fashion. Rather, they should be used as a starting point to indicate potential areas of interest for policy action. For policy purposes, the specific contextual conditions and constraints should be analyzed in detail. For example, the evaluations reviewed indicate that providing a small amount of funding to acquire materials may increase learning at low cost. But before expanding this intervention in a particular context, an analysis should examine whether lack of materials is really a constraint. For instance, data from TERCE reveal that only 74 percent of Guatemalan students attend schools with chalk in all classrooms. In contrast, 92 percent of Chilean students attend schools stocked with chalk. Based on this information, lack of materials appears to be more of a constraint in Guatemala than Chile. Consequently, an intervention that provides a small budget for materials may generate larger effects in Guatemala than Chile. In other words, policy decisions should be made based on a careful analysis of the existing evidence, together with an understanding of the conditions in the country</t>
  </si>
  <si>
    <t>The private sector is also relevant in primary education as a direct provider of services. However, the chapter has focused the attention on how to improve the quality of education in public schools because of two reasons. First, 80% of students attend public schools in the average country in the region. Second, low-income individuals are concentrated in public schools. Hence, if governments can improve the quality of education in public schools, they can increase average learning and also learning equity. Still, further research and analysis is needed regarding how to best integrate the private sector as a provider of services in primary education given its increasing relative importance in a number of countries such as Brazil, Chile and Peru</t>
  </si>
  <si>
    <t>The impact of attending a voucher school in Chile is 3 learning points (Lara, Mizala and Repetto 2009), while the average effect for Colombia’s voucher program is 18 learning points (Angrist, et al. 2002).</t>
  </si>
  <si>
    <t>Finally, for many disadvantaged students the problem may boil down to money. For some segments of the population in the region, financial barriers may be limiting access to higher education. In the United States, due to large information asymmetries, the private financial market is rarely willing to place a lien on future individual earnings to finance higher education investments. Evidence from Chile shows that loans have a positive (causal) effect on the probability of enrollment and, more importantly, they effectively eliminate the income gradient in enrollment (Solis, 2013)</t>
  </si>
  <si>
    <t>The limited available evidence indicates that private education is growing. In Mexico, household expenditures in higher education increased dramatically in the past two decades, even among the poor. While the largest surges have occurred among households at the top of the income distribution, the poorest households in the lowest deciles also increased their spending in real terms (Székely and Mendoza, 2016). At the same time, the costs of higher education for households, measured by tuition and entry fees, have also been increasing. In Chile, for example, tuition increased 60 percent in real terms since the late 1990s and over 100 percent for some majors (courses of study). The cost of sending a student to college for a middle-class family is over 40 percent of family income (Meller, 2012)</t>
  </si>
  <si>
    <t>Another force driving the surge in higher education enrollment has been the growth and diversification in supply. The number of institutions and programs has increased substantially. Over the past decade, the number of institutions in Mexico and Brazil increased by 50 percent and almost 100 percent, respectively (Ferreyra et al. 2016).  This increase was largely due to a surge in the number of private providers. Against a backdrop of growing demand, many governments in the region made regulatory adjustments to facilitate the introduction of private institutions in the market. Chile, for instance, authorized the establishment of non-profit institutions in the 1980s to meet the burgeoning demand for higher education (Brunner, 2009). In Brazil, the for-profit private sector expanded greatly, and was able to cater to disadvantaged students who received subsidized loans. It is estimated that over one-third of college students in Brazil are enrolled in a for-profit university. In Peru, where the sector has also expanded quickly since the mid-1990s, about 40 percent of university students are in for-profit institutions.  As a result, the share of enrollment in private institutions has expanded in many countries (Figure 9.5). Interestingly, in some countries, private institutions have helped absorb not only high-income students but also students from more disadvantaged backgrounds. In Chile, the expansion of private enrollment attracted a substantial share of individuals from the most vulnerable families. Something similar occurred in Brazil. In Colombia, Costa Rica, and Peru, one out of three higher education students from the lowest income quintiles is enrolled in a private institution (Figure 9.6). Argentina displays the lowest enrollment in private higher education institutions, reflecting the dominance of the public system in this country</t>
  </si>
  <si>
    <t>For instance, programs with both very high and very low profitability coexist in Chile and Colombia (Gonzalez-Velosa et al., 2015). While net economic returns are positive on average, there is major dispersions across both institutions and careers. Of great concern are the number of students who may be losing out in both countries. In Colombia, some 30 percent of university graduates and 59 percent of graduates from post-secondary technical and technological programs are experiencing negative net returns on their higher education. In Chile, 22 percent of university graduates and 51 percent of graduates of technological degrees fare similar circumstances. Since low-income students are more likely to enroll in technological education programs, the equity implications are concerning. A study using an alternative methodology for Chile yields similar results (Reyes, Rodriguez, and Urzúa 2015)</t>
  </si>
  <si>
    <t>Innovative adjustments can be incorporated into the design of supply-side subsidies to promote better performance and/or make the subsidies more progressive. Aside from Chile, these instruments are rare in Latin America and the Caribbean. And even in Chile, the share of funding allocated via these instruments is minimal (See Arias, Elacqua, and Gonzalez, 2017). Not surprisingly, their impact has not been rigorously evaluated. However, two types of approaches are worth highlighting</t>
  </si>
  <si>
    <t>Scholarships are usually awarded based on needs, academic criteria, or a combination of both. Countries in the region have used all modalities, which can have differing impacts (See Arias, Elacqua, and González, 2017). Results from studies in the United States show that needs-based scholarships can increase equity in access by reducing the cost of schooling. As for merit-based grants, studies show that they can motivate students to prepare better for college and pay off in improved college readiness, academic performance, and degree attainment. In turn, better students make for better institutions.  Evidence from Chile points in the same direction, showing positive effects on enrollment of a needs-based grant program (Becas Nuevo Milenio) and smaller effects of merit-based programs (Beca Excelencia Academica, BEA, and Beca Juan Gomez MillasJGM) (Santelices et al., 2016)</t>
  </si>
  <si>
    <t>Unfortunately, both types of scholarships can lead to unintended consequences. Needs-based scholarships may adversely affect outcomes if they are offered to students who are not adequately prepared for academic studies. This is the case of the Pell Grant in the United States, whose recipients have abysmally low graduation rates: only 45 percent of all recipients complete their degree within six years of entering the program (Brookings Institution, 2013). Academic-based scholarships can also have unintended consequences on equity, widening the gap in college attendance rates by race and socioeconomic status. This potential negative effect is particularly important in Latin America and the Caribbean where the quality of secondary schools varies widely.  Thus, the combination of needs-based and academic selection criteria adopted by some programs in Chile, Colombia, and Peru can prove beneficial</t>
  </si>
  <si>
    <t>There is also a fiscal argument for cost-sharing that is particularly relevant in light of the impending less favorable fiscal scenario in Latin America and the Caribbean. Providing tuition-free higher education is an expensive proposition from a fiscal standpoint.  Some estimates in Chile suggest the fiscal burden would be at least 1 percent of GDP—a substantial opportunity cost that could imply, for instance, less investment in earlier education levels (Espinoza and Urzua, 2015)</t>
  </si>
  <si>
    <t>Chile is the only country in Latin America and the Caribbean that has a large income contingent loan scheme. This can be partly explained by Chile’s heavy reliance on demand subsidies, which encourages innovation in loan design. But, more importantly, Chile meets an important precondition for an ICL: it has an information system that allows government officials to identify and track the income of individual citizens (Chapman, 2016). Many other countries in the region have very high levels of informality and lack reliable administrative data. In those countries, the administration of ICLs may require innovative solutions, such as resorting to private banking and insurance information systems</t>
  </si>
  <si>
    <t>When it comes to student loans, key design features, such as the expenses covered or the allocation of default risk, can have important consequences on outcomes. For example, the former design of the State Guaranteed Loan Program (SGL) in Chile may have created economic incentives to reduce quality among providers (Rau, Rojas, and Urzúa, 2014). Given that higher education institutions had to repay the lender when students dropped out, the institutions may have lowered their academic standards and shifted to more attractive but less demanding activities to reduce dropout risks</t>
  </si>
  <si>
    <t>Increasing the incentives for accreditation by making higher education institutions more accountable for the quality of their performance is, therefore, highly recommended. Nevertheless, the capture of accrediting agencies by higher education institutions should be avoided. A recent scandal in Chile clearly illustrates this risk (González and Guzmán, 2012). If a quality assurance system is to be strengthened by increasing the consequences of nonaccreditation, then transparency and independence are essential preconditions. Transparency protocols should require accreditation agencies to publish their final reports and recommendations, as well as the names of team members. Rules to avoid conflicts of interest between accreditation agencies and higher education providers should be established</t>
  </si>
  <si>
    <t>Technical and technological degrees are growing at a fast pace in countries such as Chile and Colombia. Employers must participate systematically in the design of curricula to ensure good outcomes</t>
  </si>
  <si>
    <t>Temporary employment in the informal sector would not be problematic if workers transitioned quickly to formal employment, but this does not seem to be the case. Returning to the data for Chile, the employment status of individuals when they first enter the job market is highly predictive of their status two and seven years later (Figure 10.4). Individuals who started out being employed formally in 2002 remained in the formal sector 80 percent of the time over the next seven years. On the other hand, people who started out in the informal sector spent only 20 percent of the next seven years in formal employment.  Similar sticky patterns emerge for other types of employment and for the shorter two-year period, as well as for other countries with higher informality rates than Chile</t>
  </si>
  <si>
    <t>While the synthetic panel data for other Latin America and the Caribbean countries cannot be used, the Chile panel provides an approximation. Analyzing the amount of time men and women spend working in the same sector, conditional on initial employment status, reveals low short-run mobility across broadly defined sectors. Even in the longer run, men and women spend more than 60 percent of the elapsed time in the same sector (see Figure 10.6). Presumably, a large proportion of workers are accumulating sector-specific experience. The same analysis split by education (not presented) is almost identical, suggesting that the differential profiles for more and less educated workers presented in Figure 10.5 cannot, probably, be explained by differential accumulation of sector-specific skills.</t>
  </si>
  <si>
    <t>In the case of training vouchers, the evidence shows that they increase training participation, improve the probability that participants invest in general training, and enhance performance in non-routine analytical tasks. Findings on workers’ labor market outcomes are less conclusive. A training voucher program for low-skilled workers in The Netherlands had no impact on either the wages or job stability of participants. Similarly, a training voucher program in Germany had no impact on wages and employment. Worse yet, a training voucher program in Chile actually lowered employment and earnings, although it did have a positive effect for women and mainly those with low levels of education. On the other hand, government subsidized training for older workers in Germany improved their job stability (Hidalgo et al., 2014; Görlitz and Tamm, 2016; Kaplan et al., 2015; Singer and Toomet, 2016)</t>
  </si>
  <si>
    <t>In most Latin American and Caribbean countries, a compulsory payroll contribution on firms is the principal source of financing for training.[1] These resources fund national training institutes (NTIs) that provide free or low-cost training. NTIs were created in the mid-20th century to train active workers in technical skills. In the 1980s, as a result of stabilization measures and structural reforms enacted throughout the region, this traditional training model came under scrutiny. In the following years, these institutes were reformed to improve their responsiveness to the needs of the labor market and to include other segments of the population such as unemployed youth (Ibarraran and Rosas-Shady, 2009). Some countries (Chile, Paraguay, Uruguay, and El Salvador) issue tenders to public or private institutions to offer courses, instead of channeling the training through NTIs. Meanwhile, in most countries (Colombia, Ecuador, Honduras, Mexico, Panama, and the Dominican Republic) NTIs still operate as training providers (Alaimo et al., 2015; Huneeus et.al., 2013; Ricart et al., 2014)</t>
  </si>
  <si>
    <t>The amount of resources channeled to NTIs varies among countries. In some countries, the investments are substantial. For example, in Colombia, Jamaica, and Panama, investment levels are above 0.3 percent of GDP. In Chile, El Salvador, and Honduras, the numbers range from 0.1 percent to 0.2 percent of GDP, while in other countries such as Ecuador, Paraguay, the Dominican Republic, and Uruguay, the allocated resources are below the regional average of 0.1 percent of GDP (Huneeus et al., 2013)</t>
  </si>
  <si>
    <t>Mention 53</t>
  </si>
  <si>
    <t>Mention 54</t>
  </si>
  <si>
    <t>Mention 55</t>
  </si>
  <si>
    <t>Mention 56</t>
  </si>
  <si>
    <t>Mention 57</t>
  </si>
  <si>
    <t>Mention 58</t>
  </si>
  <si>
    <t>Mention 59</t>
  </si>
  <si>
    <t>Mention 60</t>
  </si>
  <si>
    <t>Mention 61</t>
  </si>
  <si>
    <t>Mention 62</t>
  </si>
  <si>
    <t>Mention 63</t>
  </si>
  <si>
    <t>Mention 64</t>
  </si>
  <si>
    <t xml:space="preserve">Internationally, student loans consistently have a positive impact on enrollment and Chile and Colombia are no exception. Clearly, students prefer scholarships over loans to avoid accumulating debt. There is some evidence of a “psychological response” to educational debt that can influence career choices, as students steer away from lower-earning professions that would make it harder to repay debt (Scott-Clayton, 2015; Field, 2009). However, three arguments can be made in favor of subsidized loans over government-provided scholarships.  The first can be justified on equity grounds, by recognizing that higher education has both social and private returns. Students obtain significant private benefits while society at large gains from better educated, productive individuals; thus, cost-sharing between the individual and the government is warranted (Chapman, 2016). </t>
  </si>
  <si>
    <t>Another possible culprit for low graduation rates and low levels of learning in schools is the limited relevance of secondary education in the region.  Although lack of money is still an important factor driving dropout rates, Figure 8.2 shows that students in the region leave secondary school mainly because they lose interest, especially in countries like Costa Rica and Panama. Labor market opportunities also generate temptations to abandon school, especially with declining returns to secondary schooling (see Chapter 4). In Mexico, almost one-third of students drop out of secondary school because they perceive a mismatch between the school curriculum and the skills demanded by the labor market (Encuesta Nacional de Trayectorias Educativas y Laborales de Educacion Media Superior-ENTELEMS, 2008). That is about the same proportion as those who drop out because of lack of money. Most countries offer technical or vocational secondary education as an alternative that aims to provide adolescents with job-specific skills. Box 8.1 explores whether these programs could increase the relevance of secondary education in Latin America and the Caribbean.</t>
  </si>
  <si>
    <t>Youth training programs (“Jovenes”) have been widely used in Latin America and the Caribbean to improve the employability of disadvantaged youth, providing participants with a combination of vocational training and an internship at a firm in the private sector. Some programs include socioemotional skills training. These programs often succeed in helping disadvantaged youth access employment in good firms, although the gains are sometimes restricted to certain sub-groups of the population. In Panama and Colombia, these programs have favorably impacted the employment opportunity, working hours, and labor income of women. In the Dominican Republic and Colombia, men have found more employment in the formal sector. In general, these programs continue to have a positive impact on the quality of employment in the medium and long term and are cost effective, as the short-term duration of the typical program keep the costs at bay</t>
  </si>
  <si>
    <t>Governments are well aware of the problem of low and unequal learning levels and are trying hard to tackle these problems. Real spending on primary education per student increased by about 100 percent between 1999 and 2014 in the average country in the region. This average trend is well represented by Colombia: annual spending per student in increased during this period from $816 to $1,453. Moreover, in some countries, such as Brazil and Dominican Republic, spending per student increased even more (about 200 percent). But even in Argentina and Mexico where spending grew at the lowest rate, the increment was substantial (about 50 percent). That is more than in the United States, where spending per student grew by 40 percent during the period. However, the United States and other OECD countries had much higher spending levels both at the beginning and the end of the period under analysis compared to Latin American and Caribbean countries. Consequently, many countries in the region have been aiming to approach these higher levels of spending</t>
  </si>
  <si>
    <t>Amongst the 72 participating economies, all Latin American and Caribbean countries ranked at the bottom of the proficiency distribution. More than 60 percent of the 15-year-old Latin Americans that participated in PISA are unable to conduct more than the simplest math tasks for that grade and are likely to struggle using basic math concepts throughout their lives. In the Caribbean the situation is alike. Results from the 2013 Caribbean Secondary Education Certificate (CSEC), an assessment administered to secondary students in Barbados, Trinidad and Tobago, Jamaica, and Guyana show that at the end of 5 years of secondary school only 34 percent of students have the skills required to access higher education. Despite the region’s relatively poor performance, it seems to be making progress. In Brazil, Chile, Mexico, and Peru—the only 4 countries in the region with reliable data for both 2000 and 2015—the share of low achievers dropped 14 percentage points both in math and language</t>
  </si>
  <si>
    <t>Skills are not only low in the region when compared with other countries of similar level of development but also unequally distributed between low- and high-income households. The steep socioeconomic gradients in skills development start during early childhood. The Regional Program of Indicators of Child Development (PRIDI, for its Spanish acronym) initiative collected data on children 24 and 59 months in four areas: language and communication, cognitive, motor, and socioemotional development. The program collected data on nationally representative samples in four countries: Costa Rica, Nicaragua, Paraguay, and Peru. A child born in a high-income household has between 40 and 60 more standardized points in socio-emotional, cognitive and language skills than a child born to a low-income household. These gaps remain throughout their lifetimes. During childhood gaps in academic skills range XX-YY. During adolescence gaps in math, reading and sciences are between 85 and 95 standardized points and during adulthood gaps in academic and socio-emotional skills range 40-60 standardized points. It is not surprising that adults born to mothers with low education levels earn 30 percent less than adults born to educated mothers. Skill gaps do not close in the region</t>
  </si>
  <si>
    <t>The roadmap to improve learning in secondary schools seems more murky partially because there is limited evidence, especially from the region. Still, strategies to promote student motivation seems relevant to boost learning. Interventions that provide monetary incentives to students have shown evidence of effectiveness though they are costly and challenging to implement at large scale. An alternative involves increasing motivation through non-monetary incentives and recent evidence suggests that interventions along this line can be promising. In fact, a rigorous evaluation of the program “Expande tu Mente!” in Peru showed that a training session to students to convey the idea that the brain is like a muscle and that training can increase intelligence has shown positive effects with a tiny price tag:  less than half a dollar per student. Moreover, promoting better selection, motivation and support of teachers seem as promising areas for further analysis</t>
  </si>
  <si>
    <t>Despite the region’s relatively poor performance, it seems to be making progress. In Brazil, Chile, Mexico, and Peru—the only 4 countries in the region with reliable data for both 2000 and 2015—the share of low achievers dropped 14 percentage points both in math and language</t>
  </si>
  <si>
    <t>Skills are not only low in the region but also unequally distributed between low- and high-income households. The steep socioeconomic gradients in skills development start during early childhood. The Regional Program of Indicators of Child Development (PRIDI, for its Spanish acronym) initiative collected data on children 24 and 59 months in four areas: language and communication, cognitive, motor, and socioemotional development. The program collected data on nationally representative samples in four countries: Costa Rica, Nicaragua, Paraguay, and Peru (Verdisco, 2014)</t>
  </si>
  <si>
    <t>The first three bars show the gaps in PRIDI scores between the richest and poorest quintiles. The differences in language development and cognition are large, while the variation is smaller in socioemotional development. Similar results were found using the Peabody Picture Vocabulary Test in Chile, Colombia, Ecuador, Nicaragua, and Peru (Schady, et al., 2014)</t>
  </si>
  <si>
    <t>Latin American parents and children seem to allocate a similar number of hours to skills development as families in more developed countries. However, is it possible that the quality of those investments is low? Three examples suggest that is the case. One measure of the quality of interactions at home is given by the prevalence of harsh punishment or child abuse. In Belize, Bolivia, Jamaica, and Saint Lucia, the incidence (measured as once in a lifetime) of harsh corporal punishment is 40 percent or more, and in Colombia, Peru, Suriname, and Trinidad and Tobago, it is close to or above 30 percent (Berlinski and Schady, 2015). By comparison,  in the United States the incidence of severe corporal punishment is about 5 percent per year (Landford et al., 2010)</t>
  </si>
  <si>
    <t>The demand for abstract occupations inched up in the four Latin American and Caribbean countries. Just as in Western European countries, science and engineering professionals grew faster on average. Note, however, that the speed of change was much faster in the developed countries. High-paying occupations increased by 1 percentage point every three years in Western European countries, and every six years in Latin America. In Brazil and Peru, the contraction of middle, routine occupations did not take place, showing little sign of replacement of routine tasks with computers and other IT innovations. Peru contrasts sharply with the typical patterns of polarization as office clerks, a highly routine occupation that is shrinking fast in the industrialized world due to codification of tasks and the introduction of computers, grew relatively fast. Thus, changes in the occupation structure of Brazil and Peru are more consistent with a traditional skill-biased technological change pattern, in which a monotonic relation between skill content and employment growth is observed</t>
  </si>
  <si>
    <t>Consider the case of the One Laptop per Child program in Peru in 2008. This program was based on the presumption that children could teach themselves using a personal laptop. Although Peru invested more than $200 million in the program, results were disappointing. A rigorous evaluation detected no effects of the program on math and language learning (Cristia et al. 2012). Moreover, the evidence suggested that similar programs implemented elsewhere in Latin America and the Caribbean would also have limited effects, even though governments had spent more than $2 billion on personal laptops in the past few years (Arias Ortiz and Cristia, 2014). The use of evidence could have prevented governments from channeling resources to an expensive program that produced few gains in terms of skills</t>
  </si>
  <si>
    <t>Now consider the case of another program in Peru, a pilot called Grow your Mind (Expande tu Mente). The intervention provides students with a short educational session aimed at instilling the idea that the brain is like a muscle that can be trained to boost intelligence. A rigorous evaluation showed that this program improved learning in math and the costs were tiny: just half a dollar per student (MineduLAB, 2016). Despite its promise, virtually no other country in the region is currently implementing this type of program</t>
  </si>
  <si>
    <t>Still, it may seem difficult in practice to implement this five-stage process of policy design for a government that faces multiple demands, has limited capacity and a short temporal horizon. This challenge can be tackled by allocating resources and providing political support to an specialized group that can take the lead in the design and evaluation of new programs. That is, the government can set up an internal division that seeks to analyze problems, design interventions that can tackle them and implement pilots and evaluations to identify which solutions really work in practice. This group can be implemented within the public sector as it is the case of MineduLAB, which seeks to find cost-effective solutions to improve education in Peru (this initiative is described in more detail in Box 5.2)</t>
  </si>
  <si>
    <t>In short, though it is important to be aware of potential limitations of specific evaluations, a strong design can tackle these issues. In fact, the evaluations implemented by MineduLAB in Peru seek to tackle all the issues described. That is, in all cases, the evaluations involve large samples, use a broad standardized national examination to assess effects, are implemented in the actual context in which the policy may be scaled up and are implemented by government employees</t>
  </si>
  <si>
    <t>It is more difficult to assess other aspects of child development such as motor skills, language, cognitive, or socioemotional development, since nationally representative and comparable data across countries and time are rarely collected. Assessment relies on data from a handful of studies that measure these outcomes. An initiative of the Inter-American Development Bank known as PRIDI (the Spanish acronym for Regional Program of Indicators of Child Development) collected data on cognition, language and communication, motor, and socioemotional development using nationally representative samples of approximately 2,000 children aged 24 months to 59 months in each of four countries—Costa Rica, Nicaragua, Paraguay, and Peru (Verdisco et al., 2016).</t>
  </si>
  <si>
    <t>Unfortunately, information of this type is not available or affordable for nationally representative samples. The current approaches to measuring household environments rely on direct observation or on parental questionnaires. A popular instrument that relies on household observation by a trained enumerator is the Home Observation for Measurement of the Environment (Bradley 1993; Bradley and others 2001; Caldwell and Bradley 1984). Berlinski and Schady (2015) rely on data from studies that measure this index in a sample of households in Antigua, Ecuador, Jamaica, Nicaragua, Peru, and Saint Lucia. They report large differences in the quality of the home environment in all countries across socioeconomic backgrounds. In households with lower levels of education, parents are less responsive to children and more punitive</t>
  </si>
  <si>
    <t>In numerous surveys, including the Demographic and Health Survey (DHS) and the Multiple Indicator Cluster Surveys (MICS), mothers are asked how they discipline their children, including whether they spank or hit them, or whether they read to them. Based on these data, the prevalence of harsh punishment is about 40 percent or more in Belize, Bolivia, Jamaica, and Saint Lucia and about 30 percent or more in Colombia, Peru, Suriname, and Trinidad and Tobago (Berlinski and Schady, 2015). In most countries, harsh punishment varies significantly according to the education level of the mother. In particular, in Bolivia and Peru, children whose mothers did not complete primary school are twice as likely to face harsh punishment compared to those whose mothers completed secondary or more. Similarly significant socioeconomic gradients exist in the region in the frequency of reading (Berlinski and Schady, 2015)</t>
  </si>
  <si>
    <t>Learning levels in primary education are not only low, they are also highly unequal. In all countries, students of high socioeconomic status learn more than those of low socioeconomic status. Consider the case of Brazil, which is close to the regional average on this dimension. Brazilian students whose mothers lack secondary education underperform their counterparts whose mothers have at least secondary education by 70 points (see Figure 7.2). This is a staggering difference. By third grade, the difference in learning levels is close to the expected progression in two full years of study. These socioeconomic learning gaps range from about 35 points in Nicaragua and Paraguay to about 100 points in Peru and Guatemala. Notwithstanding these differences across countries, the bottom line is that the stark income inequality prevalent in Latin America and the Caribbean is also reflected in learning measures in primary education</t>
  </si>
  <si>
    <t>Why do some interventions that provide complementary inputs seem to work while others do not? One explanation is that the complementary inputs that are used intensively are the ones that work. That is, books and computers that are provided to schools in many cases are not used intensively or in pedagogically relevant ways. For example, a rigorous evaluation of the One Laptop per Child program in Peru showed that computers were typically used only a few hours each week and that the use was concentrated in activities that are expected to generate little learning gains in academic subjects (Cristia et al. 2012). Consequently, complementary inputs must be provided with sufficient support and monitoring to yield good results. Confirming that good things also come in small packages, a small amount of funding provided to schools to be spent on necessary inputs such as textbooks for students and chalk for teachers produced favorable results, assuming these expenses are supervised</t>
  </si>
  <si>
    <t>Because motivation is critical for learning and can be promoted in inexpensive ways, it is a promising area for experimentation. To begin with, interventions can encourage students to try harder by emphasizing the simple idea that all students can succeed. This is the basis for interventions that seek to convince students that training (and effort) can increase intelligence. This line of work has been spearheaded by researchers such as Carol Dweck. Beyond many small-scale studies, emerging large-scale rigorous evidence from Peru for secondary education suggests that an intervention along these lines (called Expande tu Mente) can be effective and could cost as little as $0.1 per point increase. This is a groundbreaking finding considering that popular interventions such as reducing class size or extending the school day cost from $47 to $210 per point increase</t>
  </si>
  <si>
    <t>Which institutional and administrative changes need to be put in place to implement experimentation consistently? One potential strategy involves the creation of a specialized unit within each relevant Ministry that leads this process of searching for cost-effective strategies to tackle important challenges. This unit should receive funding, political support and adequate human resources to promote the generation and use of evidence in the different operational units within the Ministry. An excellent example of this institutional arrangement is the creation of MineduLAB in the Ministry of Education in Peru in 2016 (see box 5.2). In its short tenure, this agency has already identified several innovative solutions with the potential to generate large improvements in the quality of education at low cost</t>
  </si>
  <si>
    <t>Innova Schools is a network of private schools in Peru that aims to provide high-quality and affordable education from elementary to high school to children of middle- and low-income families. The 41 Innova Schools—31 in Lima and 10 in the provinces—have more than 32,000 students and 1,500 teachers. An average of six new schools have opened since 2010, and the network is expected to continue its expansion process in the coming years</t>
  </si>
  <si>
    <t>Still, some countries in the region have made small improvements in their PISA performance. Figure 8.1 shows the three-year average improvement in math since each country joined PISA. Improvements in Brazil, Colombia, Mexico, and Peru are statistically significant, but still have a long way to go to close the gap relative to advanced countries. All countries need to improve at a faster rate in order to reach good performance levels</t>
  </si>
  <si>
    <t>Besides programs that directly target student learning, programs that aim to promote the socioemotional needs of adolescents also show potential to impact school performance.[1] Although there is still scarce evidence on the impacts of these programs, one innovative program, “Expande tu mente” in Peru, shows promising results. In a short period of time and with very few resources and training, the program teaches students that they can become smarter with training and practice (the “Growth mindset” concept). Early results indicate that the program has a considerable impact on student test scores (Ministerio de Educacion de Peru 2017)</t>
  </si>
  <si>
    <t>Latin America and the Caribbean has a diverse array of financing models for higher education. Some countries rely mostly on public sources and provide free tuition (like Argentina), while others—such as Colombia and Peru—rely more on private funds and thus, higher entry fees (see Arias Ortiz, Elacqua, and González, 2017). Irrespective of the type of financing or allocation system, the expansion in higher education resulted from private and public efforts. Except for Peru, the share of public spending in higher education as a percentage of GDP increased over the past decade (Figure 9.4). In Argentina and Honduras, this share is currently on a par with that of the United States and other member countries of the Organisation for Economic Co-operation and Development (OECD)</t>
  </si>
  <si>
    <t>In Brazil, the for-profit private sector expanded greatly, and was able to cater to disadvantaged students who received subsidized loans. It is estimated that over one-third of college students in Brazil are enrolled in a for-profit university. In Peru, where the sector has also expanded quickly since the mid-1990s, about 40 percent of university students are in for-profit institutions.  As a result, the share of enrollment in private institutions has expanded in many countries (Figure 9.5). Interestingly, in some countries, private institutions have helped absorb not only high-income students but also students from more disadvantaged backgrounds. In Chile, the expansion of private enrollment attracted a substantial share of individuals from the most vulnerable families. Something similar occurred in Brazil. In Colombia, Costa Rica, and Peru, one out of three higher education students from the lowest income quintiles is enrolled in a private institution (Figure 9.6). Argentina displays the lowest enrollment in private higher education institutions, reflecting the dominance of the public system in this country</t>
  </si>
  <si>
    <t>Data from Colombia also point to incoming students’ lack of academic preparedness as an important issue that may affect quality. Using a rich administrative dataset and controlling for self-selection, Camacho, Messina, and Uribe (2016) study the expansion of higher education in the 2000s and find that, while the quality of programs remained stable, students have on average lower ability levels. Moreover, many of the new programs sprung up in areas of study that traditionally have had low returns. In Peru, both the quality of institutions and students’ academic standards have declined.  Since the higher education market was deregulated in 1997, the share of low-quality institutions has grown and the probability of being underemployed for higher education graduates has increased (Lavado, Martinez, and Yamada, 2014). The Peruvian Government has recently introduced a comprehensive reform to assess this issue</t>
  </si>
  <si>
    <t>The criteria most commonly used to allocate public subsidies in higher education in the region are:  negotiated or ad hoc budgets based primarily on historical trends, and distributed as block grants—as opposed to line-items—to give more flexibility and autonomy to institutions, and; funding formulas using inputs such as number of students or staff (see Arias, Elacqua, and González, 2017). The most common approaches typically do not take unit costs or outcomes into consideration. Thus, institutions are usually not rewarded for their efficiency (such as minimizing dropout levels) or their performance (their impact on graduates’ learning or employment outcomes). The exceptions are rare, as is the case of Peru where very recently the allocation of funding to universities is partly based on efficiency in execution and performance measures. The share of this allocation is, nevertheless, very small</t>
  </si>
  <si>
    <t>Beca 18 is targeted to high-performing, low-income Peruvian high school graduates aged 16 to 22. The scholarship covers tuition, supplies, English-language instruction, remedial courses, counseling, a stipend to cover living expenses, transportation subsidies, and health insurance. A recent impact evaluation by Peru’s Ministry of Education and the Inter-American Development Bank used a regression discontinuity design to assess the performance of beneficiaries a year and a half after applying for the scholarship (Ministry of Education, 2016). The results show increases in access and completion are consistent with the findings in other countries. Interestingly, when compared to individuals who also enrolled in higher education programs, the scholarships appear to have a significant impact on academic achievement and self-reported measures of welfare by reducing the number of hours devoted to low-quality jobs. Results also show academic gains for beneficiaries who received increased tutoring</t>
  </si>
  <si>
    <t>Aside from increasing access, scholarships can also be effective in strategically supporting higher education programs that are of special relevance for development goals. For example, in Argentina, Brazil, Colombia, and Peru, this mechanism has been used to attract more students to priority careers, such as science, math, and technology (Salmi and Hauptman, 2006)</t>
  </si>
  <si>
    <r>
      <t>Another force driving the surge in higher education enrollment has been the growth and diversification in supply. The number of institutions and programs has increased substantially. Over the past decade, the number of institutions in Mexico and Brazil increased by 50 percent and almost 100 percent, respectively (Ferreyra et al. 2016).  This increase was largely due to a surge in the number of private providers. Against a backdrop of growing demand, many governments in the region made regulatory adjustments to facilitate the introduction of private institutions in the market. Chile, for instance, authorized the establishment of non-profit institutions in the 1980s to meet the burgeoning demand for higher education (Brunner, 2009). In Brazil, the for-profit private sector expanded greatly, and was able to cater to disadvantaged students who received subsidized loans. It is estimated that over one-third of college students in Brazil are enrolled in a for-profit university.</t>
    </r>
    <r>
      <rPr>
        <vertAlign val="superscript"/>
        <sz val="10.5"/>
        <color theme="1"/>
        <rFont val="Calibri"/>
        <family val="2"/>
        <scheme val="minor"/>
      </rPr>
      <t>[1]</t>
    </r>
    <r>
      <rPr>
        <sz val="10.5"/>
        <color theme="1"/>
        <rFont val="Calibri"/>
        <family val="2"/>
        <scheme val="minor"/>
      </rPr>
      <t xml:space="preserve"> In Peru, where the sector has also expanded quickly since the mid-1990s, about 40 percent of university students are in for-profit institutions.</t>
    </r>
    <r>
      <rPr>
        <vertAlign val="superscript"/>
        <sz val="10.5"/>
        <color theme="1"/>
        <rFont val="Calibri"/>
        <family val="2"/>
        <scheme val="minor"/>
      </rPr>
      <t>[2]</t>
    </r>
    <r>
      <rPr>
        <sz val="10.5"/>
        <color theme="1"/>
        <rFont val="Calibri"/>
        <family val="2"/>
        <scheme val="minor"/>
      </rPr>
      <t xml:space="preserve">  As a result, the share of enrollment in private institutions has expanded in many countries (Figure 9.5). Interestingly, in some countries, private institutions have helped absorb not only high-income students but also students from more disadvantaged backgrounds. In Chile, the expansion of private enrollment attracted a substantial share of individuals from the most vulnerable families. Something similar occurred in Brazil. In Colombia, Costa Rica, and Peru, one out of three higher education students from the lowest income quintiles is enrolled in a private institution (Figure 9.6). Argentina displays the lowest enrollment in private higher education institutions, reflecting the dominance of the public system in this country.</t>
    </r>
  </si>
  <si>
    <r>
      <t>The diversification in supply of higher education is also reflected in the number and types of degrees. In Colombia, for instance, the number of programs almost doubled, from 3,600 in 2001 to 6,279 in 2011 (Camacho et al. 2011). Importantly, technical and technological (TT) programs expanded greatly. Enrollment in these programs increased from 435,000 to 3 million students between 2000 and 2013 in Argentina, Brazil, Chile, Colombia, and Mexico (Ferreyra et al. 2016). Currently, one out of five higher education students in Latin America and the Caribbean is enrolled in a technical or technological program (OECD</t>
    </r>
    <r>
      <rPr>
        <b/>
        <sz val="10.5"/>
        <color theme="1"/>
        <rFont val="Calibri"/>
        <family val="2"/>
        <scheme val="minor"/>
      </rPr>
      <t xml:space="preserve">, </t>
    </r>
    <r>
      <rPr>
        <sz val="10.5"/>
        <color theme="1"/>
        <rFont val="Calibri"/>
        <family val="2"/>
        <scheme val="minor"/>
      </rPr>
      <t>CAF, and ECLAC, 2015).</t>
    </r>
  </si>
  <si>
    <r>
      <t>Competitive funds</t>
    </r>
    <r>
      <rPr>
        <sz val="10.5"/>
        <color theme="1"/>
        <rFont val="Calibri"/>
        <family val="2"/>
        <scheme val="minor"/>
      </rPr>
      <t xml:space="preserve"> incentivize quality in higher education by setting aside resources for which institutions and programs must compete. Competitive grants can be awarded, for example, for the development of new teaching methods or programs, and to encourage innovation in teaching and research (Daugherty et al., 2013). Examples include MECESUP and FONDECYT in Chile, FOMES in Mexico, and FOMEC in Argentina (See Arias, Elacqua, and González, 2017). These funds have arguably been effective in encouraging universities to plan strategically and undertake rigorous projects to improve quality and relevance (Salmi, 2013).   </t>
    </r>
  </si>
  <si>
    <r>
      <t xml:space="preserve">Randomized controlled trials (RCT) have been performed and analyzed in four programs in the region: </t>
    </r>
    <r>
      <rPr>
        <i/>
        <sz val="10.5"/>
        <color theme="1"/>
        <rFont val="Calibri"/>
        <family val="2"/>
        <scheme val="minor"/>
      </rPr>
      <t xml:space="preserve">Entra21 </t>
    </r>
    <r>
      <rPr>
        <sz val="10.5"/>
        <color theme="1"/>
        <rFont val="Calibri"/>
        <family val="2"/>
        <scheme val="minor"/>
      </rPr>
      <t xml:space="preserve">in Argentina, three years after training; </t>
    </r>
    <r>
      <rPr>
        <i/>
        <sz val="10.5"/>
        <color theme="1"/>
        <rFont val="Calibri"/>
        <family val="2"/>
        <scheme val="minor"/>
      </rPr>
      <t>Jóvenes en Acción</t>
    </r>
    <r>
      <rPr>
        <sz val="10.5"/>
        <color theme="1"/>
        <rFont val="Calibri"/>
        <family val="2"/>
        <scheme val="minor"/>
      </rPr>
      <t xml:space="preserve"> in Colombia, ten years after; </t>
    </r>
    <r>
      <rPr>
        <i/>
        <sz val="10.5"/>
        <color theme="1"/>
        <rFont val="Calibri"/>
        <family val="2"/>
        <scheme val="minor"/>
      </rPr>
      <t>Juventud y Empleo</t>
    </r>
    <r>
      <rPr>
        <sz val="10.5"/>
        <color theme="1"/>
        <rFont val="Calibri"/>
        <family val="2"/>
        <scheme val="minor"/>
      </rPr>
      <t xml:space="preserve"> in the Dominican Republic, six years after; and </t>
    </r>
    <r>
      <rPr>
        <i/>
        <sz val="10.5"/>
        <color theme="1"/>
        <rFont val="Calibri"/>
        <family val="2"/>
        <scheme val="minor"/>
      </rPr>
      <t>Projoven</t>
    </r>
    <r>
      <rPr>
        <sz val="10.5"/>
        <color theme="1"/>
        <rFont val="Calibri"/>
        <family val="2"/>
        <scheme val="minor"/>
      </rPr>
      <t xml:space="preserve"> in Peru, three years after. In general, these programs continue to have a positive impact on the quality of employment in the medium and long term (Alzua et al., 2015; Attanasio et al., 2015; Kugler et al., 2015; Ibarraran et al., 2015; Diaz and Rosas-Shady, 2016). </t>
    </r>
  </si>
  <si>
    <r>
      <t xml:space="preserve">Substantial delays exist in the development of language, particularly among the poorest (Verdisco et al., 2016). The differences in average language and communication scores between those at the bottom and top income quintile at age 5 are large. In fact, the difference is equivalent to the gains of an average child over the course of 16 months in her language and communication scores. Schady et al. (2015) report similar socioeconomic gaps for children in rural areas of five Latin American countries (Chile, Colombia, Ecuador, Nicaragua, and Peru) using the </t>
    </r>
    <r>
      <rPr>
        <i/>
        <sz val="10.5"/>
        <color theme="1"/>
        <rFont val="Calibri"/>
        <family val="2"/>
        <scheme val="minor"/>
      </rPr>
      <t>Test de Vocabulario en Imágenes Peabody</t>
    </r>
    <r>
      <rPr>
        <sz val="10.5"/>
        <color theme="1"/>
        <rFont val="Calibri"/>
        <family val="2"/>
        <scheme val="minor"/>
      </rPr>
      <t xml:space="preserve"> (TVIP), the Spanish-speaking version of the Peabody Picture Vocabulary Test (PPVT). Both studies also point to a gap in language and communication that widens with age</t>
    </r>
  </si>
  <si>
    <r>
      <t xml:space="preserve">Higher education in the region expanded at a remarkably fast pace in the past two decades with average gross enrollment more than doubling (UNESCO Institute for Statistics). Access to higher education grew faster in only one other region: </t>
    </r>
    <r>
      <rPr>
        <sz val="10.5"/>
        <color rgb="FF000000"/>
        <rFont val="Calibri"/>
        <family val="2"/>
        <scheme val="minor"/>
      </rPr>
      <t>East Asia and the Pacific. The expansion in access attained by Chile in the last two decades took Norway and Sweden 50 years to achieve (Espinoza and Urzua, 2015)</t>
    </r>
  </si>
  <si>
    <r>
      <t>Students from low socioeconomic backgrounds may also be less informed about the costs, financing opportunities, and benefits of higher education.  The literature analyzing the United States has widely documented this phenomenon (Page and Scott-Clayton, 2015). Evidence is scant</t>
    </r>
    <r>
      <rPr>
        <b/>
        <sz val="10.5"/>
        <color theme="1"/>
        <rFont val="Calibri"/>
        <family val="2"/>
        <scheme val="minor"/>
      </rPr>
      <t xml:space="preserve"> </t>
    </r>
    <r>
      <rPr>
        <sz val="10.5"/>
        <color theme="1"/>
        <rFont val="Calibri"/>
        <family val="2"/>
        <scheme val="minor"/>
      </rPr>
      <t>in Latin America and the Caribbean, but a recent study of Chile shows that college applicants tend to overestimate earnings outcomes for past graduates at their top-choice degree programs by 39.3 percent, on average. Moreover, students with low socioeconomic backgrounds have less accurate expectations than other applicants. Compared to students from higher socioeconomic households, they tend to rely more on advertising and publicity than on school and government sources (Hastings et al., 2015). As in Chile, students from lower socioeconomic backgrounds in Colombia and Peru make very different choices about the types of institutions they attend and careers they pursue</t>
    </r>
  </si>
  <si>
    <r>
      <t>The diversification in supply of higher education is also reflected in the number and types of degrees. In Colombia, for instance, the number of programs almost doubled, from 3,600 in 2001 to 6,279 in 2011 (Camacho et al. 2011). Importantly, technical and technological (TT) programs expanded greatly. Enrollment in these programs increased from 435,000 to 3 million students between 2000 and 2013 in Argentina, Brazil, Chile, Colombia, and Mexico (Ferreyra et al. 2016). Currently, one out of five higher education students in Latin America and the Caribbean is enrolled in a technical or technological program (OECD</t>
    </r>
    <r>
      <rPr>
        <b/>
        <sz val="10.5"/>
        <color theme="1"/>
        <rFont val="Calibri"/>
        <family val="2"/>
        <scheme val="minor"/>
      </rPr>
      <t xml:space="preserve">, </t>
    </r>
    <r>
      <rPr>
        <sz val="10.5"/>
        <color theme="1"/>
        <rFont val="Calibri"/>
        <family val="2"/>
        <scheme val="minor"/>
      </rPr>
      <t>CAF, and ECLAC, 2015)</t>
    </r>
  </si>
  <si>
    <r>
      <t>Competitive funds</t>
    </r>
    <r>
      <rPr>
        <sz val="10.5"/>
        <color theme="1"/>
        <rFont val="Calibri"/>
        <family val="2"/>
        <scheme val="minor"/>
      </rPr>
      <t xml:space="preserve"> incentivize quality in higher education by setting aside resources for which institutions and programs must compete. Competitive grants can be awarded, for example, for the development of new teaching methods or programs, and to encourage innovation in teaching and research (Daugherty et al., 2013). Examples include MECESUP and FONDECYT in Chile, FOMES in Mexico, and FOMEC in Argentina (See Arias, Elacqua, and González, 2017). These funds have arguably been effective in encouraging universities to plan strategically and undertake rigorous projects to improve quality and relevance (Salmi, 2013)</t>
    </r>
  </si>
  <si>
    <r>
      <t>Performance contracts</t>
    </r>
    <r>
      <rPr>
        <sz val="10.5"/>
        <color theme="1"/>
        <rFont val="Calibri"/>
        <family val="2"/>
        <scheme val="minor"/>
      </rPr>
      <t xml:space="preserve"> are regulatory agreements in which governments and institutions set mutual performance-based objectives. Institutions commit to fulfill a number of national objectives in exchange for access to additional funding (Salmi and Hauptman, 2006; Daugherty et al., 2013, European Commission 2014). Typically, the agreements set out overall institutional strategies to attain specific targets related to teaching, research, and other activities, and have the virtue of providing flexibility to institutions in their choice of targets for improvement. (Strehl, Reisinger, and Kalatschan, 2007). Performance contracts have been widely used by several European countries (Denmark, Finland, France, Spain) and U.S. states (Virginia and Colorado). Overall, Latin America countries have little experience with these types of contracts. A notable exception is Chile, where performance contracts have been implemented since 2007, at first on a pilot basis, and now in a more systematic fashion (Salmi, 2013)</t>
    </r>
  </si>
  <si>
    <r>
      <t xml:space="preserve">What about the returns to experience in different types of firms? When the </t>
    </r>
    <r>
      <rPr>
        <i/>
        <sz val="10.5"/>
        <color theme="1"/>
        <rFont val="Calibri"/>
        <family val="2"/>
        <scheme val="minor"/>
      </rPr>
      <t>same</t>
    </r>
    <r>
      <rPr>
        <sz val="10.5"/>
        <color theme="1"/>
        <rFont val="Calibri"/>
        <family val="2"/>
        <scheme val="minor"/>
      </rPr>
      <t xml:space="preserve"> individuals are followed for a seven-year period in Chile, the conclusion is that the </t>
    </r>
    <r>
      <rPr>
        <i/>
        <sz val="10.5"/>
        <color theme="1"/>
        <rFont val="Calibri"/>
        <family val="2"/>
        <scheme val="minor"/>
      </rPr>
      <t>type</t>
    </r>
    <r>
      <rPr>
        <sz val="10.5"/>
        <color theme="1"/>
        <rFont val="Calibri"/>
        <family val="2"/>
        <scheme val="minor"/>
      </rPr>
      <t xml:space="preserve"> of firm where the workers are first observed matters both for wage levels and for wage growth (see Figure 10.2). As found in Chapter 4, the initial gap in wages between more and less educated workers does not close over the period. In fact, this gap actually widens. However, clearly both types of workers benefit from working in more productive firms. More educated workers in more productive firms enjoy an annual growth rate in average real wages that is three times higher than in less productive firms (6 percent and 2 percent, respectively). Less educated workers also experience three times higher growth rate in real wages in more productive firms compared to that in less productive firms (4.2 percent and 1.4 percent, respectively). The figure illustrates how a relatively short period in the work life of an individual, in particular at the beginning of his or her career, can be very consequential in amplifying differences in initial conditions. It also illustrates the importance of type of firm where individuals work.</t>
    </r>
  </si>
  <si>
    <r>
      <t>The Education Endowment Foundation and SUMMA</t>
    </r>
    <r>
      <rPr>
        <sz val="10.5"/>
        <color theme="1"/>
        <rFont val="Calibri"/>
        <family val="2"/>
        <scheme val="minor"/>
      </rPr>
      <t>. These two organizations build on the basic premise that the production and use of evidence are connected. They seek to promote both activities to exploit potential synergies. The Education Endowment Fund aims to improve student learning of primary and secondary students of low socioeconomic status in the United Kingdom. To finance its activities, it obtained a grant of about $200 million dollars in 2011 from the U.K. Department of Education. All interventions are independently evaluated by top research institutions. The vast majority of the evaluations use experimental methods. SUMMA seeks to improve the process of decision-making in educational policies and practices to increase the quality, equity, and inclusion of education systems in Latin America. It was launched in 2016 with the support of the Inter-American Development Bank, Fundación Chile, and the governments of Brazil, Chile, Colombia, Ecuador, Mexico, Peru, and Uruguay. The initiative aims to promote the use of innovative research methodologies that are well suited to be applied in the region. By documenting innovative practices, it also seeks to generate institutional models that promote innovation, produce comparative analyses of educational strategies, and spur novel solutions.</t>
    </r>
  </si>
  <si>
    <r>
      <t xml:space="preserve">An on-going evaluation of a daycare program in Colombia (Nores et al., 2016) illustrates the potential gains of high quality services in the region. AeioTU offers daycare for nine hours a day, 48 weeks a year, for infants and children up to 5 years of age. Child care ratios are low (but somewhat larger than in Abecedarian), most teachers have either a bachelors or vocational degree and receive extensive training prior to starting and during the job. The educational curriculum is based on project learning and balances teacher-directed and child-initiated activities. The meals provided at the centers cover up to 70 percent of a child’s daily nutritional needs. The cost of AeioTU is estimated to be US$1,870 per child per year—three times more than prevalent community programs such as </t>
    </r>
    <r>
      <rPr>
        <i/>
        <sz val="10.5"/>
        <color theme="1"/>
        <rFont val="Calibri"/>
        <family val="2"/>
        <scheme val="minor"/>
      </rPr>
      <t>Hogares Comunitarios</t>
    </r>
    <r>
      <rPr>
        <sz val="10.5"/>
        <color theme="1"/>
        <rFont val="Calibri"/>
        <family val="2"/>
        <scheme val="minor"/>
      </rPr>
      <t xml:space="preserve">. The evaluation, implemented in two centers with 818 children, has showed gains in language and cognitive development (Nores et al. 2016). </t>
    </r>
  </si>
  <si>
    <r>
      <t xml:space="preserve">Evaluations of government-funded daycare programs in the region are less encouraging. The program implemented in Bolivia, </t>
    </r>
    <r>
      <rPr>
        <i/>
        <sz val="10.5"/>
        <color theme="1"/>
        <rFont val="Calibri"/>
        <family val="2"/>
        <scheme val="minor"/>
      </rPr>
      <t>Proyecto Integral de Desarrollo</t>
    </r>
    <r>
      <rPr>
        <sz val="10.5"/>
        <color theme="1"/>
        <rFont val="Calibri"/>
        <family val="2"/>
        <scheme val="minor"/>
      </rPr>
      <t xml:space="preserve"> </t>
    </r>
    <r>
      <rPr>
        <i/>
        <sz val="10.5"/>
        <color theme="1"/>
        <rFont val="Calibri"/>
        <family val="2"/>
        <scheme val="minor"/>
      </rPr>
      <t>Infantil,</t>
    </r>
    <r>
      <rPr>
        <sz val="10.5"/>
        <color theme="1"/>
        <rFont val="Calibri"/>
        <family val="2"/>
        <scheme val="minor"/>
      </rPr>
      <t xml:space="preserve"> provided full-time daycare services in centers located in the homes of women living in low-income communities. Each center had about 15 children and about five children per provider. The program produced small positive effects on child cognitive skills (Behrman, Cheng and Todd 2004). A similar community-based program in Colombia (</t>
    </r>
    <r>
      <rPr>
        <i/>
        <sz val="10.5"/>
        <color theme="1"/>
        <rFont val="Calibri"/>
        <family val="2"/>
        <scheme val="minor"/>
      </rPr>
      <t>Hogares Comunitarios</t>
    </r>
    <r>
      <rPr>
        <sz val="10.5"/>
        <color theme="1"/>
        <rFont val="Calibri"/>
        <family val="2"/>
        <scheme val="minor"/>
      </rPr>
      <t xml:space="preserve">) with larger ratios of children per provider (about 12) had small positive effects on child cognitive skills (Bernal et al. 2009). Finally, a public program in Ecuador provided funding to attend full-time daycare. The participating daycares centers each had about 45 children with a ratio of children per provider between 8 and 10. These daycare centers actually had a small negative impact on child cognitive skills (Rosero and Oosterbeek, 2011). </t>
    </r>
  </si>
  <si>
    <r>
      <t>Among the four program types that were found to promote student learning effectively, monetary incentives for students to improve their test scores and the “no excuses” model have the largest average effects on student learning (16 and 14 learning points, respectively)</t>
    </r>
    <r>
      <rPr>
        <vertAlign val="superscript"/>
        <sz val="10.5"/>
        <color theme="1"/>
        <rFont val="Calibri"/>
        <family val="2"/>
        <scheme val="minor"/>
      </rPr>
      <t>[1]</t>
    </r>
    <r>
      <rPr>
        <sz val="10.5"/>
        <color theme="1"/>
        <rFont val="Calibri"/>
        <family val="2"/>
        <scheme val="minor"/>
      </rPr>
      <t xml:space="preserve"> (see Table 8.8). The “no excuses” model of charter schools capitalizes on the independence and flexibility they have to implement different approaches to education. Their effectiveness comes from a combination of practices that enhance learning: imposing high expectations for everyone, providing frequent teacher feedback, tutoring, and increased instructional time, while using a data-driven approach to instruction (Dobbie and Fryer 2011).  The extended school day also has a positive impact on student learning. Although the analysis included only two evaluations, the average effect size is 8 learning points.</t>
    </r>
    <r>
      <rPr>
        <b/>
        <sz val="10.5"/>
        <color theme="1"/>
        <rFont val="Calibri"/>
        <family val="2"/>
        <scheme val="minor"/>
      </rPr>
      <t xml:space="preserve"> </t>
    </r>
    <r>
      <rPr>
        <sz val="10.5"/>
        <color theme="1"/>
        <rFont val="Calibri"/>
        <family val="2"/>
        <scheme val="minor"/>
      </rPr>
      <t>Lastly, programs that help families pay for their children’s education, either with vouchers, school subsidies, or scholarships, have an average effect of 3 learning points, but vary within the region. The impact of attending a voucher school in Chile is 3 learning points (Lara, Mizala and Repetto 2009), while the average effect for Colombia’s voucher program is 18 learning points (Angrist, et al. 2002).</t>
    </r>
    <r>
      <rPr>
        <vertAlign val="superscript"/>
        <sz val="10.5"/>
        <color theme="1"/>
        <rFont val="Calibri"/>
        <family val="2"/>
        <scheme val="minor"/>
      </rPr>
      <t>[2]</t>
    </r>
    <r>
      <rPr>
        <sz val="10.5"/>
        <color theme="1"/>
        <rFont val="Calibri"/>
        <family val="2"/>
        <scheme val="minor"/>
      </rPr>
      <t xml:space="preserve"> Results vary widely with this type of program because the size of the voucher is very different and its effect depends on the type of schools and school inputs made available. </t>
    </r>
  </si>
  <si>
    <r>
      <t>Scholarships will boost quality if students can make informed choices and most providers are incentivized to compete for resources. However, these conditions are often absent. Resources from scholarships rarely represent a significant share of institutional budgets and beneficiaries are typically a minor share of the overall target population. Preferences and cultural stigmas have an important influence career choices. Thus, the central objective of scholarship programs will mainly be to improve access for a credit-constrained population.</t>
    </r>
    <r>
      <rPr>
        <vertAlign val="superscript"/>
        <sz val="10.5"/>
        <color theme="1"/>
        <rFont val="Calibri"/>
        <family val="2"/>
        <scheme val="minor"/>
      </rPr>
      <t>[1]</t>
    </r>
    <r>
      <rPr>
        <sz val="10.5"/>
        <color theme="1"/>
        <rFont val="Calibri"/>
        <family val="2"/>
        <scheme val="minor"/>
      </rPr>
      <t xml:space="preserve"> Ser Pilo Paga, for instance, alleviates a credit constraint for disadvantaged and high-achieving students who, thanks to the scholarship, can attend the top universities in Colombia. Resources are only allocated to institutions with high quality accreditation, something that in principle could create incentives for quality improvement among providers. But, since beneficiaries represent a small share of the target population, these quality effects will arguably be limited</t>
    </r>
    <r>
      <rPr>
        <vertAlign val="superscript"/>
        <sz val="10.5"/>
        <color theme="1"/>
        <rFont val="Calibri"/>
        <family val="2"/>
        <scheme val="minor"/>
      </rPr>
      <t>[2]</t>
    </r>
    <r>
      <rPr>
        <sz val="10.5"/>
        <color theme="1"/>
        <rFont val="Calibri"/>
        <family val="2"/>
        <scheme val="minor"/>
      </rPr>
      <t xml:space="preserve">. Thus, complementary, comprehensive policies that ensure quality and accountability of the whole system are essential, as will be discussed later in this chapter. </t>
    </r>
  </si>
  <si>
    <r>
      <t xml:space="preserve">Nonetheless, the coverage of these systems in many countries remains rather limited. In Colombia, for instance, only 13 percent of higher education institutions were accredited in 2016 according to the National Accreditation Council of Colombia, even though the system was instituted in 1992. Only 2 percent of the 5,705 private institutions in Mexico have been accredited. These low levels likely reflect the voluntary nature of accreditation and weak incentives. Only in Argentina is accreditation compulsory as discussed earlier, public resources are rarely allocated based on accreditation or other quality performance measures. For instance, despite the rapid expansion of private providers and the low levels of accreditation, loan eligibility is, with few exceptions, not used as an incentive for quality accreditation in the region. Programs like </t>
    </r>
    <r>
      <rPr>
        <i/>
        <sz val="10.5"/>
        <color theme="1"/>
        <rFont val="Calibri"/>
        <family val="2"/>
        <scheme val="minor"/>
      </rPr>
      <t>Ser Pilo Paga</t>
    </r>
    <r>
      <rPr>
        <sz val="10.5"/>
        <color theme="1"/>
        <rFont val="Calibri"/>
        <family val="2"/>
        <scheme val="minor"/>
      </rPr>
      <t xml:space="preserve">, that restrict eligibility to accredited institutions are rare and their coverage is typically very small. Given the small benefits from accreditation, there is little incentive to invest in this process. </t>
    </r>
  </si>
  <si>
    <r>
      <t>Quality assurance systems should increasingly inform their decisions with data on outcomes, as opposed to assessment of inputs. To do so means putting more effort into gathering quality data on variables such as learning outcomes and employability of graduates, information that is rare in the region. Brazil and Colombia are notable exceptions. Both countries require higher education students to take national standardized tests upon graduation. The tests—ENADE in Brazil and SABER PRO in Colombia— assess students in general skills common to all students and in specific skills tailored to each profession.</t>
    </r>
    <r>
      <rPr>
        <vertAlign val="superscript"/>
        <sz val="10.5"/>
        <color theme="1"/>
        <rFont val="Calibri"/>
        <family val="2"/>
        <scheme val="minor"/>
      </rPr>
      <t>[1]</t>
    </r>
    <r>
      <rPr>
        <sz val="10.5"/>
        <color theme="1"/>
        <rFont val="Calibri"/>
        <family val="2"/>
        <scheme val="minor"/>
      </rPr>
      <t xml:space="preserve"> These instruments offer great potential for assessing outcomes. In Colombia, for instance, measures of value added can be obtained by comparing the SABER PRO results with scores on the SABER 11, which is the standardized test students take after high school graduation.</t>
    </r>
    <r>
      <rPr>
        <vertAlign val="superscript"/>
        <sz val="10.5"/>
        <color theme="1"/>
        <rFont val="Calibri"/>
        <family val="2"/>
        <scheme val="minor"/>
      </rPr>
      <t>[2]</t>
    </r>
    <r>
      <rPr>
        <sz val="10.5"/>
        <color theme="1"/>
        <rFont val="Calibri"/>
        <family val="2"/>
        <scheme val="minor"/>
      </rPr>
      <t xml:space="preserve"> By using a value-added approach, these measures take into account the students’ academic baseline when assessing the results. The results of these assessments have been used to document the new and growing academic literature that analyzes the contribution of higher education to skills formation (see, for example, Saavedra and Saavedra 2011; Balcazar and Ñopo, 2014). Value-added measures have also been used to inform career choices, as they are made publicly available for prospective students. These efforts are led by ICFES, the national institution in charge of evaluating the quality of schooling in Colombia, which has a legal mandate to perform standardized tests and measure the value added of higher education</t>
    </r>
    <r>
      <rPr>
        <vertAlign val="superscript"/>
        <sz val="10.5"/>
        <color theme="1"/>
        <rFont val="Calibri"/>
        <family val="2"/>
        <scheme val="minor"/>
      </rPr>
      <t>[3]</t>
    </r>
    <r>
      <rPr>
        <sz val="10.5"/>
        <color theme="1"/>
        <rFont val="Calibri"/>
        <family val="2"/>
        <scheme val="minor"/>
      </rPr>
      <t xml:space="preserve">. As a result, Colombia has become a world leader in the assessment of the relative effectiveness of higher education institutions (OECD, 2012). </t>
    </r>
  </si>
  <si>
    <r>
      <t>The productivity of firms in Latin America and the Caribbean varies widely (Busso et al., 2010). In Colombia and Venezuela, firms in the 90</t>
    </r>
    <r>
      <rPr>
        <vertAlign val="superscript"/>
        <sz val="10.5"/>
        <color theme="1"/>
        <rFont val="Calibri"/>
        <family val="2"/>
        <scheme val="minor"/>
      </rPr>
      <t>th</t>
    </r>
    <r>
      <rPr>
        <sz val="10.5"/>
        <color theme="1"/>
        <rFont val="Calibri"/>
        <family val="2"/>
        <scheme val="minor"/>
      </rPr>
      <t xml:space="preserve"> percentile of the productivity distribution are 500 percent more productive than firms in the 10</t>
    </r>
    <r>
      <rPr>
        <vertAlign val="superscript"/>
        <sz val="10.5"/>
        <color theme="1"/>
        <rFont val="Calibri"/>
        <family val="2"/>
        <scheme val="minor"/>
      </rPr>
      <t>th</t>
    </r>
    <r>
      <rPr>
        <sz val="10.5"/>
        <color theme="1"/>
        <rFont val="Calibri"/>
        <family val="2"/>
        <scheme val="minor"/>
      </rPr>
      <t xml:space="preserve"> percentile. In the other countries in the region, the difference is around 300 percent, while in the United States it is 200 percent and in China less than 250 percent. This dispersion has important consequences for workers if more productive firms pay higher wages, and offer better growth opportunities to their employees. The dispersion can be related to the different production processes and technologies used by firms, and to differences in human capital and management skills</t>
    </r>
  </si>
  <si>
    <r>
      <t xml:space="preserve">Jovenes </t>
    </r>
    <r>
      <rPr>
        <sz val="10.5"/>
        <color theme="1"/>
        <rFont val="Calibri"/>
        <family val="2"/>
        <scheme val="minor"/>
      </rPr>
      <t xml:space="preserve">programs in Latin America and the Caribbean have had a positive impact on labor insertion and conditions. The impact, however, is often restricted to certain sub-groups of the population, or to specific regions of the country. In Panama and Colombia, these programs have favorably impacted the employment opportunity, working hours, and labor income of women. In the Dominican Republic and Colombia, men have found more employment in the formal sector. In some countries, such as Panama, results have varied from region to region (Gonzalez-Velosa et al., 2012; Ibarrarán and Rosas-Shady, 2007, 2009; Puentes and Urzúa, 2010; Attanassio et al., 2011; Ibarraran et al., 2014) </t>
    </r>
  </si>
  <si>
    <r>
      <t xml:space="preserve">Randomized controlled trials (RCT) have been performed and analyzed in four programs in the region: </t>
    </r>
    <r>
      <rPr>
        <i/>
        <sz val="10.5"/>
        <color theme="1"/>
        <rFont val="Calibri"/>
        <family val="2"/>
        <scheme val="minor"/>
      </rPr>
      <t xml:space="preserve">Entra21 </t>
    </r>
    <r>
      <rPr>
        <sz val="10.5"/>
        <color theme="1"/>
        <rFont val="Calibri"/>
        <family val="2"/>
        <scheme val="minor"/>
      </rPr>
      <t xml:space="preserve">in Argentina, three years after training; </t>
    </r>
    <r>
      <rPr>
        <i/>
        <sz val="10.5"/>
        <color theme="1"/>
        <rFont val="Calibri"/>
        <family val="2"/>
        <scheme val="minor"/>
      </rPr>
      <t>Jóvenes en Acción</t>
    </r>
    <r>
      <rPr>
        <sz val="10.5"/>
        <color theme="1"/>
        <rFont val="Calibri"/>
        <family val="2"/>
        <scheme val="minor"/>
      </rPr>
      <t xml:space="preserve"> in Colombia, ten years after; </t>
    </r>
    <r>
      <rPr>
        <i/>
        <sz val="10.5"/>
        <color theme="1"/>
        <rFont val="Calibri"/>
        <family val="2"/>
        <scheme val="minor"/>
      </rPr>
      <t>Juventud y Empleo</t>
    </r>
    <r>
      <rPr>
        <sz val="10.5"/>
        <color theme="1"/>
        <rFont val="Calibri"/>
        <family val="2"/>
        <scheme val="minor"/>
      </rPr>
      <t xml:space="preserve"> in the Dominican Republic, six years after; and </t>
    </r>
    <r>
      <rPr>
        <i/>
        <sz val="10.5"/>
        <color theme="1"/>
        <rFont val="Calibri"/>
        <family val="2"/>
        <scheme val="minor"/>
      </rPr>
      <t>Projoven</t>
    </r>
    <r>
      <rPr>
        <sz val="10.5"/>
        <color theme="1"/>
        <rFont val="Calibri"/>
        <family val="2"/>
        <scheme val="minor"/>
      </rPr>
      <t xml:space="preserve"> in Peru, three years after. In general, these programs continue to have a positive impact on the quality of employment in the medium and long term (Alzua et al., 2015; Attanasio et al., 2015; Kugler et al., 2015; Ibarraran et al., 2015; Diaz and Rosas-Shady, 2016)</t>
    </r>
  </si>
  <si>
    <r>
      <t>The direct costs of these programs are usually low because they do not last long and are aimed at helping individuals find a job. Cost-benefit analyses for Colombia and the Dominican Republic confirm their positive total benefits net of costs (Attanasio et al., 2015; Kugler et al., 2015; Card et al, 2011).</t>
    </r>
    <r>
      <rPr>
        <vertAlign val="superscript"/>
        <sz val="10.5"/>
        <color theme="1"/>
        <rFont val="Calibri"/>
        <family val="2"/>
        <scheme val="minor"/>
      </rPr>
      <t xml:space="preserve"> </t>
    </r>
  </si>
  <si>
    <r>
      <t>In most Latin American and Caribbean countries, a compulsory payroll contribution on firms is the principal source of financing for training. These resources fund national training institutes (NTIs) that provide free or low-cost training. NTIs were created in the mid-20</t>
    </r>
    <r>
      <rPr>
        <vertAlign val="superscript"/>
        <sz val="10.5"/>
        <color theme="1"/>
        <rFont val="Calibri"/>
        <family val="2"/>
        <scheme val="minor"/>
      </rPr>
      <t>th</t>
    </r>
    <r>
      <rPr>
        <sz val="10.5"/>
        <color theme="1"/>
        <rFont val="Calibri"/>
        <family val="2"/>
        <scheme val="minor"/>
      </rPr>
      <t xml:space="preserve"> century to train active workers in technical skills. In the 1980s, as a result of stabilization measures and structural reforms enacted throughout the region, this traditional training model came under scrutiny. In the following years, these institutes were reformed to improve their responsiveness to the needs of the labor market and to include other segments of the population such as unemployed youth (Ibarraran and Rosas-Shady, 2009). Some countries (Chile, Paraguay, Uruguay, and El Salvador) issue tenders to public or private institutions to offer courses, instead of channeling the training through NTIs. Meanwhile, in most countries (Colombia, Ecuador, Honduras, Mexico, Panama, and the Dominican Republic) NTIs still operate as training providers (Alaimo et al., 2015; Huneeus et.al., 2013; Ricart et al., 2014)</t>
    </r>
  </si>
  <si>
    <r>
      <t>MineduLAB.</t>
    </r>
    <r>
      <rPr>
        <sz val="10.5"/>
        <color theme="1"/>
        <rFont val="Calibri"/>
        <family val="2"/>
        <scheme val="minor"/>
      </rPr>
      <t xml:space="preserve"> Instead of facilitating the use of existing evidence, MineduLAB focuses on producing new evidence. This initiative, launched in 2016 by the Ministry of Education of Peru, spurs innovation in the education sector in Peru to identify scalable cost-effective interventions to improve educational outcomes. MineduLAB partners with researchers to identify promising interventions that can be rigorously tested in the field and to guarantee high standards for the evaluations implemented. To reduce the costs of the evaluations, it makes extensive use of administrative data, including national standardized examinations. All interventions are implemented by the government of Peru. Thus, the results are reliable and are directly relevant to public policy in the region. In a short period of time MineduLAB has produced an impressive portfolio of potential innovations including the evaluation of Grow your Mind described earlier</t>
    </r>
  </si>
  <si>
    <r>
      <t xml:space="preserve">Going forward, countries need to weigh the costs and implementation challenges of approaches, and not only their prospective effectiveness. For example, competitive teacher selection has the potential to significantly impact student learning, but the political economy of these reforms is challenging in countries with strong teacher unions. Extending the school day has moderate impacts on student learning, but requires large investments in school infrastructure and hiring teachers (C. Bellei 2009). In contrast, the large impacts on student achievement of the program in Honduras (after two years) cost about $471 annually per student, 10 percent below the cost of traditional high schools in Honduras. Finally, programs like </t>
    </r>
    <r>
      <rPr>
        <i/>
        <sz val="10.5"/>
        <color theme="1"/>
        <rFont val="Calibri"/>
        <family val="2"/>
        <scheme val="minor"/>
      </rPr>
      <t>“</t>
    </r>
    <r>
      <rPr>
        <sz val="10.5"/>
        <color theme="1"/>
        <rFont val="Calibri"/>
        <family val="2"/>
        <scheme val="minor"/>
      </rPr>
      <t>Expande tu mente</t>
    </r>
    <r>
      <rPr>
        <i/>
        <sz val="10.5"/>
        <color theme="1"/>
        <rFont val="Calibri"/>
        <family val="2"/>
        <scheme val="minor"/>
      </rPr>
      <t>”</t>
    </r>
    <r>
      <rPr>
        <sz val="10.5"/>
        <color theme="1"/>
        <rFont val="Calibri"/>
        <family val="2"/>
        <scheme val="minor"/>
      </rPr>
      <t xml:space="preserve"> in Peru have had important impacts on student learning with very low implementation costs. The Peruvian program costs approximately $0.60 per student for a one-time intervention (Ministerio de Educacion de Peru 2017)</t>
    </r>
  </si>
  <si>
    <t>Copyright © 2017 Inter-American Development Bank. This work is licensed under a Creative Commons IGO 3.0 Attribution-NonCommercial-NoDerivatives license (http://creativecommons.org/licenses/by-nc-nd/3.0/igo/legalcode) and may be reproduced with attribution to the IDB and for any non-commercial purpose. No derivative work is allowed.</t>
  </si>
  <si>
    <t>Copyright © 2017 Banco Interamericano de Desarrollo. Esta obra se encuentra sujeta a una licencia Creative Commons IGO 3.0 Reconocimiento-NoComercial-SinObrasDerivadas (CC-IGO 3.0 BY-NC-ND) (http://creativecommons.org/licenses/by-nc-nd/3.0/igo/legalcode) y puede ser reproducida para cualquier uso no-comercial otorgando el reconocimiento respectivo al BID. No se permiten obras derivadas.</t>
  </si>
  <si>
    <t>Any dispute related to the use of the works of the IDB that cannot be settled amicably shall be submitted to arbitration pursuant to the UNCITRAL rules. The use of the IDB’s name for any purpose other than for attribution, and the use of IDB’s logo shall be subject to a separate written license agreement between the IDB and the user and is not authorized as part of this CC-IGO license.</t>
  </si>
  <si>
    <t>Cualquier disputa relacionada con el uso de las obras del BID que no pueda resolverse amistosamente se someterá a arbitraje de conformidad con las reglas de la CNUDMI (UNCITRAL). El uso del nombre del BID para cualquier fin distinto al reconocimiento respectivo y el uso del logotipo del BID, no están autorizados por esta licencia CC-IGO y requieren de un acuerdo de licencia adicional.</t>
  </si>
  <si>
    <t>Note that link provided above includes additional terms and conditions of the license.</t>
  </si>
  <si>
    <t>Note que el enlace URL incluye términos y condiciones adicionales de esta licencia.</t>
  </si>
  <si>
    <t>The results offered in this database/dataset are those compiled by the authors and do not necessarily reflect the views of the Inter-American Development Bank, its Board of Directors, or the countries they represent.</t>
  </si>
  <si>
    <t>Los resultados ofrecidos en esta/e base de datos/conjunto de datos son los compilados por los autores y no necesariamente reflejan el punto de vista del Banco Interamericano de Desarrollo, de su Directorio Ejecutivo ni de los países que representa.</t>
  </si>
  <si>
    <t>Disclaimer: The information included herein is for informational purposes only. The data and graphics included herein represent the information provided by the participating countries (Argentina, The Bahamas, Barbados, Belize, Bolivia, Brazil, Chile, Colombia, Costa Rica, Dominican Republic, Ecuador, El Salvador, Guatemala, Guyana, Haiti, Honduras, Jamaica, Mexico, Nicaragua, Panama, Paraguay, Peru, Suriname, Trinidad &amp; Tobago, Uruguay and Venezuela). This information does not have an official character, and is obtained from a questionnaire that is based on a standardized methodology applied by the group of specialists in public debt management of Latin America and the Caribbean in order to have comparative indicators for the region. If you require official information from a participant country, please contact directly the Public Debt Office of the participant country. Under no circumstance or motive, neither these countries nor the Inter-American Development Bank give statements or warranties of any kind, neither explicit nor implicit, regarding the completeness, accuracy, reliability, suitability or availability of data or related graphics contained herein. Any use made of the information contained herein is the sole responsibility and risk of the user. In no case will the countries or the Inter-American Development Bank be liable for any loss or damage which may arise from, or be connected to the access or use of this information, including but not limited to, loss or direct or indirect damage, consequential damage or loss of profits. The inclusion of electronic links does not imply an investment recommendation nor an endorsement of the views expressed in them. Before relying upon the information published herein, users should seek the advice of an independent professional counselor. Citing and reproducing this publication for personal, non-commercial use is permitted. Users wishing to include data or graphics of this publication in non-commercial print publications and audiovisual materials are kindly requested to give appropriate credit. Requests for authorization regarding other uses should be directed to LACDEBTGRP@iadb.org. More information: http://www.iadb.org/en/topics/finance/lac-debt-group/disclaimer,6922.html</t>
  </si>
  <si>
    <t>Aviso Legal: La información aquí contenida es de carácter meramente informativo. La información que aquí se incluye presenta la información que ha sido proporcionada por los países participantes (Argentina, Bahamas, Barbados, Belice, Bolivia, Brasil, Chile, Colombia, Costa Rica, República Dominicana, Ecuador, El Salvador, Guatemala, Guyana, Haití, Honduras, Jamaica, México, Nicaragua, Panamá, Paraguay, Perú, Suriname, Trinidad y Tobago, Uruguay y Venezuela). Dicha información no tiene carácter oficial, ya que se obtiene a partir de un cuestionario basado en una metodología de estandarización aplicada por el grupo de especialistas en gestión de deuda pública de América Latina y el Caribe con el fin de tener indicadores comparativos en la región. En caso se requiera información oficial de cualquiera de los países participantes, sírvanse contactar directamente a la Oficina de Deuda Pública de dicho país. Bajo ninguna circunstancia o motivo, los países participantes o el Banco Interamericano de Desarrollo efectúan declaraciones u otorgan garantías de clase alguna, sean explícitas o implícitas, acerca de la completitud, exactitud, confiabilidad, conveniencia o disponibilidad de los datos o gráficos aquí contenidos. Cualquier uso de la información aquí contenida es de exclusiva responsabilidad y riesgo del usuario. En ningún caso, los países participantes o el Banco Interamericano de Desarrollo serán responsables de cualquier daño o perjuicio que pueda derivarse de, o tener conexión con, el acceso o uso de esta información, lo que incluye, pero no se limita a, pérdidas o daños directos o indirectos, daño emergente o lucro cesante. La inclusión de enlaceselectrónicos no implica una recomendación de inversión ni un respaldo de las opiniones en ellos expresadas. Antes de confiar en la información aquí contenida, el usuario debe contar con una asesoría profesional independiente. El uso personal y no comercial de las citas o reproducciones de esta publicación está permitido. Las personas que deseen incluir datos o gráficos de esta publicación en otras publicaciones impresas o en material audiovisual de carácter no comercial, deberán citar apropiadamente la fuente. Las solicitudes de autorización para otros usos deben dirigirse a LACDEBTGRP@iadb.org. Más información: http://www.iadb.org/es/temas/finanzas/lac-debt-group/aviso-legal,6922.html</t>
  </si>
  <si>
    <t>DIA 2017 - Learning better_Public Policy for Skills Development</t>
  </si>
  <si>
    <t>This interactive dataset will allow you to see the data used in the DIA “Learning Better” by following three simple steps:
1. In the sheet called “1.Main”, select the country you want to see the data on. If you select Latin America and the Caribbean, you will see the aggregate results for the region
2. In the sheet called “2. Summary”, you can see which graphs have data on the country you selected
3. Explore the data!</t>
  </si>
  <si>
    <t>Author: Department of Research and Chief Economist</t>
  </si>
  <si>
    <t>Contact person: Julian Messina</t>
  </si>
  <si>
    <t>Autor: Department de Investigacion y Economista Jefe</t>
  </si>
  <si>
    <t>Persona de contacto: Julian Messina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</si>
</sst>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
    <numFmt numFmtId="166" formatCode="0.000"/>
    <numFmt numFmtId="167" formatCode="&quot;$&quot;#,##0"/>
    <numFmt numFmtId="168" formatCode="General_)"/>
    <numFmt numFmtId="169" formatCode="&quot;£&quot;#,##0.00;\-&quot;£&quot;#,##0.00"/>
    <numFmt numFmtId="170" formatCode="_ * #,##0.00_ ;_ * \-#,##0.00_ ;_ * &quot;-&quot;??_ ;_ @_ "/>
    <numFmt numFmtId="171" formatCode="#,##0.000"/>
    <numFmt numFmtId="172" formatCode="#,##0.0"/>
    <numFmt numFmtId="173" formatCode="#,##0.00%;[Red]\(#,##0.00%\)"/>
    <numFmt numFmtId="174" formatCode="&quot;$&quot;#,##0\ ;\(&quot;$&quot;#,##0\)"/>
    <numFmt numFmtId="175" formatCode="_-* #,##0.00\ [$€]_-;\-* #,##0.00\ [$€]_-;_-* &quot;-&quot;??\ [$€]_-;_-@_-"/>
    <numFmt numFmtId="176" formatCode="&quot;$&quot;#,##0_);\(&quot;$&quot;#,##0.0\)"/>
    <numFmt numFmtId="177" formatCode="_-* #,##0_-;\-* #,##0_-;_-* &quot;-&quot;_-;_-@_-"/>
    <numFmt numFmtId="178" formatCode="_-* #,##0.00_-;\-* #,##0.00_-;_-* &quot;-&quot;??_-;_-@_-"/>
    <numFmt numFmtId="179" formatCode="_-&quot;$&quot;* #,##0_-;\-&quot;$&quot;* #,##0_-;_-&quot;$&quot;* &quot;-&quot;_-;_-@_-"/>
    <numFmt numFmtId="180" formatCode="_-&quot;$&quot;* #,##0.00_-;\-&quot;$&quot;* #,##0.00_-;_-&quot;$&quot;* &quot;-&quot;??_-;_-@_-"/>
    <numFmt numFmtId="181" formatCode="0.00_)"/>
    <numFmt numFmtId="182" formatCode="_-* #,##0.00\ _k_r_-;\-* #,##0.00\ _k_r_-;_-* &quot;-&quot;??\ _k_r_-;_-@_-"/>
    <numFmt numFmtId="183" formatCode="_(* #,##0_);_(* \(#,##0\);_(* &quot;-&quot;??_);_(@_)"/>
  </numFmts>
  <fonts count="162">
    <font>
      <sz val="11"/>
      <color theme="1"/>
      <name val="Calibri"/>
      <family val="2"/>
      <scheme val="minor"/>
    </font>
    <font>
      <sz val="11"/>
      <color theme="1"/>
      <name val="Calibri"/>
      <family val="2"/>
      <scheme val="minor"/>
    </font>
    <font>
      <b/>
      <sz val="11"/>
      <color theme="1"/>
      <name val="Calibri"/>
      <family val="2"/>
      <scheme val="minor"/>
    </font>
    <font>
      <b/>
      <sz val="14"/>
      <color theme="1"/>
      <name val="Times New Roman"/>
      <family val="1"/>
    </font>
    <font>
      <sz val="12"/>
      <color theme="1"/>
      <name val="Times New Roman"/>
      <family val="1"/>
    </font>
    <font>
      <b/>
      <sz val="11"/>
      <color theme="1"/>
      <name val="Times New Roman"/>
      <family val="1"/>
    </font>
    <font>
      <sz val="10"/>
      <color theme="1"/>
      <name val="Times New Roman"/>
      <family val="1"/>
    </font>
    <font>
      <sz val="10"/>
      <name val="Arial"/>
      <family val="2"/>
    </font>
    <font>
      <sz val="11"/>
      <color rgb="FF000000"/>
      <name val="Calibri"/>
      <family val="2"/>
      <charset val="204"/>
    </font>
    <font>
      <sz val="8"/>
      <color theme="1"/>
      <name val="Calibri"/>
      <family val="2"/>
      <scheme val="minor"/>
    </font>
    <font>
      <sz val="14"/>
      <color rgb="FF000000"/>
      <name val="Times New Roman"/>
      <family val="1"/>
    </font>
    <font>
      <b/>
      <sz val="18"/>
      <color rgb="FF000000"/>
      <name val="Calibri"/>
      <family val="2"/>
      <scheme val="minor"/>
    </font>
    <font>
      <b/>
      <sz val="12"/>
      <color theme="1"/>
      <name val="Times New Roman"/>
      <family val="1"/>
    </font>
    <font>
      <sz val="11"/>
      <color theme="1"/>
      <name val="Cambria"/>
      <family val="1"/>
    </font>
    <font>
      <sz val="10"/>
      <color theme="1"/>
      <name val="Cambria"/>
      <family val="1"/>
    </font>
    <font>
      <b/>
      <sz val="12"/>
      <color theme="1"/>
      <name val="Calibri"/>
      <family val="2"/>
      <scheme val="minor"/>
    </font>
    <font>
      <sz val="11"/>
      <color theme="0" tint="-0.14999847407452621"/>
      <name val="Calibri"/>
      <family val="2"/>
      <scheme val="minor"/>
    </font>
    <font>
      <i/>
      <u/>
      <sz val="12"/>
      <color theme="1"/>
      <name val="Times New Roman"/>
      <family val="1"/>
    </font>
    <font>
      <i/>
      <u/>
      <sz val="11"/>
      <color theme="1"/>
      <name val="Calibri"/>
      <family val="2"/>
      <scheme val="minor"/>
    </font>
    <font>
      <b/>
      <sz val="14"/>
      <color rgb="FF000000"/>
      <name val="Times New Roman"/>
      <family val="1"/>
    </font>
    <font>
      <sz val="12"/>
      <color rgb="FF000000"/>
      <name val="Times New Roman"/>
      <family val="1"/>
    </font>
    <font>
      <i/>
      <sz val="12"/>
      <color rgb="FF000000"/>
      <name val="Times New Roman"/>
      <family val="1"/>
    </font>
    <font>
      <sz val="10"/>
      <color rgb="FF000000"/>
      <name val="Times New Roman"/>
      <family val="1"/>
    </font>
    <font>
      <i/>
      <sz val="12"/>
      <color theme="1"/>
      <name val="Times New Roman"/>
      <family val="1"/>
    </font>
    <font>
      <sz val="11"/>
      <color theme="1"/>
      <name val="Times New Roman"/>
      <family val="1"/>
    </font>
    <font>
      <u/>
      <sz val="11"/>
      <color theme="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4"/>
      <name val="Times New Roman"/>
      <family val="1"/>
    </font>
    <font>
      <sz val="10"/>
      <color theme="1"/>
      <name val="Calibri"/>
      <family val="2"/>
      <scheme val="minor"/>
    </font>
    <font>
      <b/>
      <i/>
      <sz val="12"/>
      <color theme="1"/>
      <name val="Times New Roman"/>
      <family val="1"/>
    </font>
    <font>
      <sz val="10"/>
      <color indexed="8"/>
      <name val="Arial"/>
      <family val="2"/>
    </font>
    <font>
      <sz val="11"/>
      <color indexed="8"/>
      <name val="Calibri"/>
      <family val="2"/>
    </font>
    <font>
      <sz val="11"/>
      <color indexed="8"/>
      <name val="ＭＳ Ｐゴシック"/>
      <family val="3"/>
      <charset val="128"/>
    </font>
    <font>
      <sz val="10"/>
      <color indexed="9"/>
      <name val="Arial"/>
      <family val="2"/>
    </font>
    <font>
      <sz val="11"/>
      <color indexed="9"/>
      <name val="Calibri"/>
      <family val="2"/>
    </font>
    <font>
      <sz val="11"/>
      <color indexed="9"/>
      <name val="ＭＳ Ｐゴシック"/>
      <family val="3"/>
      <charset val="128"/>
    </font>
    <font>
      <sz val="10"/>
      <name val="Times New Roman"/>
      <family val="1"/>
    </font>
    <font>
      <sz val="11"/>
      <color indexed="20"/>
      <name val="Calibri"/>
      <family val="2"/>
    </font>
    <font>
      <sz val="8"/>
      <name val="Arial"/>
      <family val="2"/>
    </font>
    <font>
      <b/>
      <sz val="8"/>
      <color indexed="8"/>
      <name val="MS Sans Serif"/>
      <family val="2"/>
    </font>
    <font>
      <sz val="11"/>
      <name val="µ¸¿ò"/>
      <charset val="129"/>
    </font>
    <font>
      <sz val="9"/>
      <color indexed="9"/>
      <name val="Times"/>
      <family val="1"/>
    </font>
    <font>
      <b/>
      <sz val="11"/>
      <color indexed="10"/>
      <name val="Calibri"/>
      <family val="2"/>
    </font>
    <font>
      <b/>
      <sz val="11"/>
      <color indexed="9"/>
      <name val="Calibri"/>
      <family val="2"/>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sz val="9"/>
      <color indexed="8"/>
      <name val="Times"/>
      <family val="1"/>
    </font>
    <font>
      <sz val="10"/>
      <color theme="1"/>
      <name val="Arial"/>
      <family val="2"/>
    </font>
    <font>
      <sz val="9"/>
      <name val="Times"/>
      <family val="1"/>
    </font>
    <font>
      <sz val="9"/>
      <name val="Times New Roman"/>
      <family val="1"/>
    </font>
    <font>
      <sz val="10"/>
      <color indexed="8"/>
      <name val="MS Sans Serif"/>
      <family val="2"/>
    </font>
    <font>
      <b/>
      <sz val="12"/>
      <color indexed="12"/>
      <name val="Bookman"/>
      <family val="1"/>
    </font>
    <font>
      <b/>
      <i/>
      <u/>
      <sz val="10"/>
      <color indexed="10"/>
      <name val="Bookman"/>
      <family val="1"/>
    </font>
    <font>
      <sz val="8.5"/>
      <color indexed="8"/>
      <name val="MS Sans Serif"/>
      <family val="2"/>
    </font>
    <font>
      <sz val="10"/>
      <name val="Courier"/>
      <family val="3"/>
    </font>
    <font>
      <i/>
      <sz val="11"/>
      <color indexed="23"/>
      <name val="Calibri"/>
      <family val="2"/>
    </font>
    <font>
      <sz val="8"/>
      <color indexed="8"/>
      <name val="Arial"/>
      <family val="2"/>
    </font>
    <font>
      <sz val="10"/>
      <color indexed="8"/>
      <name val="Arial"/>
      <family val="2"/>
      <charset val="238"/>
    </font>
    <font>
      <sz val="11"/>
      <color indexed="17"/>
      <name val="Calibri"/>
      <family val="2"/>
    </font>
    <font>
      <b/>
      <sz val="12"/>
      <name val="Arial"/>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u/>
      <sz val="10"/>
      <color indexed="36"/>
      <name val="Arial"/>
      <family val="2"/>
    </font>
    <font>
      <sz val="10"/>
      <color indexed="20"/>
      <name val="Arial"/>
      <family val="2"/>
    </font>
    <font>
      <u/>
      <sz val="10"/>
      <color indexed="12"/>
      <name val="MS Sans Serif"/>
      <family val="2"/>
    </font>
    <font>
      <u/>
      <sz val="7.5"/>
      <color indexed="12"/>
      <name val="Courier"/>
      <family val="3"/>
    </font>
    <font>
      <u/>
      <sz val="10"/>
      <color theme="10"/>
      <name val="Arial"/>
      <family val="2"/>
    </font>
    <font>
      <u/>
      <sz val="7.5"/>
      <color theme="10"/>
      <name val="Arial"/>
      <family val="2"/>
    </font>
    <font>
      <u/>
      <sz val="8.5"/>
      <color theme="10"/>
      <name val="Arial"/>
      <family val="2"/>
    </font>
    <font>
      <sz val="10"/>
      <color indexed="17"/>
      <name val="Arial"/>
      <family val="2"/>
    </font>
    <font>
      <sz val="11"/>
      <color indexed="62"/>
      <name val="Calibri"/>
      <family val="2"/>
    </font>
    <font>
      <b/>
      <sz val="10"/>
      <name val="Arial"/>
      <family val="2"/>
    </font>
    <font>
      <b/>
      <sz val="8.5"/>
      <color indexed="8"/>
      <name val="MS Sans Serif"/>
      <family val="2"/>
    </font>
    <font>
      <b/>
      <sz val="10"/>
      <color indexed="10"/>
      <name val="Arial"/>
      <family val="2"/>
    </font>
    <font>
      <sz val="8"/>
      <name val="Arial"/>
      <family val="2"/>
      <charset val="238"/>
    </font>
    <font>
      <sz val="11"/>
      <color indexed="10"/>
      <name val="Calibri"/>
      <family val="2"/>
    </font>
    <font>
      <sz val="10"/>
      <color indexed="10"/>
      <name val="Arial"/>
      <family val="2"/>
    </font>
    <font>
      <sz val="10"/>
      <color indexed="19"/>
      <name val="Arial"/>
      <family val="2"/>
    </font>
    <font>
      <b/>
      <i/>
      <sz val="16"/>
      <name val="Helv"/>
    </font>
    <font>
      <sz val="10"/>
      <name val="MS Sans Serif"/>
      <family val="2"/>
    </font>
    <font>
      <sz val="8"/>
      <name val="Courier"/>
      <family val="3"/>
    </font>
    <font>
      <sz val="10"/>
      <name val="Helvetica"/>
      <family val="2"/>
    </font>
    <font>
      <sz val="10"/>
      <name val="Verdana"/>
      <family val="2"/>
    </font>
    <font>
      <sz val="8"/>
      <color theme="1"/>
      <name val="Arial"/>
      <family val="2"/>
    </font>
    <font>
      <sz val="10"/>
      <name val="MS Sans Serif"/>
      <family val="2"/>
      <charset val="177"/>
    </font>
    <font>
      <sz val="10"/>
      <name val="Calibri"/>
      <family val="2"/>
    </font>
    <font>
      <sz val="10"/>
      <color indexed="8"/>
      <name val="Times"/>
      <family val="1"/>
    </font>
    <font>
      <b/>
      <sz val="18"/>
      <color indexed="62"/>
      <name val="Cambria"/>
      <family val="2"/>
    </font>
    <font>
      <b/>
      <sz val="15"/>
      <color indexed="62"/>
      <name val="Arial"/>
      <family val="2"/>
    </font>
    <font>
      <b/>
      <sz val="13"/>
      <color indexed="62"/>
      <name val="Arial"/>
      <family val="2"/>
    </font>
    <font>
      <b/>
      <sz val="11"/>
      <color indexed="62"/>
      <name val="Arial"/>
      <family val="2"/>
    </font>
    <font>
      <b/>
      <sz val="11"/>
      <color indexed="63"/>
      <name val="Calibri"/>
      <family val="2"/>
    </font>
    <font>
      <b/>
      <u/>
      <sz val="10"/>
      <color indexed="8"/>
      <name val="MS Sans Serif"/>
      <family val="2"/>
    </font>
    <font>
      <sz val="7.5"/>
      <color indexed="8"/>
      <name val="MS Sans Serif"/>
      <family val="2"/>
    </font>
    <font>
      <i/>
      <sz val="10"/>
      <color indexed="23"/>
      <name val="Arial"/>
      <family val="2"/>
    </font>
    <font>
      <b/>
      <sz val="10"/>
      <color indexed="8"/>
      <name val="MS Sans Serif"/>
      <family val="2"/>
    </font>
    <font>
      <sz val="10"/>
      <color indexed="62"/>
      <name val="Arial"/>
      <family val="2"/>
    </font>
    <font>
      <b/>
      <sz val="14"/>
      <name val="Helv"/>
    </font>
    <font>
      <b/>
      <sz val="12"/>
      <name val="Helv"/>
    </font>
    <font>
      <b/>
      <sz val="10"/>
      <color indexed="9"/>
      <name val="Arial"/>
      <family val="2"/>
    </font>
    <font>
      <i/>
      <sz val="8"/>
      <name val="Tms Rmn"/>
    </font>
    <font>
      <b/>
      <sz val="8"/>
      <name val="Arial"/>
      <family val="2"/>
    </font>
    <font>
      <b/>
      <sz val="8"/>
      <name val="Tms Rmn"/>
    </font>
    <font>
      <b/>
      <sz val="11"/>
      <color indexed="8"/>
      <name val="Calibri"/>
      <family val="2"/>
    </font>
    <font>
      <b/>
      <sz val="10"/>
      <color indexed="63"/>
      <name val="Arial"/>
      <family val="2"/>
    </font>
    <font>
      <sz val="10"/>
      <name val="Times"/>
      <family val="1"/>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2"/>
      <name val="Times New Roman"/>
      <family val="1"/>
    </font>
    <font>
      <b/>
      <sz val="12"/>
      <name val="Times New Roman"/>
      <family val="1"/>
    </font>
    <font>
      <sz val="11"/>
      <color theme="1"/>
      <name val="Arial"/>
      <family val="2"/>
    </font>
    <font>
      <b/>
      <sz val="11"/>
      <color theme="1"/>
      <name val="Arial"/>
      <family val="2"/>
    </font>
    <font>
      <sz val="8"/>
      <color theme="1"/>
      <name val="Times New Roman"/>
      <family val="1"/>
    </font>
    <font>
      <b/>
      <sz val="12"/>
      <color rgb="FF000000"/>
      <name val="Times New Roman"/>
      <family val="1"/>
    </font>
    <font>
      <sz val="9"/>
      <color theme="1"/>
      <name val="Times New Roman"/>
      <family val="1"/>
    </font>
    <font>
      <b/>
      <sz val="9"/>
      <color theme="1"/>
      <name val="Times New Roman"/>
      <family val="1"/>
    </font>
    <font>
      <u/>
      <sz val="8"/>
      <color theme="1"/>
      <name val="Verdana"/>
      <family val="2"/>
    </font>
    <font>
      <b/>
      <vertAlign val="superscript"/>
      <sz val="14"/>
      <name val="Times New Roman"/>
      <family val="1"/>
    </font>
    <font>
      <b/>
      <sz val="8"/>
      <color theme="1"/>
      <name val="Verdana"/>
      <family val="2"/>
    </font>
    <font>
      <sz val="8"/>
      <color theme="1"/>
      <name val="Verdana"/>
      <family val="2"/>
    </font>
    <font>
      <sz val="9"/>
      <color indexed="81"/>
      <name val="Tahoma"/>
      <family val="2"/>
    </font>
    <font>
      <b/>
      <sz val="11"/>
      <color theme="1"/>
      <name val="Calibri"/>
      <scheme val="minor"/>
    </font>
    <font>
      <b/>
      <sz val="10.5"/>
      <color theme="1"/>
      <name val="Calibri"/>
      <family val="2"/>
      <scheme val="minor"/>
    </font>
    <font>
      <sz val="10.5"/>
      <color theme="1"/>
      <name val="Calibri"/>
      <family val="2"/>
      <scheme val="minor"/>
    </font>
    <font>
      <sz val="10.5"/>
      <name val="Calibri"/>
      <family val="2"/>
      <scheme val="minor"/>
    </font>
    <font>
      <vertAlign val="superscript"/>
      <sz val="10.5"/>
      <color theme="1"/>
      <name val="Calibri"/>
      <family val="2"/>
      <scheme val="minor"/>
    </font>
    <font>
      <i/>
      <sz val="10.5"/>
      <color theme="1"/>
      <name val="Calibri"/>
      <family val="2"/>
      <scheme val="minor"/>
    </font>
    <font>
      <u/>
      <sz val="10.5"/>
      <color theme="10"/>
      <name val="Calibri"/>
      <family val="2"/>
      <scheme val="minor"/>
    </font>
    <font>
      <sz val="10.5"/>
      <color rgb="FF000000"/>
      <name val="Calibri"/>
      <family val="2"/>
      <scheme val="minor"/>
    </font>
    <font>
      <sz val="10.5"/>
      <color theme="10"/>
      <name val="Calibri"/>
      <family val="2"/>
      <scheme val="minor"/>
    </font>
    <font>
      <i/>
      <u/>
      <sz val="14"/>
      <color theme="1"/>
      <name val="Calibri"/>
      <family val="2"/>
      <scheme val="minor"/>
    </font>
    <font>
      <sz val="11"/>
      <name val="Arial"/>
      <family val="2"/>
    </font>
    <font>
      <sz val="14"/>
      <name val="Arial"/>
      <family val="2"/>
    </font>
  </fonts>
  <fills count="6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31"/>
        <bgColor indexed="64"/>
      </patternFill>
    </fill>
    <fill>
      <patternFill patternType="solid">
        <fgColor indexed="44"/>
        <bgColor indexed="8"/>
      </patternFill>
    </fill>
    <fill>
      <patternFill patternType="solid">
        <fgColor indexed="9"/>
      </patternFill>
    </fill>
    <fill>
      <patternFill patternType="solid">
        <fgColor indexed="55"/>
      </patternFill>
    </fill>
    <fill>
      <patternFill patternType="solid">
        <fgColor indexed="10"/>
        <bgColor indexed="8"/>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44"/>
        <bgColor indexed="10"/>
      </patternFill>
    </fill>
  </fills>
  <borders count="53">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medium">
        <color auto="1"/>
      </bottom>
      <diagonal/>
    </border>
    <border>
      <left/>
      <right/>
      <top/>
      <bottom style="mediumDashed">
        <color indexed="64"/>
      </bottom>
      <diagonal/>
    </border>
    <border>
      <left/>
      <right/>
      <top/>
      <bottom style="double">
        <color indexed="64"/>
      </bottom>
      <diagonal/>
    </border>
    <border>
      <left/>
      <right/>
      <top style="medium">
        <color indexed="64"/>
      </top>
      <bottom/>
      <diagonal/>
    </border>
    <border>
      <left/>
      <right/>
      <top style="medium">
        <color indexed="64"/>
      </top>
      <bottom style="medium">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style="thin">
        <color indexed="8"/>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right/>
      <top style="thick">
        <color indexed="63"/>
      </top>
      <bottom/>
      <diagonal/>
    </border>
    <border>
      <left/>
      <right/>
      <top style="thin">
        <color indexed="56"/>
      </top>
      <bottom style="double">
        <color indexed="56"/>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style="thin">
        <color rgb="FFC0C0C0"/>
      </top>
      <bottom/>
      <diagonal/>
    </border>
    <border>
      <left style="thin">
        <color rgb="FFC0C0C0"/>
      </left>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s>
  <cellStyleXfs count="2442">
    <xf numFmtId="0" fontId="0" fillId="0" borderId="0"/>
    <xf numFmtId="9" fontId="1" fillId="0" borderId="0" applyFont="0" applyFill="0" applyBorder="0" applyAlignment="0" applyProtection="0"/>
    <xf numFmtId="0" fontId="7" fillId="0" borderId="0"/>
    <xf numFmtId="0" fontId="7" fillId="0" borderId="0"/>
    <xf numFmtId="0" fontId="8" fillId="0" borderId="0"/>
    <xf numFmtId="0" fontId="7" fillId="0" borderId="0"/>
    <xf numFmtId="0" fontId="7" fillId="0" borderId="0"/>
    <xf numFmtId="0" fontId="25" fillId="0" borderId="0" applyNumberFormat="0" applyFill="0" applyBorder="0" applyAlignment="0" applyProtection="0"/>
    <xf numFmtId="0" fontId="43" fillId="39" borderId="0" applyNumberFormat="0" applyBorder="0" applyAlignment="0" applyProtection="0"/>
    <xf numFmtId="0" fontId="43" fillId="40" borderId="0" applyNumberFormat="0" applyBorder="0" applyAlignment="0" applyProtection="0"/>
    <xf numFmtId="0" fontId="43" fillId="41" borderId="0" applyNumberFormat="0" applyBorder="0" applyAlignment="0" applyProtection="0"/>
    <xf numFmtId="0" fontId="43" fillId="42" borderId="0" applyNumberFormat="0" applyBorder="0" applyAlignment="0" applyProtection="0"/>
    <xf numFmtId="0" fontId="43" fillId="43" borderId="0" applyNumberFormat="0" applyBorder="0" applyAlignment="0" applyProtection="0"/>
    <xf numFmtId="0" fontId="43" fillId="41" borderId="0" applyNumberFormat="0" applyBorder="0" applyAlignment="0" applyProtection="0"/>
    <xf numFmtId="0" fontId="1" fillId="16"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1" fillId="2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1" fillId="24"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1" fillId="28"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1" fillId="32"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1" fillId="36"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5" fillId="43" borderId="0" applyNumberFormat="0" applyBorder="0" applyAlignment="0" applyProtection="0"/>
    <xf numFmtId="0" fontId="45" fillId="41" borderId="0" applyNumberFormat="0" applyBorder="0" applyAlignment="0" applyProtection="0"/>
    <xf numFmtId="0" fontId="43" fillId="43" borderId="0" applyNumberFormat="0" applyBorder="0" applyAlignment="0" applyProtection="0"/>
    <xf numFmtId="0" fontId="43" fillId="40"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3" borderId="0" applyNumberFormat="0" applyBorder="0" applyAlignment="0" applyProtection="0"/>
    <xf numFmtId="0" fontId="43" fillId="41" borderId="0" applyNumberFormat="0" applyBorder="0" applyAlignment="0" applyProtection="0"/>
    <xf numFmtId="0" fontId="1" fillId="17"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1" fillId="21"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1" fillId="25" borderId="0" applyNumberFormat="0" applyBorder="0" applyAlignment="0" applyProtection="0"/>
    <xf numFmtId="0" fontId="44" fillId="44" borderId="0" applyNumberFormat="0" applyBorder="0" applyAlignment="0" applyProtection="0"/>
    <xf numFmtId="0" fontId="44" fillId="44" borderId="0" applyNumberFormat="0" applyBorder="0" applyAlignment="0" applyProtection="0"/>
    <xf numFmtId="0" fontId="44" fillId="44" borderId="0" applyNumberFormat="0" applyBorder="0" applyAlignment="0" applyProtection="0"/>
    <xf numFmtId="0" fontId="1" fillId="29"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1" fillId="33"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1" fillId="37"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5" fillId="43" borderId="0" applyNumberFormat="0" applyBorder="0" applyAlignment="0" applyProtection="0"/>
    <xf numFmtId="0" fontId="45" fillId="40" borderId="0" applyNumberFormat="0" applyBorder="0" applyAlignment="0" applyProtection="0"/>
    <xf numFmtId="0" fontId="45" fillId="44" borderId="0" applyNumberFormat="0" applyBorder="0" applyAlignment="0" applyProtection="0"/>
    <xf numFmtId="0" fontId="45" fillId="45" borderId="0" applyNumberFormat="0" applyBorder="0" applyAlignment="0" applyProtection="0"/>
    <xf numFmtId="0" fontId="45" fillId="43" borderId="0" applyNumberFormat="0" applyBorder="0" applyAlignment="0" applyProtection="0"/>
    <xf numFmtId="0" fontId="45" fillId="41" borderId="0" applyNumberFormat="0" applyBorder="0" applyAlignment="0" applyProtection="0"/>
    <xf numFmtId="0" fontId="46" fillId="43" borderId="0" applyNumberFormat="0" applyBorder="0" applyAlignment="0" applyProtection="0"/>
    <xf numFmtId="0" fontId="46" fillId="46" borderId="0" applyNumberFormat="0" applyBorder="0" applyAlignment="0" applyProtection="0"/>
    <xf numFmtId="0" fontId="46" fillId="47" borderId="0" applyNumberFormat="0" applyBorder="0" applyAlignment="0" applyProtection="0"/>
    <xf numFmtId="0" fontId="46" fillId="45" borderId="0" applyNumberFormat="0" applyBorder="0" applyAlignment="0" applyProtection="0"/>
    <xf numFmtId="0" fontId="46" fillId="43" borderId="0" applyNumberFormat="0" applyBorder="0" applyAlignment="0" applyProtection="0"/>
    <xf numFmtId="0" fontId="46" fillId="40" borderId="0" applyNumberFormat="0" applyBorder="0" applyAlignment="0" applyProtection="0"/>
    <xf numFmtId="0" fontId="39" fillId="18"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9" fillId="22"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9" fillId="26"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39" fillId="30"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39" fillId="34"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9" fillId="38"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8" fillId="43" borderId="0" applyNumberFormat="0" applyBorder="0" applyAlignment="0" applyProtection="0"/>
    <xf numFmtId="0" fontId="48" fillId="46" borderId="0" applyNumberFormat="0" applyBorder="0" applyAlignment="0" applyProtection="0"/>
    <xf numFmtId="0" fontId="48" fillId="47" borderId="0" applyNumberFormat="0" applyBorder="0" applyAlignment="0" applyProtection="0"/>
    <xf numFmtId="0" fontId="48" fillId="45" borderId="0" applyNumberFormat="0" applyBorder="0" applyAlignment="0" applyProtection="0"/>
    <xf numFmtId="0" fontId="48" fillId="43" borderId="0" applyNumberFormat="0" applyBorder="0" applyAlignment="0" applyProtection="0"/>
    <xf numFmtId="0" fontId="48" fillId="40" borderId="0" applyNumberFormat="0" applyBorder="0" applyAlignment="0" applyProtection="0"/>
    <xf numFmtId="0" fontId="39" fillId="15"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39" fillId="19"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9" fillId="23"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39"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9" fillId="31"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39" fillId="35"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6" fillId="48" borderId="0" applyNumberFormat="0" applyBorder="0" applyAlignment="0" applyProtection="0"/>
    <xf numFmtId="0" fontId="46" fillId="46" borderId="0" applyNumberFormat="0" applyBorder="0" applyAlignment="0" applyProtection="0"/>
    <xf numFmtId="0" fontId="46" fillId="47" borderId="0" applyNumberFormat="0" applyBorder="0" applyAlignment="0" applyProtection="0"/>
    <xf numFmtId="0" fontId="46" fillId="49"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9" fillId="0" borderId="2">
      <alignment horizontal="center" vertical="center"/>
    </xf>
    <xf numFmtId="0" fontId="30" fillId="9"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1" fillId="53" borderId="31"/>
    <xf numFmtId="0" fontId="52" fillId="54" borderId="32">
      <alignment horizontal="right" vertical="top" wrapText="1"/>
    </xf>
    <xf numFmtId="0" fontId="53" fillId="0" borderId="0"/>
    <xf numFmtId="168" fontId="54" fillId="0" borderId="0">
      <alignment vertical="top"/>
    </xf>
    <xf numFmtId="0" fontId="34" fillId="12" borderId="22" applyNumberFormat="0" applyAlignment="0" applyProtection="0"/>
    <xf numFmtId="0" fontId="55" fillId="55" borderId="33" applyNumberFormat="0" applyAlignment="0" applyProtection="0"/>
    <xf numFmtId="0" fontId="55" fillId="55" borderId="33" applyNumberFormat="0" applyAlignment="0" applyProtection="0"/>
    <xf numFmtId="0" fontId="55" fillId="55" borderId="33" applyNumberFormat="0" applyAlignment="0" applyProtection="0"/>
    <xf numFmtId="0" fontId="51" fillId="0" borderId="18"/>
    <xf numFmtId="0" fontId="36" fillId="13" borderId="25" applyNumberFormat="0" applyAlignment="0" applyProtection="0"/>
    <xf numFmtId="0" fontId="56" fillId="56" borderId="34" applyNumberFormat="0" applyAlignment="0" applyProtection="0"/>
    <xf numFmtId="0" fontId="56" fillId="56" borderId="34" applyNumberFormat="0" applyAlignment="0" applyProtection="0"/>
    <xf numFmtId="0" fontId="56" fillId="56" borderId="34" applyNumberFormat="0" applyAlignment="0" applyProtection="0"/>
    <xf numFmtId="0" fontId="57" fillId="57" borderId="35">
      <alignment horizontal="left" vertical="top" wrapText="1"/>
    </xf>
    <xf numFmtId="0" fontId="58" fillId="58" borderId="0">
      <alignment horizontal="center"/>
    </xf>
    <xf numFmtId="0" fontId="59" fillId="58" borderId="0">
      <alignment horizontal="center" vertical="center"/>
    </xf>
    <xf numFmtId="0" fontId="7" fillId="59" borderId="0">
      <alignment horizontal="center" wrapText="1"/>
    </xf>
    <xf numFmtId="0" fontId="7" fillId="59" borderId="0">
      <alignment horizontal="center" wrapText="1"/>
    </xf>
    <xf numFmtId="0" fontId="7" fillId="59" borderId="0">
      <alignment horizontal="center" wrapText="1"/>
    </xf>
    <xf numFmtId="0" fontId="7" fillId="59" borderId="0">
      <alignment horizontal="center" wrapText="1"/>
    </xf>
    <xf numFmtId="0" fontId="7" fillId="59" borderId="0">
      <alignment horizontal="center" wrapText="1"/>
    </xf>
    <xf numFmtId="0" fontId="7" fillId="59" borderId="0">
      <alignment horizontal="center" wrapText="1"/>
    </xf>
    <xf numFmtId="0" fontId="7" fillId="59" borderId="0">
      <alignment horizontal="center" wrapText="1"/>
    </xf>
    <xf numFmtId="0" fontId="7" fillId="59" borderId="0">
      <alignment horizontal="center" wrapText="1"/>
    </xf>
    <xf numFmtId="0" fontId="7" fillId="59" borderId="0">
      <alignment horizontal="center" wrapText="1"/>
    </xf>
    <xf numFmtId="0" fontId="7" fillId="59" borderId="0">
      <alignment horizontal="center" wrapText="1"/>
    </xf>
    <xf numFmtId="0" fontId="7" fillId="59" borderId="0">
      <alignment horizontal="center" wrapText="1"/>
    </xf>
    <xf numFmtId="0" fontId="7" fillId="59" borderId="0">
      <alignment horizontal="center" wrapText="1"/>
    </xf>
    <xf numFmtId="0" fontId="7" fillId="59" borderId="0">
      <alignment horizontal="center" wrapText="1"/>
    </xf>
    <xf numFmtId="0" fontId="7" fillId="59" borderId="0">
      <alignment horizontal="center" wrapText="1"/>
    </xf>
    <xf numFmtId="0" fontId="7" fillId="59" borderId="0">
      <alignment horizontal="center" wrapText="1"/>
    </xf>
    <xf numFmtId="0" fontId="7" fillId="59" borderId="0">
      <alignment horizontal="center" wrapText="1"/>
    </xf>
    <xf numFmtId="0" fontId="7" fillId="59" borderId="0">
      <alignment horizontal="center" wrapText="1"/>
    </xf>
    <xf numFmtId="0" fontId="7" fillId="59" borderId="0">
      <alignment horizontal="center" wrapText="1"/>
    </xf>
    <xf numFmtId="0" fontId="7" fillId="59" borderId="0">
      <alignment horizontal="center" wrapText="1"/>
    </xf>
    <xf numFmtId="0" fontId="7" fillId="59" borderId="0">
      <alignment horizontal="center" wrapText="1"/>
    </xf>
    <xf numFmtId="0" fontId="7" fillId="59" borderId="0">
      <alignment horizontal="center" wrapText="1"/>
    </xf>
    <xf numFmtId="0" fontId="7" fillId="59" borderId="0">
      <alignment horizontal="center" wrapText="1"/>
    </xf>
    <xf numFmtId="0" fontId="7" fillId="59" borderId="0">
      <alignment horizontal="center" wrapText="1"/>
    </xf>
    <xf numFmtId="0" fontId="60" fillId="58" borderId="0">
      <alignment horizontal="center"/>
    </xf>
    <xf numFmtId="169" fontId="49" fillId="0" borderId="0" applyFont="0" applyFill="0" applyBorder="0" applyProtection="0">
      <alignment horizontal="right" vertical="top"/>
    </xf>
    <xf numFmtId="1" fontId="61" fillId="0" borderId="0">
      <alignment vertical="top"/>
    </xf>
    <xf numFmtId="43" fontId="62"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49"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170" fontId="7" fillId="0" borderId="0" applyFont="0" applyFill="0" applyBorder="0" applyAlignment="0" applyProtection="0"/>
    <xf numFmtId="3" fontId="61" fillId="0" borderId="0" applyFill="0" applyBorder="0">
      <alignment horizontal="right" vertical="top"/>
    </xf>
    <xf numFmtId="0" fontId="63" fillId="0" borderId="0">
      <alignment horizontal="right" vertical="top"/>
    </xf>
    <xf numFmtId="171" fontId="61" fillId="0" borderId="0" applyFill="0" applyBorder="0">
      <alignment horizontal="right" vertical="top"/>
    </xf>
    <xf numFmtId="3" fontId="61" fillId="0" borderId="0" applyFill="0" applyBorder="0">
      <alignment horizontal="right" vertical="top"/>
    </xf>
    <xf numFmtId="172" fontId="54" fillId="0" borderId="0" applyFont="0" applyFill="0" applyBorder="0">
      <alignment horizontal="right" vertical="top"/>
    </xf>
    <xf numFmtId="173" fontId="64" fillId="0" borderId="0" applyFont="0" applyFill="0" applyBorder="0" applyAlignment="0" applyProtection="0">
      <alignment horizontal="right" vertical="top"/>
    </xf>
    <xf numFmtId="171" fontId="61" fillId="0" borderId="0">
      <alignment horizontal="right" vertical="top"/>
    </xf>
    <xf numFmtId="3" fontId="7" fillId="0" borderId="0" applyFont="0" applyFill="0" applyBorder="0" applyAlignment="0" applyProtection="0"/>
    <xf numFmtId="44" fontId="7" fillId="0" borderId="0" applyFill="0" applyBorder="0" applyAlignment="0" applyProtection="0"/>
    <xf numFmtId="44" fontId="7" fillId="0" borderId="0" applyFill="0" applyBorder="0" applyAlignment="0" applyProtection="0"/>
    <xf numFmtId="174" fontId="7" fillId="0" borderId="0" applyFont="0" applyFill="0" applyBorder="0" applyAlignment="0" applyProtection="0"/>
    <xf numFmtId="0" fontId="65" fillId="60" borderId="31" applyBorder="0">
      <protection locked="0"/>
    </xf>
    <xf numFmtId="0" fontId="7" fillId="0" borderId="0" applyFont="0" applyFill="0" applyBorder="0" applyAlignment="0" applyProtection="0"/>
    <xf numFmtId="41" fontId="49" fillId="0" borderId="0" applyFont="0" applyFill="0" applyBorder="0" applyAlignment="0" applyProtection="0"/>
    <xf numFmtId="43" fontId="49" fillId="0" borderId="0" applyFont="0" applyFill="0" applyBorder="0" applyAlignment="0" applyProtection="0"/>
    <xf numFmtId="0" fontId="66" fillId="0" borderId="0">
      <alignment horizontal="centerContinuous"/>
    </xf>
    <xf numFmtId="0" fontId="66" fillId="0" borderId="0" applyAlignment="0">
      <alignment horizontal="centerContinuous"/>
    </xf>
    <xf numFmtId="0" fontId="67" fillId="0" borderId="0" applyAlignment="0">
      <alignment horizontal="centerContinuous"/>
    </xf>
    <xf numFmtId="164" fontId="49" fillId="0" borderId="0" applyBorder="0"/>
    <xf numFmtId="164" fontId="49" fillId="0" borderId="1"/>
    <xf numFmtId="0" fontId="68" fillId="60" borderId="31">
      <protection locked="0"/>
    </xf>
    <xf numFmtId="0" fontId="7" fillId="60" borderId="18"/>
    <xf numFmtId="0" fontId="7" fillId="58" borderId="0"/>
    <xf numFmtId="175" fontId="69" fillId="0" borderId="0" applyFont="0" applyFill="0" applyBorder="0" applyAlignment="0" applyProtection="0"/>
    <xf numFmtId="0" fontId="38"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2" fontId="7" fillId="0" borderId="0" applyFont="0" applyFill="0" applyBorder="0" applyAlignment="0" applyProtection="0"/>
    <xf numFmtId="0" fontId="71" fillId="58" borderId="18">
      <alignment horizontal="left"/>
    </xf>
    <xf numFmtId="0" fontId="72" fillId="58" borderId="0">
      <alignment horizontal="left"/>
    </xf>
    <xf numFmtId="0" fontId="72"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72"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43" fillId="58" borderId="0">
      <alignment horizontal="left"/>
    </xf>
    <xf numFmtId="0" fontId="29" fillId="8" borderId="0" applyNumberFormat="0" applyBorder="0" applyAlignment="0" applyProtection="0"/>
    <xf numFmtId="0" fontId="73" fillId="43" borderId="0" applyNumberFormat="0" applyBorder="0" applyAlignment="0" applyProtection="0"/>
    <xf numFmtId="0" fontId="73" fillId="43" borderId="0" applyNumberFormat="0" applyBorder="0" applyAlignment="0" applyProtection="0"/>
    <xf numFmtId="0" fontId="73" fillId="43" borderId="0" applyNumberFormat="0" applyBorder="0" applyAlignment="0" applyProtection="0"/>
    <xf numFmtId="38" fontId="51" fillId="58" borderId="0" applyNumberFormat="0" applyBorder="0" applyAlignment="0" applyProtection="0"/>
    <xf numFmtId="0" fontId="52" fillId="61" borderId="0">
      <alignment horizontal="right" vertical="top" textRotation="90" wrapText="1"/>
    </xf>
    <xf numFmtId="0" fontId="74" fillId="0" borderId="16" applyNumberFormat="0" applyAlignment="0" applyProtection="0">
      <alignment horizontal="left" vertical="center"/>
    </xf>
    <xf numFmtId="0" fontId="74" fillId="0" borderId="2">
      <alignment horizontal="left" vertical="center"/>
    </xf>
    <xf numFmtId="0" fontId="26" fillId="0" borderId="19"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27" fillId="0" borderId="20" applyNumberFormat="0" applyFill="0" applyAlignment="0" applyProtection="0"/>
    <xf numFmtId="0" fontId="76" fillId="0" borderId="37" applyNumberFormat="0" applyFill="0" applyAlignment="0" applyProtection="0"/>
    <xf numFmtId="0" fontId="76" fillId="0" borderId="37" applyNumberFormat="0" applyFill="0" applyAlignment="0" applyProtection="0"/>
    <xf numFmtId="0" fontId="76" fillId="0" borderId="37" applyNumberFormat="0" applyFill="0" applyAlignment="0" applyProtection="0"/>
    <xf numFmtId="0" fontId="28" fillId="0" borderId="21" applyNumberFormat="0" applyFill="0" applyAlignment="0" applyProtection="0"/>
    <xf numFmtId="0" fontId="77" fillId="0" borderId="38" applyNumberFormat="0" applyFill="0" applyAlignment="0" applyProtection="0"/>
    <xf numFmtId="0" fontId="77" fillId="0" borderId="38" applyNumberFormat="0" applyFill="0" applyAlignment="0" applyProtection="0"/>
    <xf numFmtId="0" fontId="77" fillId="0" borderId="38" applyNumberFormat="0" applyFill="0" applyAlignment="0" applyProtection="0"/>
    <xf numFmtId="0" fontId="28"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176" fontId="64" fillId="0" borderId="0">
      <protection locked="0"/>
    </xf>
    <xf numFmtId="176" fontId="64" fillId="0" borderId="0">
      <protection locked="0"/>
    </xf>
    <xf numFmtId="0" fontId="78"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69" fillId="41" borderId="39" applyNumberFormat="0" applyFont="0" applyAlignment="0" applyProtection="0"/>
    <xf numFmtId="0" fontId="80" fillId="52" borderId="0" applyNumberFormat="0" applyBorder="0" applyAlignment="0" applyProtection="0"/>
    <xf numFmtId="0" fontId="78" fillId="0" borderId="0" applyNumberFormat="0" applyFill="0" applyBorder="0" applyAlignment="0" applyProtection="0">
      <alignment vertical="top"/>
      <protection locked="0"/>
    </xf>
    <xf numFmtId="0" fontId="81" fillId="0" borderId="0" applyNumberFormat="0" applyFill="0" applyBorder="0" applyAlignment="0" applyProtection="0"/>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3" fillId="0" borderId="0" applyNumberFormat="0" applyFill="0" applyBorder="0" applyAlignment="0" applyProtection="0"/>
    <xf numFmtId="0" fontId="86" fillId="43" borderId="0" applyNumberFormat="0" applyBorder="0" applyAlignment="0" applyProtection="0"/>
    <xf numFmtId="10" fontId="51" fillId="60" borderId="18" applyNumberFormat="0" applyBorder="0" applyAlignment="0" applyProtection="0"/>
    <xf numFmtId="0" fontId="32" fillId="11" borderId="22" applyNumberFormat="0" applyAlignment="0" applyProtection="0"/>
    <xf numFmtId="0" fontId="87" fillId="44" borderId="33" applyNumberFormat="0" applyAlignment="0" applyProtection="0"/>
    <xf numFmtId="0" fontId="87" fillId="44" borderId="33" applyNumberFormat="0" applyAlignment="0" applyProtection="0"/>
    <xf numFmtId="0" fontId="87" fillId="44" borderId="33" applyNumberFormat="0" applyAlignment="0" applyProtection="0"/>
    <xf numFmtId="0" fontId="88" fillId="59" borderId="0">
      <alignment horizontal="center"/>
    </xf>
    <xf numFmtId="0" fontId="88" fillId="59" borderId="0">
      <alignment horizontal="center"/>
    </xf>
    <xf numFmtId="0" fontId="7" fillId="58" borderId="18">
      <alignment horizontal="centerContinuous" wrapText="1"/>
    </xf>
    <xf numFmtId="0" fontId="89" fillId="62" borderId="0">
      <alignment horizontal="center" wrapText="1"/>
    </xf>
    <xf numFmtId="0" fontId="7" fillId="58" borderId="18">
      <alignment horizontal="centerContinuous" wrapText="1"/>
    </xf>
    <xf numFmtId="0" fontId="90" fillId="55" borderId="33" applyNumberFormat="0" applyAlignment="0" applyProtection="0"/>
    <xf numFmtId="0" fontId="91" fillId="58" borderId="2">
      <alignment wrapText="1"/>
    </xf>
    <xf numFmtId="0" fontId="91" fillId="58" borderId="2">
      <alignment wrapText="1"/>
    </xf>
    <xf numFmtId="0" fontId="51" fillId="58" borderId="2">
      <alignment wrapText="1"/>
    </xf>
    <xf numFmtId="0" fontId="51" fillId="58" borderId="2">
      <alignment wrapText="1"/>
    </xf>
    <xf numFmtId="0" fontId="91" fillId="58" borderId="2">
      <alignment wrapText="1"/>
    </xf>
    <xf numFmtId="0" fontId="51" fillId="58" borderId="2">
      <alignment wrapText="1"/>
    </xf>
    <xf numFmtId="0" fontId="51" fillId="58" borderId="2">
      <alignment wrapText="1"/>
    </xf>
    <xf numFmtId="0" fontId="51" fillId="58" borderId="2">
      <alignment wrapText="1"/>
    </xf>
    <xf numFmtId="0" fontId="51" fillId="58" borderId="2">
      <alignment wrapText="1"/>
    </xf>
    <xf numFmtId="0" fontId="51" fillId="58" borderId="2">
      <alignment wrapText="1"/>
    </xf>
    <xf numFmtId="0" fontId="51" fillId="58" borderId="2">
      <alignment wrapText="1"/>
    </xf>
    <xf numFmtId="0" fontId="51" fillId="58" borderId="2">
      <alignment wrapText="1"/>
    </xf>
    <xf numFmtId="0" fontId="91" fillId="58" borderId="40"/>
    <xf numFmtId="0" fontId="91" fillId="58" borderId="40"/>
    <xf numFmtId="0" fontId="51" fillId="58" borderId="40"/>
    <xf numFmtId="0" fontId="51" fillId="58" borderId="40"/>
    <xf numFmtId="0" fontId="91" fillId="58" borderId="40"/>
    <xf numFmtId="0" fontId="51" fillId="58" borderId="40"/>
    <xf numFmtId="0" fontId="51" fillId="58" borderId="40"/>
    <xf numFmtId="0" fontId="91" fillId="58" borderId="4"/>
    <xf numFmtId="0" fontId="91" fillId="58" borderId="4"/>
    <xf numFmtId="0" fontId="51" fillId="58" borderId="4"/>
    <xf numFmtId="0" fontId="51" fillId="58" borderId="4"/>
    <xf numFmtId="0" fontId="91" fillId="58" borderId="4"/>
    <xf numFmtId="0" fontId="51" fillId="58" borderId="4"/>
    <xf numFmtId="0" fontId="51" fillId="58" borderId="4"/>
    <xf numFmtId="0" fontId="51" fillId="58" borderId="41">
      <alignment horizontal="center" wrapText="1"/>
    </xf>
    <xf numFmtId="0" fontId="57" fillId="57" borderId="42">
      <alignment horizontal="left" vertical="top" wrapText="1"/>
    </xf>
    <xf numFmtId="0" fontId="35" fillId="0" borderId="24"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3" fillId="0" borderId="43" applyNumberFormat="0" applyFill="0" applyAlignment="0" applyProtection="0"/>
    <xf numFmtId="0" fontId="7" fillId="0" borderId="0" applyFont="0" applyFill="0" applyBorder="0" applyAlignment="0" applyProtection="0"/>
    <xf numFmtId="177" fontId="7" fillId="0" borderId="0" applyFont="0" applyFill="0" applyBorder="0" applyAlignment="0" applyProtection="0"/>
    <xf numFmtId="178" fontId="7" fillId="0" borderId="0" applyFont="0" applyFill="0" applyBorder="0" applyAlignment="0" applyProtection="0"/>
    <xf numFmtId="179" fontId="7" fillId="0" borderId="0" applyFont="0" applyFill="0" applyBorder="0" applyAlignment="0" applyProtection="0"/>
    <xf numFmtId="180" fontId="7" fillId="0" borderId="0" applyFont="0" applyFill="0" applyBorder="0" applyAlignment="0" applyProtection="0"/>
    <xf numFmtId="0" fontId="94" fillId="44" borderId="0" applyNumberFormat="0" applyBorder="0" applyAlignment="0" applyProtection="0"/>
    <xf numFmtId="0" fontId="31" fillId="10" borderId="0" applyNumberFormat="0" applyBorder="0" applyAlignment="0" applyProtection="0"/>
    <xf numFmtId="181" fontId="95"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96" fillId="0" borderId="0"/>
    <xf numFmtId="0" fontId="96"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7" fillId="0" borderId="0"/>
    <xf numFmtId="0" fontId="62" fillId="0" borderId="0"/>
    <xf numFmtId="0" fontId="62" fillId="0" borderId="0"/>
    <xf numFmtId="0" fontId="62" fillId="0" borderId="0"/>
    <xf numFmtId="0" fontId="62" fillId="0" borderId="0"/>
    <xf numFmtId="0" fontId="7"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97" fillId="0" borderId="0"/>
    <xf numFmtId="0" fontId="62" fillId="0" borderId="0"/>
    <xf numFmtId="0" fontId="7"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7" fillId="0" borderId="0"/>
    <xf numFmtId="0" fontId="98" fillId="0" borderId="0"/>
    <xf numFmtId="0" fontId="1" fillId="0" borderId="0"/>
    <xf numFmtId="0" fontId="7" fillId="0" borderId="0"/>
    <xf numFmtId="0" fontId="7" fillId="0" borderId="0"/>
    <xf numFmtId="0" fontId="7"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7" fillId="0" borderId="0"/>
    <xf numFmtId="0" fontId="62" fillId="0" borderId="0"/>
    <xf numFmtId="0" fontId="97" fillId="0" borderId="0"/>
    <xf numFmtId="0" fontId="97" fillId="0" borderId="0"/>
    <xf numFmtId="0" fontId="7" fillId="0" borderId="0"/>
    <xf numFmtId="0" fontId="62" fillId="0" borderId="0"/>
    <xf numFmtId="0" fontId="99"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99" fillId="0" borderId="0"/>
    <xf numFmtId="0" fontId="7" fillId="0" borderId="0"/>
    <xf numFmtId="0" fontId="99" fillId="0" borderId="0"/>
    <xf numFmtId="0" fontId="7"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43" fillId="0" borderId="0"/>
    <xf numFmtId="0" fontId="99" fillId="0" borderId="0"/>
    <xf numFmtId="0" fontId="7" fillId="0" borderId="0"/>
    <xf numFmtId="0" fontId="7" fillId="0" borderId="0"/>
    <xf numFmtId="0" fontId="99" fillId="0" borderId="0"/>
    <xf numFmtId="0" fontId="7" fillId="0" borderId="0"/>
    <xf numFmtId="0" fontId="7" fillId="0" borderId="0"/>
    <xf numFmtId="0" fontId="99" fillId="0" borderId="0"/>
    <xf numFmtId="0" fontId="7" fillId="0" borderId="0" applyNumberFormat="0" applyFill="0" applyBorder="0" applyAlignment="0" applyProtection="0"/>
    <xf numFmtId="0" fontId="7" fillId="0" borderId="0" applyNumberFormat="0" applyFill="0" applyBorder="0" applyAlignment="0" applyProtection="0"/>
    <xf numFmtId="0" fontId="99" fillId="0" borderId="0"/>
    <xf numFmtId="0" fontId="96" fillId="0" borderId="0"/>
    <xf numFmtId="0" fontId="96" fillId="0" borderId="0"/>
    <xf numFmtId="0" fontId="7" fillId="0" borderId="0"/>
    <xf numFmtId="0" fontId="49"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7" fillId="0" borderId="0"/>
    <xf numFmtId="0" fontId="62" fillId="0" borderId="0"/>
    <xf numFmtId="0" fontId="62" fillId="0" borderId="0"/>
    <xf numFmtId="0" fontId="62" fillId="0" borderId="0"/>
    <xf numFmtId="0" fontId="62" fillId="0" borderId="0"/>
    <xf numFmtId="0" fontId="62" fillId="0" borderId="0"/>
    <xf numFmtId="0" fontId="62" fillId="0" borderId="0"/>
    <xf numFmtId="0" fontId="98" fillId="0" borderId="0"/>
    <xf numFmtId="0" fontId="100" fillId="0" borderId="0"/>
    <xf numFmtId="0" fontId="62" fillId="0" borderId="0"/>
    <xf numFmtId="0" fontId="62" fillId="0" borderId="0"/>
    <xf numFmtId="0" fontId="62" fillId="0" borderId="0"/>
    <xf numFmtId="0" fontId="62" fillId="0" borderId="0"/>
    <xf numFmtId="0" fontId="7" fillId="0" borderId="0" applyNumberFormat="0" applyFill="0" applyBorder="0" applyAlignment="0" applyProtection="0"/>
    <xf numFmtId="0" fontId="62" fillId="0" borderId="0"/>
    <xf numFmtId="0" fontId="62" fillId="0" borderId="0"/>
    <xf numFmtId="0" fontId="101" fillId="0" borderId="0"/>
    <xf numFmtId="0" fontId="62" fillId="0" borderId="0"/>
    <xf numFmtId="0" fontId="7" fillId="0" borderId="0"/>
    <xf numFmtId="0" fontId="7" fillId="0" borderId="0"/>
    <xf numFmtId="0" fontId="43"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7" fillId="0" borderId="0"/>
    <xf numFmtId="0" fontId="43" fillId="0" borderId="0"/>
    <xf numFmtId="0" fontId="43" fillId="0" borderId="0"/>
    <xf numFmtId="0" fontId="62" fillId="0" borderId="0"/>
    <xf numFmtId="0" fontId="62" fillId="0" borderId="0"/>
    <xf numFmtId="0" fontId="43" fillId="0" borderId="0"/>
    <xf numFmtId="0" fontId="43" fillId="0" borderId="0"/>
    <xf numFmtId="0" fontId="62" fillId="0" borderId="0"/>
    <xf numFmtId="0" fontId="62" fillId="0" borderId="0"/>
    <xf numFmtId="0" fontId="43" fillId="0" borderId="0"/>
    <xf numFmtId="0" fontId="62" fillId="0" borderId="0"/>
    <xf numFmtId="0" fontId="62" fillId="0" borderId="0"/>
    <xf numFmtId="0" fontId="7" fillId="0" borderId="0"/>
    <xf numFmtId="0" fontId="43" fillId="0" borderId="0"/>
    <xf numFmtId="0" fontId="43" fillId="0" borderId="0"/>
    <xf numFmtId="0" fontId="43" fillId="0" borderId="0"/>
    <xf numFmtId="0" fontId="43" fillId="0" borderId="0"/>
    <xf numFmtId="0" fontId="62" fillId="0" borderId="0"/>
    <xf numFmtId="0" fontId="62" fillId="0" borderId="0"/>
    <xf numFmtId="0" fontId="62" fillId="0" borderId="0"/>
    <xf numFmtId="0" fontId="62" fillId="0" borderId="0"/>
    <xf numFmtId="0" fontId="7" fillId="0" borderId="0"/>
    <xf numFmtId="0" fontId="7" fillId="0" borderId="0"/>
    <xf numFmtId="0" fontId="62" fillId="0" borderId="0"/>
    <xf numFmtId="0" fontId="62" fillId="0" borderId="0"/>
    <xf numFmtId="0" fontId="62" fillId="0" borderId="0"/>
    <xf numFmtId="0" fontId="7" fillId="0" borderId="0"/>
    <xf numFmtId="0" fontId="62" fillId="0" borderId="0"/>
    <xf numFmtId="0" fontId="62" fillId="0" borderId="0"/>
    <xf numFmtId="0" fontId="49" fillId="0" borderId="0"/>
    <xf numFmtId="0" fontId="62" fillId="0" borderId="0"/>
    <xf numFmtId="0" fontId="62" fillId="0" borderId="0"/>
    <xf numFmtId="0" fontId="1" fillId="0" borderId="0"/>
    <xf numFmtId="0" fontId="7" fillId="0" borderId="0" applyNumberFormat="0" applyFill="0" applyBorder="0" applyAlignment="0" applyProtection="0"/>
    <xf numFmtId="0" fontId="1" fillId="0" borderId="0"/>
    <xf numFmtId="0" fontId="7"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1" fillId="0" borderId="0"/>
    <xf numFmtId="0" fontId="99" fillId="0" borderId="0"/>
    <xf numFmtId="0" fontId="7"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7" fillId="0" borderId="0"/>
    <xf numFmtId="0" fontId="7" fillId="0" borderId="0"/>
    <xf numFmtId="0" fontId="7" fillId="0" borderId="0"/>
    <xf numFmtId="0" fontId="96" fillId="0" borderId="0"/>
    <xf numFmtId="0" fontId="96" fillId="0" borderId="0"/>
    <xf numFmtId="0" fontId="62" fillId="0" borderId="0"/>
    <xf numFmtId="0" fontId="62" fillId="0" borderId="0"/>
    <xf numFmtId="0" fontId="97" fillId="0" borderId="0"/>
    <xf numFmtId="0" fontId="102" fillId="0" borderId="0"/>
    <xf numFmtId="0" fontId="96" fillId="0" borderId="0"/>
    <xf numFmtId="0" fontId="96" fillId="0" borderId="0"/>
    <xf numFmtId="0" fontId="97" fillId="0" borderId="0"/>
    <xf numFmtId="0" fontId="97" fillId="0" borderId="0"/>
    <xf numFmtId="0" fontId="102"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7" fillId="0" borderId="0"/>
    <xf numFmtId="1" fontId="54" fillId="0" borderId="0">
      <alignment vertical="top" wrapText="1"/>
    </xf>
    <xf numFmtId="1" fontId="103" fillId="0" borderId="0" applyFill="0" applyBorder="0" applyProtection="0"/>
    <xf numFmtId="1" fontId="64" fillId="0" borderId="0" applyFont="0" applyFill="0" applyBorder="0" applyProtection="0">
      <alignment vertical="center"/>
    </xf>
    <xf numFmtId="1" fontId="63" fillId="0" borderId="0">
      <alignment horizontal="right" vertical="top"/>
    </xf>
    <xf numFmtId="1" fontId="61" fillId="0" borderId="0" applyNumberFormat="0" applyFill="0" applyBorder="0">
      <alignment vertical="top"/>
    </xf>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1"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69"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69"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69"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14" borderId="26" applyNumberFormat="0" applyFont="0" applyAlignment="0" applyProtection="0"/>
    <xf numFmtId="0" fontId="43" fillId="41" borderId="39" applyNumberFormat="0" applyFont="0" applyAlignment="0" applyProtection="0"/>
    <xf numFmtId="0" fontId="64" fillId="0" borderId="0">
      <alignment horizontal="left"/>
    </xf>
    <xf numFmtId="0" fontId="104" fillId="0" borderId="0" applyNumberFormat="0" applyFill="0" applyBorder="0" applyAlignment="0" applyProtection="0"/>
    <xf numFmtId="0" fontId="105" fillId="0" borderId="36" applyNumberFormat="0" applyFill="0" applyAlignment="0" applyProtection="0"/>
    <xf numFmtId="0" fontId="106" fillId="0" borderId="37" applyNumberFormat="0" applyFill="0" applyAlignment="0" applyProtection="0"/>
    <xf numFmtId="0" fontId="107" fillId="0" borderId="38" applyNumberFormat="0" applyFill="0" applyAlignment="0" applyProtection="0"/>
    <xf numFmtId="0" fontId="107" fillId="0" borderId="0" applyNumberFormat="0" applyFill="0" applyBorder="0" applyAlignment="0" applyProtection="0"/>
    <xf numFmtId="0" fontId="33" fillId="12" borderId="23" applyNumberFormat="0" applyAlignment="0" applyProtection="0"/>
    <xf numFmtId="0" fontId="108" fillId="55" borderId="44" applyNumberFormat="0" applyAlignment="0" applyProtection="0"/>
    <xf numFmtId="0" fontId="108" fillId="55" borderId="44" applyNumberFormat="0" applyAlignment="0" applyProtection="0"/>
    <xf numFmtId="0" fontId="108" fillId="55" borderId="44" applyNumberFormat="0" applyAlignment="0" applyProtection="0"/>
    <xf numFmtId="10" fontId="7" fillId="0" borderId="0" applyFont="0" applyFill="0" applyBorder="0" applyAlignment="0" applyProtection="0"/>
    <xf numFmtId="9" fontId="7" fillId="0" borderId="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0" fontId="7" fillId="0" borderId="0" applyNumberForma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0" fontId="7" fillId="0" borderId="0" applyNumberForma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7"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7" fillId="0" borderId="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7" fillId="0" borderId="0" applyNumberFormat="0" applyFont="0" applyFill="0" applyBorder="0" applyAlignment="0" applyProtection="0"/>
    <xf numFmtId="0" fontId="51" fillId="58" borderId="18"/>
    <xf numFmtId="0" fontId="59" fillId="58" borderId="0">
      <alignment horizontal="right"/>
    </xf>
    <xf numFmtId="0" fontId="109" fillId="62" borderId="0">
      <alignment horizontal="center"/>
    </xf>
    <xf numFmtId="0" fontId="57" fillId="61" borderId="18">
      <alignment horizontal="left" vertical="top" wrapText="1"/>
    </xf>
    <xf numFmtId="0" fontId="110" fillId="61" borderId="3">
      <alignment horizontal="left" vertical="top" wrapText="1"/>
    </xf>
    <xf numFmtId="0" fontId="57" fillId="61" borderId="9">
      <alignment horizontal="left" vertical="top" wrapText="1"/>
    </xf>
    <xf numFmtId="0" fontId="57" fillId="61" borderId="3">
      <alignment horizontal="left" vertical="top"/>
    </xf>
    <xf numFmtId="0" fontId="111" fillId="0" borderId="0" applyNumberFormat="0" applyFill="0" applyBorder="0" applyAlignment="0" applyProtection="0"/>
    <xf numFmtId="0" fontId="49" fillId="0" borderId="4">
      <alignment horizontal="center" vertical="center"/>
    </xf>
    <xf numFmtId="0" fontId="5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2" fillId="63" borderId="0">
      <alignment horizontal="left"/>
    </xf>
    <xf numFmtId="0" fontId="89" fillId="63" borderId="0">
      <alignment horizontal="left" wrapText="1"/>
    </xf>
    <xf numFmtId="0" fontId="112" fillId="63" borderId="0">
      <alignment horizontal="left"/>
    </xf>
    <xf numFmtId="0" fontId="113" fillId="44" borderId="33" applyNumberFormat="0" applyAlignment="0" applyProtection="0"/>
    <xf numFmtId="0" fontId="114" fillId="0" borderId="45"/>
    <xf numFmtId="0" fontId="115" fillId="0" borderId="0"/>
    <xf numFmtId="0" fontId="116" fillId="56" borderId="34" applyNumberFormat="0" applyAlignment="0" applyProtection="0"/>
    <xf numFmtId="0" fontId="58" fillId="58" borderId="0">
      <alignment horizontal="center"/>
    </xf>
    <xf numFmtId="0" fontId="117" fillId="0" borderId="0"/>
    <xf numFmtId="49" fontId="61" fillId="0" borderId="0" applyFill="0" applyBorder="0" applyAlignment="0" applyProtection="0">
      <alignment vertical="top"/>
    </xf>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18" fillId="58" borderId="0"/>
    <xf numFmtId="0" fontId="112" fillId="63" borderId="0">
      <alignment horizontal="left"/>
    </xf>
    <xf numFmtId="0" fontId="119" fillId="0" borderId="0"/>
    <xf numFmtId="0" fontId="2" fillId="0" borderId="27" applyNumberFormat="0" applyFill="0" applyAlignment="0" applyProtection="0"/>
    <xf numFmtId="0" fontId="120" fillId="0" borderId="46" applyNumberFormat="0" applyFill="0" applyAlignment="0" applyProtection="0"/>
    <xf numFmtId="0" fontId="120" fillId="0" borderId="46" applyNumberFormat="0" applyFill="0" applyAlignment="0" applyProtection="0"/>
    <xf numFmtId="0" fontId="120" fillId="0" borderId="46" applyNumberFormat="0" applyFill="0" applyAlignment="0" applyProtection="0"/>
    <xf numFmtId="0" fontId="121" fillId="55" borderId="44" applyNumberFormat="0" applyAlignment="0" applyProtection="0"/>
    <xf numFmtId="41" fontId="49" fillId="0" borderId="0" applyFont="0" applyFill="0" applyBorder="0" applyAlignment="0" applyProtection="0"/>
    <xf numFmtId="182" fontId="98" fillId="0" borderId="0" applyFont="0" applyFill="0" applyBorder="0" applyAlignment="0" applyProtection="0"/>
    <xf numFmtId="43" fontId="49" fillId="0" borderId="0" applyFont="0" applyFill="0" applyBorder="0" applyAlignment="0" applyProtection="0"/>
    <xf numFmtId="42" fontId="49" fillId="0" borderId="0" applyFont="0" applyFill="0" applyBorder="0" applyAlignment="0" applyProtection="0"/>
    <xf numFmtId="44" fontId="49" fillId="0" borderId="0" applyFont="0" applyFill="0" applyBorder="0" applyAlignment="0" applyProtection="0"/>
    <xf numFmtId="0" fontId="93" fillId="0" borderId="0" applyNumberFormat="0" applyFill="0" applyBorder="0" applyAlignment="0" applyProtection="0"/>
    <xf numFmtId="42" fontId="49" fillId="0" borderId="0" applyFont="0" applyFill="0" applyBorder="0" applyAlignment="0" applyProtection="0"/>
    <xf numFmtId="44" fontId="49" fillId="0" borderId="0" applyFont="0" applyFill="0" applyBorder="0" applyAlignment="0" applyProtection="0"/>
    <xf numFmtId="0" fontId="37"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1" fontId="122" fillId="0" borderId="0">
      <alignment vertical="top" wrapText="1"/>
    </xf>
    <xf numFmtId="0" fontId="48" fillId="48" borderId="0" applyNumberFormat="0" applyBorder="0" applyAlignment="0" applyProtection="0"/>
    <xf numFmtId="0" fontId="48" fillId="46" borderId="0" applyNumberFormat="0" applyBorder="0" applyAlignment="0" applyProtection="0"/>
    <xf numFmtId="0" fontId="48" fillId="47" borderId="0" applyNumberFormat="0" applyBorder="0" applyAlignment="0" applyProtection="0"/>
    <xf numFmtId="0" fontId="48" fillId="49" borderId="0" applyNumberFormat="0" applyBorder="0" applyAlignment="0" applyProtection="0"/>
    <xf numFmtId="0" fontId="48" fillId="50" borderId="0" applyNumberFormat="0" applyBorder="0" applyAlignment="0" applyProtection="0"/>
    <xf numFmtId="0" fontId="48" fillId="51" borderId="0" applyNumberFormat="0" applyBorder="0" applyAlignment="0" applyProtection="0"/>
    <xf numFmtId="0" fontId="123" fillId="0" borderId="0" applyNumberFormat="0" applyFill="0" applyBorder="0" applyAlignment="0" applyProtection="0"/>
    <xf numFmtId="0" fontId="124" fillId="56" borderId="34" applyNumberFormat="0" applyAlignment="0" applyProtection="0"/>
    <xf numFmtId="0" fontId="125" fillId="44" borderId="0" applyNumberFormat="0" applyBorder="0" applyAlignment="0" applyProtection="0"/>
    <xf numFmtId="0" fontId="69" fillId="41" borderId="39" applyNumberFormat="0" applyFont="0" applyAlignment="0" applyProtection="0"/>
    <xf numFmtId="0" fontId="126" fillId="0" borderId="43" applyNumberFormat="0" applyFill="0" applyAlignment="0" applyProtection="0"/>
    <xf numFmtId="0" fontId="7" fillId="0" borderId="0"/>
    <xf numFmtId="0" fontId="127" fillId="44" borderId="33" applyNumberFormat="0" applyAlignment="0" applyProtection="0"/>
    <xf numFmtId="0" fontId="128" fillId="55" borderId="44" applyNumberFormat="0" applyAlignment="0" applyProtection="0"/>
    <xf numFmtId="0" fontId="129" fillId="52" borderId="0" applyNumberFormat="0" applyBorder="0" applyAlignment="0" applyProtection="0"/>
    <xf numFmtId="0" fontId="130" fillId="43" borderId="0" applyNumberFormat="0" applyBorder="0" applyAlignment="0" applyProtection="0"/>
    <xf numFmtId="0" fontId="131" fillId="0" borderId="36" applyNumberFormat="0" applyFill="0" applyAlignment="0" applyProtection="0"/>
    <xf numFmtId="0" fontId="132" fillId="0" borderId="37" applyNumberFormat="0" applyFill="0" applyAlignment="0" applyProtection="0"/>
    <xf numFmtId="0" fontId="133" fillId="0" borderId="38" applyNumberFormat="0" applyFill="0" applyAlignment="0" applyProtection="0"/>
    <xf numFmtId="0" fontId="133" fillId="0" borderId="0" applyNumberFormat="0" applyFill="0" applyBorder="0" applyAlignment="0" applyProtection="0"/>
    <xf numFmtId="0" fontId="134" fillId="55" borderId="33" applyNumberFormat="0" applyAlignment="0" applyProtection="0"/>
    <xf numFmtId="0" fontId="135" fillId="0" borderId="0" applyNumberFormat="0" applyFill="0" applyBorder="0" applyAlignment="0" applyProtection="0"/>
    <xf numFmtId="0" fontId="126" fillId="0" borderId="0" applyNumberFormat="0" applyFill="0" applyBorder="0" applyAlignment="0" applyProtection="0"/>
    <xf numFmtId="0" fontId="136" fillId="0" borderId="46" applyNumberFormat="0" applyFill="0" applyAlignment="0" applyProtection="0"/>
    <xf numFmtId="43" fontId="1" fillId="0" borderId="0" applyFont="0" applyFill="0" applyBorder="0" applyAlignment="0" applyProtection="0"/>
  </cellStyleXfs>
  <cellXfs count="488">
    <xf numFmtId="0" fontId="0" fillId="0" borderId="0" xfId="0"/>
    <xf numFmtId="0" fontId="0" fillId="2" borderId="0" xfId="0" applyFill="1"/>
    <xf numFmtId="0" fontId="0" fillId="3" borderId="0" xfId="0" applyFill="1"/>
    <xf numFmtId="0" fontId="3" fillId="2" borderId="0" xfId="0" applyFont="1" applyFill="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horizontal="center" vertical="center"/>
    </xf>
    <xf numFmtId="0" fontId="6" fillId="2" borderId="0" xfId="0" applyFont="1" applyFill="1" applyAlignment="1">
      <alignment vertical="center" wrapText="1"/>
    </xf>
    <xf numFmtId="0" fontId="0" fillId="3" borderId="0" xfId="0" applyFill="1" applyAlignment="1">
      <alignment horizontal="left" wrapText="1"/>
    </xf>
    <xf numFmtId="0" fontId="0" fillId="4" borderId="0" xfId="0" applyFill="1"/>
    <xf numFmtId="0" fontId="0" fillId="5" borderId="0" xfId="0" applyFill="1"/>
    <xf numFmtId="0" fontId="0" fillId="6" borderId="0" xfId="0" applyFill="1"/>
    <xf numFmtId="164" fontId="0" fillId="5" borderId="0" xfId="0" applyNumberFormat="1" applyFill="1"/>
    <xf numFmtId="0" fontId="2" fillId="2" borderId="0" xfId="0" applyFont="1" applyFill="1" applyBorder="1" applyAlignment="1">
      <alignment horizontal="center"/>
    </xf>
    <xf numFmtId="0" fontId="2" fillId="2" borderId="2" xfId="0" applyFont="1" applyFill="1" applyBorder="1"/>
    <xf numFmtId="0" fontId="2" fillId="2" borderId="3" xfId="0" applyFont="1" applyFill="1" applyBorder="1" applyAlignment="1">
      <alignment horizontal="center"/>
    </xf>
    <xf numFmtId="0" fontId="2" fillId="2" borderId="2" xfId="0" applyFont="1" applyFill="1" applyBorder="1" applyAlignment="1">
      <alignment horizontal="center"/>
    </xf>
    <xf numFmtId="0" fontId="0" fillId="2" borderId="4" xfId="0" applyFill="1" applyBorder="1"/>
    <xf numFmtId="164" fontId="2" fillId="2" borderId="2" xfId="0" applyNumberFormat="1" applyFont="1" applyFill="1" applyBorder="1" applyAlignment="1">
      <alignment horizontal="center"/>
    </xf>
    <xf numFmtId="0" fontId="2" fillId="2" borderId="9" xfId="0" applyFont="1" applyFill="1" applyBorder="1" applyAlignment="1">
      <alignment horizontal="center"/>
    </xf>
    <xf numFmtId="164" fontId="2" fillId="2" borderId="9" xfId="0" applyNumberFormat="1" applyFont="1" applyFill="1" applyBorder="1" applyAlignment="1">
      <alignment horizontal="center"/>
    </xf>
    <xf numFmtId="0" fontId="0" fillId="2" borderId="0" xfId="0" applyFont="1" applyFill="1" applyBorder="1"/>
    <xf numFmtId="164" fontId="0" fillId="2" borderId="10" xfId="0" applyNumberFormat="1" applyFont="1" applyFill="1" applyBorder="1" applyAlignment="1">
      <alignment horizontal="center"/>
    </xf>
    <xf numFmtId="0" fontId="0" fillId="2" borderId="4" xfId="0" applyFont="1" applyFill="1" applyBorder="1"/>
    <xf numFmtId="164" fontId="0" fillId="2" borderId="11" xfId="0" applyNumberFormat="1" applyFont="1" applyFill="1" applyBorder="1" applyAlignment="1">
      <alignment horizontal="center"/>
    </xf>
    <xf numFmtId="164" fontId="0" fillId="2" borderId="1" xfId="1" applyNumberFormat="1" applyFont="1" applyFill="1" applyBorder="1" applyAlignment="1">
      <alignment horizontal="center"/>
    </xf>
    <xf numFmtId="164" fontId="0" fillId="2" borderId="0" xfId="1" applyNumberFormat="1" applyFont="1" applyFill="1" applyBorder="1" applyAlignment="1">
      <alignment horizontal="center"/>
    </xf>
    <xf numFmtId="164" fontId="0" fillId="2" borderId="5" xfId="1" applyNumberFormat="1" applyFont="1" applyFill="1" applyBorder="1" applyAlignment="1">
      <alignment horizontal="center"/>
    </xf>
    <xf numFmtId="164" fontId="0" fillId="2" borderId="4" xfId="1" applyNumberFormat="1" applyFont="1" applyFill="1" applyBorder="1" applyAlignment="1">
      <alignment horizontal="center"/>
    </xf>
    <xf numFmtId="164" fontId="2" fillId="2" borderId="3" xfId="0" applyNumberFormat="1" applyFont="1" applyFill="1" applyBorder="1" applyAlignment="1">
      <alignment horizontal="center"/>
    </xf>
    <xf numFmtId="0" fontId="0" fillId="2" borderId="5" xfId="0" applyFill="1" applyBorder="1"/>
    <xf numFmtId="0" fontId="0" fillId="2" borderId="11" xfId="0" applyFill="1" applyBorder="1"/>
    <xf numFmtId="164" fontId="0" fillId="2" borderId="10" xfId="0" applyNumberFormat="1" applyFill="1" applyBorder="1"/>
    <xf numFmtId="164" fontId="0" fillId="2" borderId="0" xfId="0" applyNumberFormat="1" applyFill="1" applyBorder="1"/>
    <xf numFmtId="164" fontId="2" fillId="2" borderId="9" xfId="0" applyNumberFormat="1" applyFont="1" applyFill="1" applyBorder="1"/>
    <xf numFmtId="164" fontId="2" fillId="2" borderId="3" xfId="0" applyNumberFormat="1" applyFont="1" applyFill="1" applyBorder="1"/>
    <xf numFmtId="164" fontId="2" fillId="2" borderId="2" xfId="0" applyNumberFormat="1" applyFont="1" applyFill="1" applyBorder="1"/>
    <xf numFmtId="0" fontId="0" fillId="5" borderId="0" xfId="0" applyFill="1" applyBorder="1"/>
    <xf numFmtId="0" fontId="0" fillId="5" borderId="0" xfId="0" applyFill="1" applyBorder="1" applyAlignment="1"/>
    <xf numFmtId="164" fontId="0" fillId="2" borderId="1" xfId="0" applyNumberFormat="1" applyFill="1" applyBorder="1"/>
    <xf numFmtId="0" fontId="0" fillId="7" borderId="0" xfId="0" applyFill="1"/>
    <xf numFmtId="9" fontId="0" fillId="5" borderId="0" xfId="1" applyFont="1" applyFill="1" applyBorder="1" applyAlignment="1">
      <alignment horizontal="center"/>
    </xf>
    <xf numFmtId="0" fontId="6" fillId="2" borderId="0" xfId="0" applyFont="1" applyFill="1" applyAlignment="1">
      <alignment horizontal="justify" vertical="top" wrapText="1"/>
    </xf>
    <xf numFmtId="0" fontId="0" fillId="6" borderId="0" xfId="0" applyFill="1" applyBorder="1"/>
    <xf numFmtId="1" fontId="0" fillId="6" borderId="0" xfId="0" applyNumberFormat="1" applyFill="1" applyBorder="1" applyAlignment="1">
      <alignment horizontal="center"/>
    </xf>
    <xf numFmtId="0" fontId="0" fillId="6" borderId="12" xfId="0" applyFill="1" applyBorder="1"/>
    <xf numFmtId="1" fontId="0" fillId="6" borderId="12" xfId="0" applyNumberFormat="1" applyFill="1" applyBorder="1" applyAlignment="1">
      <alignment horizontal="center"/>
    </xf>
    <xf numFmtId="9" fontId="0" fillId="6" borderId="0" xfId="1" applyNumberFormat="1" applyFont="1" applyFill="1"/>
    <xf numFmtId="9" fontId="0" fillId="6" borderId="0" xfId="1" applyFont="1" applyFill="1"/>
    <xf numFmtId="9" fontId="0" fillId="6" borderId="0" xfId="1" applyFont="1" applyFill="1" applyBorder="1" applyAlignment="1">
      <alignment horizontal="center"/>
    </xf>
    <xf numFmtId="9" fontId="0" fillId="6" borderId="0" xfId="1" applyFont="1" applyFill="1" applyAlignment="1">
      <alignment horizontal="center"/>
    </xf>
    <xf numFmtId="0" fontId="2" fillId="6" borderId="0" xfId="0" applyFont="1" applyFill="1"/>
    <xf numFmtId="9" fontId="2" fillId="6" borderId="0" xfId="0" applyNumberFormat="1" applyFont="1" applyFill="1" applyBorder="1" applyAlignment="1">
      <alignment horizontal="center"/>
    </xf>
    <xf numFmtId="2" fontId="0" fillId="6" borderId="0" xfId="0" applyNumberFormat="1" applyFill="1"/>
    <xf numFmtId="0" fontId="0" fillId="2" borderId="0" xfId="0" applyFill="1" applyAlignment="1">
      <alignment vertical="center"/>
    </xf>
    <xf numFmtId="0" fontId="0" fillId="5" borderId="0" xfId="0" applyFill="1" applyAlignment="1">
      <alignment vertical="center"/>
    </xf>
    <xf numFmtId="0" fontId="10" fillId="2" borderId="0" xfId="0" applyFont="1" applyFill="1" applyAlignment="1">
      <alignment horizontal="center" vertical="center" readingOrder="1"/>
    </xf>
    <xf numFmtId="2" fontId="0" fillId="4" borderId="0" xfId="0" applyNumberFormat="1" applyFill="1"/>
    <xf numFmtId="0" fontId="6" fillId="4" borderId="0" xfId="0" applyFont="1" applyFill="1" applyAlignment="1">
      <alignment vertical="center" wrapText="1"/>
    </xf>
    <xf numFmtId="0" fontId="6" fillId="4" borderId="0" xfId="0" applyFont="1" applyFill="1" applyAlignment="1">
      <alignment horizontal="center" vertical="center" wrapText="1"/>
    </xf>
    <xf numFmtId="0" fontId="6" fillId="4" borderId="0" xfId="0" applyFont="1" applyFill="1" applyAlignment="1">
      <alignment vertical="center"/>
    </xf>
    <xf numFmtId="2" fontId="0" fillId="4" borderId="0" xfId="0" applyNumberFormat="1" applyFill="1" applyAlignment="1">
      <alignment horizontal="center"/>
    </xf>
    <xf numFmtId="0" fontId="6" fillId="5" borderId="0" xfId="0" applyFont="1" applyFill="1" applyAlignment="1">
      <alignment vertical="center" wrapText="1"/>
    </xf>
    <xf numFmtId="0" fontId="0" fillId="4" borderId="0" xfId="0" applyFill="1" applyAlignment="1"/>
    <xf numFmtId="0" fontId="0" fillId="5" borderId="0" xfId="0" applyFill="1" applyAlignment="1"/>
    <xf numFmtId="0" fontId="11" fillId="2" borderId="0" xfId="0" applyFont="1" applyFill="1" applyAlignment="1">
      <alignment horizontal="center" vertical="center" readingOrder="1"/>
    </xf>
    <xf numFmtId="0" fontId="12" fillId="2" borderId="0" xfId="0" applyFont="1" applyFill="1" applyAlignment="1">
      <alignment horizontal="left" vertical="center"/>
    </xf>
    <xf numFmtId="0" fontId="14" fillId="5" borderId="0" xfId="0" applyFont="1" applyFill="1" applyAlignment="1">
      <alignment horizontal="justify" vertical="center"/>
    </xf>
    <xf numFmtId="165" fontId="0" fillId="4" borderId="0" xfId="0" applyNumberFormat="1" applyFill="1"/>
    <xf numFmtId="10" fontId="0" fillId="4" borderId="0" xfId="0" applyNumberFormat="1" applyFill="1"/>
    <xf numFmtId="0" fontId="0" fillId="4" borderId="0" xfId="0" applyFill="1" applyBorder="1" applyAlignment="1"/>
    <xf numFmtId="0" fontId="13" fillId="4" borderId="0" xfId="0" applyFont="1" applyFill="1" applyBorder="1" applyAlignment="1">
      <alignment horizontal="left" vertical="center"/>
    </xf>
    <xf numFmtId="0" fontId="0" fillId="4" borderId="0" xfId="0" applyFont="1" applyFill="1" applyBorder="1"/>
    <xf numFmtId="165" fontId="13" fillId="4" borderId="0" xfId="1" applyNumberFormat="1" applyFont="1" applyFill="1" applyBorder="1" applyAlignment="1">
      <alignment horizontal="center" vertical="center"/>
    </xf>
    <xf numFmtId="0" fontId="0" fillId="4" borderId="0" xfId="0" applyFont="1" applyFill="1" applyBorder="1" applyAlignment="1">
      <alignment horizontal="justify" vertical="center" wrapText="1"/>
    </xf>
    <xf numFmtId="0" fontId="0" fillId="4" borderId="4" xfId="0" applyFont="1" applyFill="1" applyBorder="1"/>
    <xf numFmtId="165" fontId="13" fillId="4" borderId="7" xfId="1" applyNumberFormat="1" applyFont="1" applyFill="1" applyBorder="1" applyAlignment="1">
      <alignment horizontal="center" vertical="center"/>
    </xf>
    <xf numFmtId="165" fontId="0" fillId="4" borderId="0" xfId="1" applyNumberFormat="1" applyFont="1" applyFill="1"/>
    <xf numFmtId="0" fontId="6" fillId="2" borderId="0" xfId="0" applyFont="1" applyFill="1" applyAlignment="1">
      <alignment horizontal="justify" vertical="top" wrapText="1"/>
    </xf>
    <xf numFmtId="0" fontId="15" fillId="6" borderId="0" xfId="0" applyFont="1" applyFill="1" applyAlignment="1">
      <alignment horizontal="center"/>
    </xf>
    <xf numFmtId="0" fontId="16" fillId="3" borderId="0" xfId="0" applyFont="1" applyFill="1"/>
    <xf numFmtId="0" fontId="0" fillId="3" borderId="0" xfId="0" applyFill="1" applyBorder="1"/>
    <xf numFmtId="0" fontId="0" fillId="3" borderId="0" xfId="0" applyFill="1" applyBorder="1" applyAlignment="1">
      <alignment horizontal="left"/>
    </xf>
    <xf numFmtId="0" fontId="0" fillId="3" borderId="0" xfId="0" applyFill="1" applyBorder="1" applyAlignment="1">
      <alignment horizontal="left" wrapText="1"/>
    </xf>
    <xf numFmtId="0" fontId="0" fillId="2" borderId="0" xfId="0" applyFill="1" applyBorder="1"/>
    <xf numFmtId="0" fontId="0" fillId="2" borderId="14" xfId="0" applyFill="1" applyBorder="1"/>
    <xf numFmtId="0" fontId="6" fillId="2" borderId="14" xfId="0" applyFont="1" applyFill="1" applyBorder="1" applyAlignment="1">
      <alignment vertical="center" wrapText="1"/>
    </xf>
    <xf numFmtId="0" fontId="17" fillId="2" borderId="0" xfId="0" applyFont="1" applyFill="1" applyAlignment="1">
      <alignment horizontal="left" vertical="center"/>
    </xf>
    <xf numFmtId="0" fontId="0" fillId="2" borderId="0" xfId="0" applyFill="1" applyAlignment="1">
      <alignment horizontal="left" wrapText="1"/>
    </xf>
    <xf numFmtId="0" fontId="0" fillId="2" borderId="0" xfId="0" applyFill="1" applyAlignment="1">
      <alignment horizontal="left" vertical="center"/>
    </xf>
    <xf numFmtId="0" fontId="0" fillId="2" borderId="0" xfId="0" applyFill="1" applyAlignment="1">
      <alignment horizontal="left"/>
    </xf>
    <xf numFmtId="0" fontId="0" fillId="2" borderId="13" xfId="0" applyFill="1" applyBorder="1" applyAlignment="1">
      <alignment horizontal="left" wrapText="1"/>
    </xf>
    <xf numFmtId="165" fontId="0" fillId="2" borderId="0" xfId="1" applyNumberFormat="1" applyFont="1" applyFill="1" applyAlignment="1">
      <alignment horizontal="center" wrapText="1"/>
    </xf>
    <xf numFmtId="0" fontId="0" fillId="2" borderId="4" xfId="0" applyFill="1" applyBorder="1" applyAlignment="1">
      <alignment horizontal="left"/>
    </xf>
    <xf numFmtId="0" fontId="0" fillId="2" borderId="4" xfId="0" applyFill="1" applyBorder="1" applyAlignment="1">
      <alignment horizontal="left" wrapText="1"/>
    </xf>
    <xf numFmtId="165" fontId="0" fillId="2" borderId="0" xfId="1" applyNumberFormat="1" applyFont="1" applyFill="1" applyBorder="1" applyAlignment="1">
      <alignment horizontal="center"/>
    </xf>
    <xf numFmtId="165" fontId="0" fillId="2" borderId="0" xfId="1" applyNumberFormat="1" applyFont="1" applyFill="1" applyBorder="1" applyAlignment="1">
      <alignment horizontal="center" wrapText="1"/>
    </xf>
    <xf numFmtId="165" fontId="0" fillId="2" borderId="10" xfId="1" applyNumberFormat="1" applyFont="1" applyFill="1" applyBorder="1" applyAlignment="1">
      <alignment horizontal="center" wrapText="1"/>
    </xf>
    <xf numFmtId="165" fontId="0" fillId="2" borderId="1" xfId="1" applyNumberFormat="1" applyFont="1" applyFill="1" applyBorder="1" applyAlignment="1">
      <alignment horizontal="center" wrapText="1"/>
    </xf>
    <xf numFmtId="0" fontId="2" fillId="2" borderId="0" xfId="0" applyFont="1" applyFill="1" applyBorder="1" applyAlignment="1">
      <alignment horizontal="center" wrapText="1"/>
    </xf>
    <xf numFmtId="0" fontId="2" fillId="2" borderId="10" xfId="0" applyFont="1" applyFill="1" applyBorder="1" applyAlignment="1">
      <alignment horizontal="center" wrapText="1"/>
    </xf>
    <xf numFmtId="0" fontId="2" fillId="2" borderId="1" xfId="0" applyFont="1" applyFill="1" applyBorder="1" applyAlignment="1">
      <alignment horizontal="center" wrapText="1"/>
    </xf>
    <xf numFmtId="0" fontId="2" fillId="2" borderId="0" xfId="0" applyFont="1" applyFill="1" applyAlignment="1">
      <alignment horizontal="center" wrapText="1"/>
    </xf>
    <xf numFmtId="0" fontId="6" fillId="2" borderId="0" xfId="0" applyFont="1" applyFill="1" applyAlignment="1">
      <alignment horizontal="left" vertical="center"/>
    </xf>
    <xf numFmtId="0" fontId="6" fillId="2" borderId="0" xfId="0" applyFont="1" applyFill="1" applyAlignment="1">
      <alignment horizontal="justify" vertical="center" wrapText="1"/>
    </xf>
    <xf numFmtId="0" fontId="6" fillId="2" borderId="0" xfId="0" applyFont="1" applyFill="1" applyAlignment="1">
      <alignment horizontal="center" vertical="center" wrapText="1"/>
    </xf>
    <xf numFmtId="164" fontId="6" fillId="2" borderId="0" xfId="0" applyNumberFormat="1" applyFont="1" applyFill="1" applyAlignment="1">
      <alignment horizontal="center" vertical="center" wrapText="1"/>
    </xf>
    <xf numFmtId="0" fontId="6" fillId="2" borderId="4" xfId="0" applyFont="1" applyFill="1" applyBorder="1" applyAlignment="1">
      <alignment horizontal="justify" vertical="center" wrapText="1"/>
    </xf>
    <xf numFmtId="0" fontId="0" fillId="2" borderId="4" xfId="0" applyFill="1" applyBorder="1" applyAlignment="1">
      <alignment horizontal="center" vertical="center"/>
    </xf>
    <xf numFmtId="0" fontId="0" fillId="2" borderId="11" xfId="0" applyFill="1" applyBorder="1" applyAlignment="1">
      <alignment horizontal="center" vertical="center"/>
    </xf>
    <xf numFmtId="164" fontId="6" fillId="2" borderId="0" xfId="0" applyNumberFormat="1" applyFont="1" applyFill="1" applyBorder="1" applyAlignment="1">
      <alignment horizontal="center" vertical="center" wrapText="1"/>
    </xf>
    <xf numFmtId="164" fontId="6" fillId="2" borderId="10" xfId="0" applyNumberFormat="1" applyFont="1" applyFill="1" applyBorder="1" applyAlignment="1">
      <alignment horizontal="center" vertical="center" wrapText="1"/>
    </xf>
    <xf numFmtId="0" fontId="0" fillId="2" borderId="5" xfId="0" applyFill="1" applyBorder="1" applyAlignment="1">
      <alignment horizontal="center" vertical="center"/>
    </xf>
    <xf numFmtId="164" fontId="6" fillId="2" borderId="1" xfId="0" applyNumberFormat="1" applyFont="1" applyFill="1" applyBorder="1" applyAlignment="1">
      <alignment horizontal="center" vertical="center" wrapText="1"/>
    </xf>
    <xf numFmtId="0" fontId="6" fillId="2" borderId="0" xfId="0" applyFont="1" applyFill="1" applyBorder="1" applyAlignment="1">
      <alignment horizontal="justify" vertical="top" wrapText="1"/>
    </xf>
    <xf numFmtId="0" fontId="6" fillId="2" borderId="4" xfId="0" applyFont="1" applyFill="1" applyBorder="1" applyAlignment="1">
      <alignment horizontal="center" vertical="center" wrapText="1"/>
    </xf>
    <xf numFmtId="9" fontId="6" fillId="2" borderId="0" xfId="0" applyNumberFormat="1" applyFont="1" applyFill="1" applyAlignment="1">
      <alignment horizontal="center" vertical="center" wrapText="1"/>
    </xf>
    <xf numFmtId="9" fontId="6" fillId="2" borderId="4" xfId="0" applyNumberFormat="1" applyFont="1" applyFill="1" applyBorder="1" applyAlignment="1">
      <alignment horizontal="center" vertical="center" wrapText="1"/>
    </xf>
    <xf numFmtId="0" fontId="6" fillId="2" borderId="4" xfId="0" applyFont="1" applyFill="1" applyBorder="1" applyAlignment="1">
      <alignment horizontal="left" vertical="center"/>
    </xf>
    <xf numFmtId="0" fontId="6" fillId="2" borderId="0" xfId="0" applyFont="1" applyFill="1" applyBorder="1" applyAlignment="1">
      <alignment horizontal="left" vertical="top"/>
    </xf>
    <xf numFmtId="0" fontId="6" fillId="2" borderId="4" xfId="0" applyFont="1" applyFill="1" applyBorder="1" applyAlignment="1">
      <alignment horizontal="left" vertical="top"/>
    </xf>
    <xf numFmtId="0" fontId="6" fillId="2" borderId="4" xfId="0" applyFont="1" applyFill="1" applyBorder="1" applyAlignment="1">
      <alignment horizontal="justify" vertical="top" wrapText="1"/>
    </xf>
    <xf numFmtId="0" fontId="6" fillId="2" borderId="7" xfId="0" applyFont="1" applyFill="1" applyBorder="1" applyAlignment="1">
      <alignment horizontal="left" vertical="top"/>
    </xf>
    <xf numFmtId="0" fontId="6" fillId="2" borderId="7" xfId="0" applyFont="1" applyFill="1" applyBorder="1" applyAlignment="1">
      <alignment horizontal="justify" vertical="top" wrapText="1"/>
    </xf>
    <xf numFmtId="0" fontId="6" fillId="2" borderId="4" xfId="0" applyFont="1" applyFill="1" applyBorder="1" applyAlignment="1">
      <alignment horizontal="center" vertical="top" wrapText="1"/>
    </xf>
    <xf numFmtId="2" fontId="6" fillId="2" borderId="0" xfId="0" applyNumberFormat="1" applyFont="1" applyFill="1" applyBorder="1" applyAlignment="1">
      <alignment horizontal="center" vertical="top" wrapText="1"/>
    </xf>
    <xf numFmtId="2" fontId="6" fillId="2" borderId="4" xfId="0" applyNumberFormat="1" applyFont="1" applyFill="1" applyBorder="1" applyAlignment="1">
      <alignment horizontal="center" vertical="top" wrapText="1"/>
    </xf>
    <xf numFmtId="2" fontId="6" fillId="2" borderId="7" xfId="0" applyNumberFormat="1" applyFont="1" applyFill="1" applyBorder="1" applyAlignment="1">
      <alignment horizontal="center" vertical="top" wrapText="1"/>
    </xf>
    <xf numFmtId="0" fontId="17" fillId="2" borderId="0" xfId="0" applyFont="1" applyFill="1" applyAlignment="1">
      <alignment vertical="center"/>
    </xf>
    <xf numFmtId="2" fontId="0" fillId="5" borderId="0" xfId="0" applyNumberFormat="1" applyFill="1"/>
    <xf numFmtId="0" fontId="6" fillId="2" borderId="14" xfId="0" applyFont="1" applyFill="1" applyBorder="1" applyAlignment="1">
      <alignment vertical="top" wrapText="1"/>
    </xf>
    <xf numFmtId="165" fontId="6" fillId="2" borderId="0" xfId="0" applyNumberFormat="1" applyFont="1" applyFill="1" applyAlignment="1">
      <alignment horizontal="center" vertical="center" wrapText="1"/>
    </xf>
    <xf numFmtId="0" fontId="6" fillId="2" borderId="0" xfId="0" applyFont="1" applyFill="1" applyAlignment="1">
      <alignment vertical="center"/>
    </xf>
    <xf numFmtId="0" fontId="3" fillId="2" borderId="0" xfId="0" applyFont="1" applyFill="1"/>
    <xf numFmtId="0" fontId="6" fillId="2" borderId="0" xfId="0" applyFont="1" applyFill="1" applyAlignment="1">
      <alignment horizontal="left" vertical="top" wrapText="1"/>
    </xf>
    <xf numFmtId="0" fontId="18" fillId="2" borderId="0" xfId="0" applyFont="1" applyFill="1"/>
    <xf numFmtId="0" fontId="6" fillId="2" borderId="0" xfId="0" applyFont="1" applyFill="1" applyAlignment="1">
      <alignment horizontal="center" vertical="center" wrapText="1"/>
    </xf>
    <xf numFmtId="0" fontId="0" fillId="2" borderId="0" xfId="0" applyFill="1" applyAlignment="1">
      <alignment horizontal="center" vertical="center"/>
    </xf>
    <xf numFmtId="0" fontId="6" fillId="2" borderId="0" xfId="0" applyFont="1" applyFill="1" applyAlignment="1">
      <alignment horizontal="left" vertical="center" wrapText="1"/>
    </xf>
    <xf numFmtId="0" fontId="2" fillId="3" borderId="0" xfId="0" applyFont="1" applyFill="1" applyAlignment="1">
      <alignment horizontal="center" vertical="center" wrapText="1"/>
    </xf>
    <xf numFmtId="0" fontId="0" fillId="3" borderId="0" xfId="0" applyFill="1" applyAlignment="1">
      <alignment horizontal="center"/>
    </xf>
    <xf numFmtId="166" fontId="0" fillId="3" borderId="0" xfId="0" applyNumberFormat="1" applyFill="1" applyAlignment="1">
      <alignment horizontal="center"/>
    </xf>
    <xf numFmtId="0" fontId="4" fillId="2" borderId="0" xfId="0" applyFont="1" applyFill="1"/>
    <xf numFmtId="0" fontId="4" fillId="3" borderId="0" xfId="0" applyFont="1" applyFill="1"/>
    <xf numFmtId="0" fontId="19" fillId="2" borderId="0" xfId="0" applyFont="1" applyFill="1" applyAlignment="1">
      <alignment vertical="center"/>
    </xf>
    <xf numFmtId="0" fontId="20" fillId="2" borderId="0" xfId="0" applyFont="1" applyFill="1" applyAlignment="1">
      <alignment vertical="center"/>
    </xf>
    <xf numFmtId="0" fontId="19" fillId="2" borderId="12" xfId="0" applyFont="1" applyFill="1" applyBorder="1" applyAlignment="1">
      <alignment vertical="center"/>
    </xf>
    <xf numFmtId="0" fontId="20" fillId="2" borderId="12" xfId="0" applyFont="1" applyFill="1" applyBorder="1" applyAlignment="1">
      <alignment vertical="center"/>
    </xf>
    <xf numFmtId="0" fontId="20" fillId="2" borderId="15" xfId="0" applyFont="1" applyFill="1" applyBorder="1" applyAlignment="1">
      <alignment vertical="center"/>
    </xf>
    <xf numFmtId="0" fontId="20" fillId="2" borderId="0" xfId="0" applyFont="1" applyFill="1" applyBorder="1" applyAlignment="1">
      <alignment vertical="center"/>
    </xf>
    <xf numFmtId="0" fontId="20" fillId="2" borderId="12"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1" fillId="2" borderId="0" xfId="0" applyFont="1" applyFill="1" applyAlignment="1">
      <alignment horizontal="left" vertical="center" indent="6"/>
    </xf>
    <xf numFmtId="0" fontId="21" fillId="2" borderId="15" xfId="0" applyFont="1" applyFill="1" applyBorder="1" applyAlignment="1">
      <alignment vertical="center"/>
    </xf>
    <xf numFmtId="0" fontId="20" fillId="2" borderId="0" xfId="0" applyFont="1" applyFill="1" applyAlignment="1">
      <alignment horizontal="center" vertical="center"/>
    </xf>
    <xf numFmtId="0" fontId="20" fillId="2" borderId="12" xfId="0" applyFont="1" applyFill="1" applyBorder="1" applyAlignment="1">
      <alignment horizontal="center" vertical="center"/>
    </xf>
    <xf numFmtId="0" fontId="4" fillId="3" borderId="0" xfId="0" applyFont="1" applyFill="1" applyAlignment="1">
      <alignment vertical="center"/>
    </xf>
    <xf numFmtId="0" fontId="0" fillId="2" borderId="0" xfId="0" applyFill="1" applyAlignment="1">
      <alignment horizontal="center"/>
    </xf>
    <xf numFmtId="0" fontId="4" fillId="2" borderId="7" xfId="0" applyFont="1" applyFill="1" applyBorder="1"/>
    <xf numFmtId="0" fontId="4" fillId="2" borderId="7" xfId="0" applyFont="1" applyFill="1" applyBorder="1" applyAlignment="1">
      <alignment horizontal="center"/>
    </xf>
    <xf numFmtId="0" fontId="4" fillId="2" borderId="2" xfId="0" applyFont="1" applyFill="1" applyBorder="1" applyAlignment="1">
      <alignment horizontal="center" vertical="center"/>
    </xf>
    <xf numFmtId="0" fontId="4" fillId="2" borderId="4" xfId="0" applyFont="1" applyFill="1" applyBorder="1" applyAlignment="1">
      <alignment vertical="center"/>
    </xf>
    <xf numFmtId="0" fontId="4" fillId="2" borderId="4" xfId="0" applyFont="1" applyFill="1" applyBorder="1" applyAlignment="1">
      <alignment horizontal="center" vertical="center" wrapText="1"/>
    </xf>
    <xf numFmtId="0" fontId="23" fillId="2" borderId="0" xfId="0" applyFont="1" applyFill="1" applyBorder="1" applyAlignment="1">
      <alignment vertical="center"/>
    </xf>
    <xf numFmtId="0" fontId="4" fillId="2" borderId="0" xfId="0" applyFont="1" applyFill="1" applyBorder="1" applyAlignment="1">
      <alignment horizontal="center"/>
    </xf>
    <xf numFmtId="0" fontId="23" fillId="2" borderId="0" xfId="0" applyFont="1" applyFill="1" applyBorder="1" applyAlignment="1">
      <alignment horizontal="center" vertical="center"/>
    </xf>
    <xf numFmtId="0" fontId="4" fillId="2" borderId="0" xfId="0"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xf numFmtId="0" fontId="4" fillId="2" borderId="14" xfId="0" applyFont="1" applyFill="1" applyBorder="1" applyAlignment="1">
      <alignment vertical="center"/>
    </xf>
    <xf numFmtId="0" fontId="4" fillId="2" borderId="14" xfId="0" applyFont="1" applyFill="1" applyBorder="1" applyAlignment="1">
      <alignment horizontal="center" vertical="center"/>
    </xf>
    <xf numFmtId="0" fontId="3" fillId="2" borderId="0" xfId="0" applyFont="1" applyFill="1" applyAlignment="1"/>
    <xf numFmtId="0" fontId="2" fillId="0" borderId="4" xfId="0" applyFont="1" applyFill="1" applyBorder="1" applyAlignment="1">
      <alignment vertical="center"/>
    </xf>
    <xf numFmtId="0" fontId="2" fillId="0" borderId="4" xfId="0" applyFont="1" applyFill="1" applyBorder="1" applyAlignment="1">
      <alignment horizontal="center" vertical="center" wrapText="1"/>
    </xf>
    <xf numFmtId="0" fontId="0" fillId="0" borderId="0" xfId="0" applyFill="1" applyBorder="1"/>
    <xf numFmtId="165" fontId="0" fillId="0" borderId="0" xfId="1" applyNumberFormat="1" applyFont="1" applyFill="1" applyBorder="1" applyAlignment="1">
      <alignment horizontal="center" vertical="center"/>
    </xf>
    <xf numFmtId="10" fontId="0" fillId="0" borderId="0" xfId="0" applyNumberFormat="1" applyFill="1" applyBorder="1" applyAlignment="1">
      <alignment horizontal="center" vertical="center"/>
    </xf>
    <xf numFmtId="0" fontId="0" fillId="0" borderId="7" xfId="0" applyFill="1" applyBorder="1"/>
    <xf numFmtId="165" fontId="0" fillId="0" borderId="7" xfId="1" applyNumberFormat="1" applyFont="1" applyFill="1" applyBorder="1" applyAlignment="1">
      <alignment horizontal="center" vertical="center"/>
    </xf>
    <xf numFmtId="0" fontId="0" fillId="0" borderId="4" xfId="0" applyFill="1" applyBorder="1"/>
    <xf numFmtId="165" fontId="0" fillId="0" borderId="4" xfId="1" applyNumberFormat="1" applyFont="1" applyFill="1" applyBorder="1" applyAlignment="1">
      <alignment horizontal="center" vertical="center"/>
    </xf>
    <xf numFmtId="0" fontId="2" fillId="0" borderId="7" xfId="0" applyFont="1" applyFill="1" applyBorder="1"/>
    <xf numFmtId="165" fontId="2" fillId="0" borderId="7" xfId="0" applyNumberFormat="1" applyFont="1" applyFill="1" applyBorder="1" applyAlignment="1">
      <alignment horizontal="center" vertical="center"/>
    </xf>
    <xf numFmtId="0" fontId="2" fillId="0" borderId="0" xfId="0" applyFont="1" applyFill="1" applyBorder="1"/>
    <xf numFmtId="165" fontId="2" fillId="0" borderId="0" xfId="0" applyNumberFormat="1" applyFont="1" applyFill="1" applyBorder="1" applyAlignment="1">
      <alignment horizontal="center" vertical="center"/>
    </xf>
    <xf numFmtId="0" fontId="2" fillId="0" borderId="4" xfId="0" applyFont="1" applyFill="1" applyBorder="1"/>
    <xf numFmtId="165" fontId="2" fillId="0" borderId="4" xfId="0" applyNumberFormat="1" applyFont="1" applyFill="1" applyBorder="1" applyAlignment="1">
      <alignment horizontal="center" vertical="center"/>
    </xf>
    <xf numFmtId="165" fontId="0" fillId="0" borderId="0" xfId="0" applyNumberFormat="1" applyFill="1" applyBorder="1" applyAlignment="1">
      <alignment horizontal="center" vertical="center"/>
    </xf>
    <xf numFmtId="0" fontId="0" fillId="0" borderId="0" xfId="0" applyFill="1"/>
    <xf numFmtId="165" fontId="0" fillId="0" borderId="0" xfId="1" applyNumberFormat="1" applyFont="1" applyFill="1" applyAlignment="1">
      <alignment horizontal="center" vertical="center"/>
    </xf>
    <xf numFmtId="0" fontId="6" fillId="2" borderId="0" xfId="0" applyFont="1" applyFill="1" applyAlignment="1">
      <alignment horizontal="center" vertical="top" wrapText="1"/>
    </xf>
    <xf numFmtId="0" fontId="6" fillId="2" borderId="0" xfId="0" applyFont="1" applyFill="1" applyBorder="1" applyAlignment="1">
      <alignment horizontal="center" vertical="top" wrapText="1"/>
    </xf>
    <xf numFmtId="0" fontId="6" fillId="2" borderId="10"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10" xfId="0" applyFont="1" applyFill="1" applyBorder="1" applyAlignment="1">
      <alignment horizontal="left" vertical="top" wrapText="1"/>
    </xf>
    <xf numFmtId="165" fontId="6" fillId="2" borderId="0" xfId="1" applyNumberFormat="1" applyFont="1" applyFill="1" applyBorder="1" applyAlignment="1">
      <alignment horizontal="center" vertical="top" wrapText="1"/>
    </xf>
    <xf numFmtId="165" fontId="6" fillId="2" borderId="10" xfId="1" applyNumberFormat="1" applyFont="1" applyFill="1" applyBorder="1" applyAlignment="1">
      <alignment horizontal="center" vertical="top" wrapText="1"/>
    </xf>
    <xf numFmtId="165" fontId="6" fillId="2" borderId="1" xfId="1" applyNumberFormat="1" applyFont="1" applyFill="1" applyBorder="1" applyAlignment="1">
      <alignment horizontal="center" vertical="top" wrapText="1"/>
    </xf>
    <xf numFmtId="2" fontId="6" fillId="2" borderId="0" xfId="0" applyNumberFormat="1" applyFont="1" applyFill="1" applyAlignment="1">
      <alignment horizontal="center" vertical="top" wrapText="1"/>
    </xf>
    <xf numFmtId="0" fontId="6" fillId="2" borderId="4" xfId="0" applyFont="1" applyFill="1" applyBorder="1" applyAlignment="1">
      <alignment horizontal="left" vertical="top" wrapText="1"/>
    </xf>
    <xf numFmtId="0" fontId="6" fillId="2" borderId="7" xfId="0" applyFont="1" applyFill="1" applyBorder="1" applyAlignment="1">
      <alignment horizontal="left" vertical="top" wrapText="1"/>
    </xf>
    <xf numFmtId="0" fontId="24" fillId="2" borderId="0" xfId="0" applyFont="1" applyFill="1"/>
    <xf numFmtId="0" fontId="4" fillId="2" borderId="0" xfId="0" applyFont="1" applyFill="1" applyAlignment="1">
      <alignment horizontal="center"/>
    </xf>
    <xf numFmtId="0" fontId="40" fillId="0" borderId="0" xfId="0" applyFont="1" applyAlignment="1">
      <alignment horizontal="left" vertical="center"/>
    </xf>
    <xf numFmtId="0" fontId="12" fillId="2" borderId="0" xfId="0" applyFont="1" applyFill="1"/>
    <xf numFmtId="0" fontId="12" fillId="2" borderId="7" xfId="0" applyFont="1" applyFill="1" applyBorder="1"/>
    <xf numFmtId="0" fontId="12" fillId="2" borderId="2" xfId="0" applyFont="1" applyFill="1" applyBorder="1" applyAlignment="1"/>
    <xf numFmtId="0" fontId="12" fillId="2" borderId="0" xfId="0" applyFont="1" applyFill="1" applyBorder="1" applyAlignment="1"/>
    <xf numFmtId="0" fontId="12" fillId="3" borderId="0" xfId="0" applyFont="1" applyFill="1"/>
    <xf numFmtId="0" fontId="12" fillId="2" borderId="4" xfId="0" applyFont="1" applyFill="1" applyBorder="1"/>
    <xf numFmtId="0" fontId="4" fillId="2" borderId="2" xfId="0" applyFont="1" applyFill="1" applyBorder="1" applyAlignment="1">
      <alignment vertical="center"/>
    </xf>
    <xf numFmtId="0" fontId="4" fillId="2" borderId="2" xfId="0" applyFont="1" applyFill="1" applyBorder="1" applyAlignment="1">
      <alignment horizontal="center" vertical="center" wrapText="1"/>
    </xf>
    <xf numFmtId="0" fontId="4" fillId="2" borderId="0" xfId="0" applyFont="1" applyFill="1" applyBorder="1" applyAlignment="1">
      <alignment horizontal="center" vertical="center" wrapText="1"/>
    </xf>
    <xf numFmtId="165" fontId="4" fillId="2" borderId="0" xfId="1" applyNumberFormat="1" applyFont="1" applyFill="1" applyBorder="1" applyAlignment="1">
      <alignment horizontal="center"/>
    </xf>
    <xf numFmtId="167" fontId="4" fillId="2" borderId="0" xfId="0" applyNumberFormat="1" applyFont="1" applyFill="1" applyBorder="1" applyAlignment="1">
      <alignment horizontal="center"/>
    </xf>
    <xf numFmtId="0" fontId="4" fillId="2" borderId="0" xfId="0" applyFont="1" applyFill="1" applyBorder="1" applyAlignment="1">
      <alignment horizontal="justify" vertical="center" wrapText="1"/>
    </xf>
    <xf numFmtId="3" fontId="4" fillId="2" borderId="0" xfId="0" applyNumberFormat="1" applyFont="1" applyFill="1"/>
    <xf numFmtId="0" fontId="4" fillId="2" borderId="4" xfId="0" applyFont="1" applyFill="1" applyBorder="1"/>
    <xf numFmtId="165" fontId="4" fillId="2" borderId="4" xfId="1" applyNumberFormat="1" applyFont="1" applyFill="1" applyBorder="1" applyAlignment="1">
      <alignment horizontal="center"/>
    </xf>
    <xf numFmtId="0" fontId="12" fillId="2" borderId="2" xfId="0" applyFont="1" applyFill="1" applyBorder="1" applyAlignment="1">
      <alignment horizontal="justify" vertical="center" wrapText="1"/>
    </xf>
    <xf numFmtId="165" fontId="12" fillId="2" borderId="2" xfId="1" applyNumberFormat="1" applyFont="1" applyFill="1" applyBorder="1" applyAlignment="1">
      <alignment horizontal="center"/>
    </xf>
    <xf numFmtId="167" fontId="12" fillId="2" borderId="0" xfId="0" applyNumberFormat="1" applyFont="1" applyFill="1" applyBorder="1" applyAlignment="1">
      <alignment horizontal="center"/>
    </xf>
    <xf numFmtId="167" fontId="4" fillId="2" borderId="0" xfId="0" applyNumberFormat="1" applyFont="1" applyFill="1"/>
    <xf numFmtId="167" fontId="4" fillId="3" borderId="0" xfId="0" applyNumberFormat="1" applyFont="1" applyFill="1"/>
    <xf numFmtId="0" fontId="12" fillId="2" borderId="28" xfId="0" applyFont="1" applyFill="1" applyBorder="1" applyAlignment="1">
      <alignment horizontal="justify" vertical="center" wrapText="1"/>
    </xf>
    <xf numFmtId="165" fontId="12" fillId="2" borderId="28" xfId="1" applyNumberFormat="1" applyFont="1" applyFill="1" applyBorder="1" applyAlignment="1">
      <alignment horizontal="center"/>
    </xf>
    <xf numFmtId="0" fontId="4" fillId="2" borderId="14" xfId="0" applyFont="1" applyFill="1" applyBorder="1"/>
    <xf numFmtId="0" fontId="4" fillId="2" borderId="14" xfId="0" applyFont="1" applyFill="1" applyBorder="1" applyAlignment="1">
      <alignment horizontal="center"/>
    </xf>
    <xf numFmtId="0" fontId="6" fillId="2" borderId="17" xfId="0" applyFont="1" applyFill="1" applyBorder="1" applyAlignment="1">
      <alignment vertical="center" wrapText="1"/>
    </xf>
    <xf numFmtId="0" fontId="6" fillId="2" borderId="0" xfId="0" applyFont="1" applyFill="1" applyBorder="1" applyAlignment="1">
      <alignment vertical="center" wrapText="1"/>
    </xf>
    <xf numFmtId="0" fontId="4" fillId="3" borderId="0" xfId="0" applyFont="1" applyFill="1" applyAlignment="1">
      <alignment horizontal="center"/>
    </xf>
    <xf numFmtId="2" fontId="0" fillId="3" borderId="0" xfId="0" applyNumberFormat="1" applyFill="1"/>
    <xf numFmtId="0" fontId="6" fillId="2" borderId="0" xfId="0" applyFont="1" applyFill="1" applyAlignment="1">
      <alignment horizontal="left" vertical="top"/>
    </xf>
    <xf numFmtId="2" fontId="6" fillId="2" borderId="0" xfId="0" applyNumberFormat="1" applyFont="1" applyFill="1" applyAlignment="1">
      <alignment horizontal="center" vertical="center" wrapText="1"/>
    </xf>
    <xf numFmtId="0" fontId="41" fillId="2" borderId="0" xfId="0" applyFont="1" applyFill="1"/>
    <xf numFmtId="0" fontId="12" fillId="2" borderId="7" xfId="0" applyFont="1" applyFill="1" applyBorder="1" applyAlignment="1">
      <alignment horizontal="center" vertical="center"/>
    </xf>
    <xf numFmtId="0" fontId="12" fillId="2" borderId="7"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0" xfId="0" applyFont="1" applyFill="1" applyBorder="1" applyAlignment="1">
      <alignment horizontal="center" vertical="center"/>
    </xf>
    <xf numFmtId="0" fontId="4" fillId="2" borderId="0" xfId="0" applyFont="1" applyFill="1" applyAlignment="1">
      <alignment horizontal="left"/>
    </xf>
    <xf numFmtId="1" fontId="4" fillId="2" borderId="0" xfId="0" applyNumberFormat="1" applyFont="1" applyFill="1" applyAlignment="1">
      <alignment horizontal="center" vertical="center"/>
    </xf>
    <xf numFmtId="9" fontId="4" fillId="2" borderId="0" xfId="1" applyFont="1" applyFill="1" applyAlignment="1">
      <alignment horizontal="center" vertical="center"/>
    </xf>
    <xf numFmtId="9" fontId="4" fillId="2" borderId="0" xfId="0" applyNumberFormat="1" applyFont="1" applyFill="1" applyAlignment="1">
      <alignment horizontal="center" vertical="center"/>
    </xf>
    <xf numFmtId="164" fontId="4" fillId="2" borderId="0" xfId="0" applyNumberFormat="1" applyFont="1" applyFill="1" applyAlignment="1">
      <alignment horizontal="center" vertical="center"/>
    </xf>
    <xf numFmtId="2" fontId="4" fillId="2" borderId="0" xfId="0" applyNumberFormat="1" applyFont="1" applyFill="1" applyAlignment="1">
      <alignment horizontal="center" vertical="center"/>
    </xf>
    <xf numFmtId="1" fontId="4" fillId="2" borderId="0" xfId="0" applyNumberFormat="1" applyFont="1" applyFill="1" applyAlignment="1">
      <alignment horizontal="center" vertical="center" wrapText="1"/>
    </xf>
    <xf numFmtId="9" fontId="4" fillId="2" borderId="0" xfId="1" applyFont="1" applyFill="1" applyAlignment="1">
      <alignment horizontal="center" vertical="center" wrapText="1"/>
    </xf>
    <xf numFmtId="0" fontId="12" fillId="2" borderId="14" xfId="0" applyFont="1" applyFill="1" applyBorder="1" applyAlignment="1">
      <alignment horizontal="left"/>
    </xf>
    <xf numFmtId="1" fontId="12" fillId="2" borderId="14" xfId="0" applyNumberFormat="1" applyFont="1" applyFill="1" applyBorder="1" applyAlignment="1">
      <alignment horizontal="center"/>
    </xf>
    <xf numFmtId="9" fontId="12" fillId="2" borderId="14" xfId="1" applyFont="1" applyFill="1" applyBorder="1" applyAlignment="1">
      <alignment horizontal="center"/>
    </xf>
    <xf numFmtId="164" fontId="12" fillId="2" borderId="14" xfId="0" applyNumberFormat="1" applyFont="1" applyFill="1" applyBorder="1" applyAlignment="1">
      <alignment horizontal="center"/>
    </xf>
    <xf numFmtId="2" fontId="41" fillId="2" borderId="0" xfId="0" applyNumberFormat="1" applyFont="1" applyFill="1"/>
    <xf numFmtId="9" fontId="0" fillId="2" borderId="0" xfId="1" applyFont="1" applyFill="1" applyAlignment="1">
      <alignment horizontal="center"/>
    </xf>
    <xf numFmtId="0" fontId="4" fillId="2" borderId="4"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5" xfId="0" applyFont="1" applyFill="1" applyBorder="1" applyAlignment="1">
      <alignment horizontal="center" vertical="center"/>
    </xf>
    <xf numFmtId="0" fontId="23" fillId="2" borderId="0" xfId="0" applyFont="1" applyFill="1" applyBorder="1" applyAlignment="1">
      <alignment horizontal="center" vertical="center" wrapText="1"/>
    </xf>
    <xf numFmtId="164" fontId="4" fillId="2" borderId="1" xfId="1" applyNumberFormat="1" applyFont="1" applyFill="1" applyBorder="1" applyAlignment="1">
      <alignment horizontal="center"/>
    </xf>
    <xf numFmtId="164" fontId="4" fillId="2" borderId="0" xfId="1" applyNumberFormat="1" applyFont="1" applyFill="1" applyBorder="1" applyAlignment="1">
      <alignment horizontal="center"/>
    </xf>
    <xf numFmtId="164" fontId="4" fillId="2" borderId="7" xfId="1" applyNumberFormat="1" applyFont="1" applyFill="1" applyBorder="1" applyAlignment="1">
      <alignment horizontal="center"/>
    </xf>
    <xf numFmtId="164" fontId="23" fillId="2" borderId="8" xfId="1" applyNumberFormat="1" applyFont="1" applyFill="1" applyBorder="1" applyAlignment="1">
      <alignment horizontal="center"/>
    </xf>
    <xf numFmtId="164" fontId="23" fillId="2" borderId="7" xfId="1" applyNumberFormat="1" applyFont="1" applyFill="1" applyBorder="1" applyAlignment="1">
      <alignment horizontal="center"/>
    </xf>
    <xf numFmtId="164" fontId="23" fillId="2" borderId="0" xfId="1" applyNumberFormat="1" applyFont="1" applyFill="1" applyBorder="1" applyAlignment="1">
      <alignment horizontal="center"/>
    </xf>
    <xf numFmtId="164" fontId="23" fillId="2" borderId="10" xfId="1" applyNumberFormat="1" applyFont="1" applyFill="1" applyBorder="1" applyAlignment="1">
      <alignment horizontal="center"/>
    </xf>
    <xf numFmtId="164" fontId="4" fillId="2" borderId="5" xfId="1" applyNumberFormat="1" applyFont="1" applyFill="1" applyBorder="1" applyAlignment="1">
      <alignment horizontal="center"/>
    </xf>
    <xf numFmtId="164" fontId="4" fillId="2" borderId="4" xfId="1" applyNumberFormat="1" applyFont="1" applyFill="1" applyBorder="1" applyAlignment="1">
      <alignment horizontal="center"/>
    </xf>
    <xf numFmtId="164" fontId="23" fillId="2" borderId="11" xfId="1" applyNumberFormat="1" applyFont="1" applyFill="1" applyBorder="1" applyAlignment="1">
      <alignment horizontal="center"/>
    </xf>
    <xf numFmtId="164" fontId="23" fillId="2" borderId="4" xfId="0" applyNumberFormat="1" applyFont="1" applyFill="1" applyBorder="1" applyAlignment="1">
      <alignment horizontal="center"/>
    </xf>
    <xf numFmtId="0" fontId="12" fillId="2" borderId="28" xfId="0" applyFont="1" applyFill="1" applyBorder="1" applyAlignment="1">
      <alignment vertical="center" wrapText="1"/>
    </xf>
    <xf numFmtId="164" fontId="12" fillId="2" borderId="29" xfId="0" applyNumberFormat="1" applyFont="1" applyFill="1" applyBorder="1" applyAlignment="1">
      <alignment horizontal="center" vertical="center"/>
    </xf>
    <xf numFmtId="164" fontId="12" fillId="2" borderId="28" xfId="0" applyNumberFormat="1" applyFont="1" applyFill="1" applyBorder="1" applyAlignment="1">
      <alignment horizontal="center" vertical="center"/>
    </xf>
    <xf numFmtId="164" fontId="42" fillId="2" borderId="30" xfId="0" applyNumberFormat="1" applyFont="1" applyFill="1" applyBorder="1" applyAlignment="1">
      <alignment horizontal="center" vertical="center"/>
    </xf>
    <xf numFmtId="164" fontId="42" fillId="2" borderId="28" xfId="1" applyNumberFormat="1" applyFont="1" applyFill="1" applyBorder="1" applyAlignment="1">
      <alignment horizontal="center" vertical="center"/>
    </xf>
    <xf numFmtId="164" fontId="42" fillId="2" borderId="0" xfId="0" applyNumberFormat="1" applyFont="1" applyFill="1" applyBorder="1" applyAlignment="1">
      <alignment horizontal="center" vertical="center"/>
    </xf>
    <xf numFmtId="164" fontId="12" fillId="2" borderId="0" xfId="0" applyNumberFormat="1" applyFont="1" applyFill="1" applyBorder="1" applyAlignment="1">
      <alignment horizontal="center" vertical="center"/>
    </xf>
    <xf numFmtId="0" fontId="4" fillId="2" borderId="0" xfId="0" applyFont="1" applyFill="1" applyBorder="1" applyAlignment="1">
      <alignment vertical="center" wrapText="1"/>
    </xf>
    <xf numFmtId="0" fontId="137" fillId="2" borderId="0" xfId="0" applyFont="1" applyFill="1"/>
    <xf numFmtId="0" fontId="138" fillId="2" borderId="9" xfId="0" applyFont="1" applyFill="1" applyBorder="1" applyAlignment="1">
      <alignment horizontal="center" vertical="center" wrapText="1"/>
    </xf>
    <xf numFmtId="0" fontId="138" fillId="2" borderId="18" xfId="0" applyFont="1" applyFill="1" applyBorder="1" applyAlignment="1">
      <alignment horizontal="center" vertical="center" wrapText="1"/>
    </xf>
    <xf numFmtId="0" fontId="138" fillId="2" borderId="3" xfId="0" applyFont="1" applyFill="1" applyBorder="1" applyAlignment="1">
      <alignment horizontal="center" vertical="center" wrapText="1"/>
    </xf>
    <xf numFmtId="0" fontId="137" fillId="2" borderId="10" xfId="0" quotePrefix="1" applyFont="1" applyFill="1" applyBorder="1" applyAlignment="1">
      <alignment horizontal="center" vertical="center"/>
    </xf>
    <xf numFmtId="0" fontId="4" fillId="2" borderId="4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7" fillId="2" borderId="47" xfId="0" quotePrefix="1" applyFont="1" applyFill="1" applyBorder="1" applyAlignment="1">
      <alignment horizontal="center" vertical="center"/>
    </xf>
    <xf numFmtId="0" fontId="4" fillId="2" borderId="48" xfId="0" applyFont="1" applyFill="1" applyBorder="1" applyAlignment="1">
      <alignment horizontal="center" vertical="center" wrapText="1"/>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wrapText="1"/>
    </xf>
    <xf numFmtId="0" fontId="137" fillId="3" borderId="0" xfId="0" applyFont="1" applyFill="1"/>
    <xf numFmtId="1" fontId="137" fillId="3" borderId="0" xfId="0" applyNumberFormat="1" applyFont="1" applyFill="1" applyAlignment="1">
      <alignment horizontal="center" vertical="center"/>
    </xf>
    <xf numFmtId="164" fontId="137" fillId="3" borderId="0" xfId="0" applyNumberFormat="1" applyFont="1" applyFill="1" applyAlignment="1">
      <alignment horizontal="center" vertical="center"/>
    </xf>
    <xf numFmtId="0" fontId="139" fillId="2" borderId="0" xfId="0" applyFont="1" applyFill="1"/>
    <xf numFmtId="0" fontId="139" fillId="3" borderId="0" xfId="0" applyFont="1" applyFill="1"/>
    <xf numFmtId="0" fontId="140" fillId="3" borderId="0" xfId="0" applyFont="1" applyFill="1"/>
    <xf numFmtId="0" fontId="139" fillId="3" borderId="0" xfId="0" applyFont="1" applyFill="1" applyAlignment="1"/>
    <xf numFmtId="1" fontId="139" fillId="3" borderId="0" xfId="0" applyNumberFormat="1" applyFont="1" applyFill="1" applyAlignment="1">
      <alignment horizontal="center" vertical="center"/>
    </xf>
    <xf numFmtId="1" fontId="140" fillId="3" borderId="0" xfId="0" applyNumberFormat="1" applyFont="1" applyFill="1" applyAlignment="1">
      <alignment horizontal="center" vertical="center"/>
    </xf>
    <xf numFmtId="1" fontId="139" fillId="3" borderId="0" xfId="0" applyNumberFormat="1" applyFont="1" applyFill="1" applyAlignment="1">
      <alignment horizontal="center"/>
    </xf>
    <xf numFmtId="1" fontId="140" fillId="3" borderId="0" xfId="0" applyNumberFormat="1" applyFont="1" applyFill="1" applyAlignment="1">
      <alignment horizontal="center"/>
    </xf>
    <xf numFmtId="164" fontId="139" fillId="3" borderId="0" xfId="0" applyNumberFormat="1" applyFont="1" applyFill="1" applyAlignment="1"/>
    <xf numFmtId="0" fontId="141" fillId="2" borderId="0" xfId="0" applyFont="1" applyFill="1" applyAlignment="1">
      <alignment vertical="center"/>
    </xf>
    <xf numFmtId="0" fontId="137" fillId="2" borderId="2" xfId="0" applyFont="1" applyFill="1" applyBorder="1" applyAlignment="1">
      <alignment horizontal="left" vertical="center" wrapText="1"/>
    </xf>
    <xf numFmtId="0" fontId="137" fillId="2" borderId="9" xfId="0" applyFont="1" applyFill="1" applyBorder="1" applyAlignment="1">
      <alignment vertical="center" wrapText="1"/>
    </xf>
    <xf numFmtId="0" fontId="4" fillId="2" borderId="0" xfId="0" applyFont="1" applyFill="1" applyAlignment="1">
      <alignment horizontal="left" vertical="center" indent="4"/>
    </xf>
    <xf numFmtId="164" fontId="137" fillId="2" borderId="2" xfId="0" applyNumberFormat="1" applyFont="1" applyFill="1" applyBorder="1" applyAlignment="1">
      <alignment horizontal="center" vertical="center" wrapText="1"/>
    </xf>
    <xf numFmtId="164" fontId="137" fillId="2" borderId="0" xfId="0" applyNumberFormat="1" applyFont="1" applyFill="1" applyBorder="1" applyAlignment="1">
      <alignment horizontal="center" vertical="center" wrapText="1"/>
    </xf>
    <xf numFmtId="0" fontId="4" fillId="2" borderId="8" xfId="0" applyFont="1" applyFill="1" applyBorder="1" applyAlignment="1">
      <alignment vertical="center" wrapText="1"/>
    </xf>
    <xf numFmtId="1" fontId="4" fillId="2" borderId="7" xfId="0" applyNumberFormat="1" applyFont="1" applyFill="1" applyBorder="1" applyAlignment="1">
      <alignment horizontal="center" vertical="center" wrapText="1"/>
    </xf>
    <xf numFmtId="0" fontId="4" fillId="2" borderId="11" xfId="0" applyFont="1" applyFill="1" applyBorder="1" applyAlignment="1">
      <alignment vertical="center" wrapText="1"/>
    </xf>
    <xf numFmtId="164" fontId="4" fillId="2" borderId="4" xfId="0" applyNumberFormat="1" applyFont="1" applyFill="1" applyBorder="1" applyAlignment="1">
      <alignment horizontal="center" vertical="center" wrapText="1"/>
    </xf>
    <xf numFmtId="0" fontId="137" fillId="2" borderId="0" xfId="0" applyFont="1" applyFill="1" applyAlignment="1">
      <alignment horizontal="left" vertical="center" wrapText="1"/>
    </xf>
    <xf numFmtId="0" fontId="137" fillId="2" borderId="10" xfId="0" applyFont="1" applyFill="1" applyBorder="1" applyAlignment="1">
      <alignment vertical="center" wrapText="1"/>
    </xf>
    <xf numFmtId="164" fontId="137" fillId="2" borderId="0" xfId="0" quotePrefix="1" applyNumberFormat="1" applyFont="1" applyFill="1" applyBorder="1" applyAlignment="1">
      <alignment horizontal="center" vertical="center" wrapText="1"/>
    </xf>
    <xf numFmtId="0" fontId="137" fillId="2" borderId="8" xfId="0" applyFont="1" applyFill="1" applyBorder="1" applyAlignment="1">
      <alignment vertical="center" wrapText="1"/>
    </xf>
    <xf numFmtId="164" fontId="137" fillId="2" borderId="7" xfId="0" applyNumberFormat="1" applyFont="1" applyFill="1" applyBorder="1" applyAlignment="1">
      <alignment horizontal="center" vertical="center" wrapText="1"/>
    </xf>
    <xf numFmtId="0" fontId="137" fillId="2" borderId="47" xfId="0" applyFont="1" applyFill="1" applyBorder="1" applyAlignment="1">
      <alignment vertical="center" wrapText="1"/>
    </xf>
    <xf numFmtId="164" fontId="137" fillId="2" borderId="14" xfId="0" applyNumberFormat="1" applyFont="1" applyFill="1" applyBorder="1" applyAlignment="1">
      <alignment horizontal="center" vertical="center" wrapText="1"/>
    </xf>
    <xf numFmtId="0" fontId="3" fillId="2" borderId="0" xfId="0" applyFont="1" applyFill="1" applyAlignment="1">
      <alignment vertical="center"/>
    </xf>
    <xf numFmtId="0" fontId="0" fillId="3" borderId="0" xfId="0" applyFill="1" applyAlignment="1">
      <alignment horizontal="left"/>
    </xf>
    <xf numFmtId="165" fontId="0" fillId="3" borderId="0" xfId="1" applyNumberFormat="1" applyFont="1" applyFill="1" applyAlignment="1">
      <alignment horizontal="center"/>
    </xf>
    <xf numFmtId="165" fontId="0" fillId="3" borderId="0" xfId="0" applyNumberFormat="1" applyFill="1"/>
    <xf numFmtId="0" fontId="5" fillId="2" borderId="0" xfId="0" applyFont="1" applyFill="1"/>
    <xf numFmtId="0" fontId="24" fillId="3" borderId="0" xfId="0" applyFont="1" applyFill="1"/>
    <xf numFmtId="0" fontId="24" fillId="3" borderId="0" xfId="0" applyFont="1" applyFill="1" applyBorder="1"/>
    <xf numFmtId="0" fontId="142" fillId="3" borderId="0" xfId="0" applyFont="1" applyFill="1" applyAlignment="1">
      <alignment horizontal="left" vertical="center"/>
    </xf>
    <xf numFmtId="0" fontId="143" fillId="3" borderId="2" xfId="0" applyFont="1" applyFill="1" applyBorder="1" applyAlignment="1">
      <alignment horizontal="left" vertical="center" wrapText="1"/>
    </xf>
    <xf numFmtId="0" fontId="24" fillId="3" borderId="2" xfId="0" applyFont="1" applyFill="1" applyBorder="1"/>
    <xf numFmtId="0" fontId="144" fillId="3" borderId="2" xfId="0" applyFont="1" applyFill="1" applyBorder="1" applyAlignment="1">
      <alignment horizontal="center" vertical="center" wrapText="1"/>
    </xf>
    <xf numFmtId="1" fontId="24" fillId="3" borderId="0" xfId="0" applyNumberFormat="1" applyFont="1" applyFill="1" applyBorder="1"/>
    <xf numFmtId="0" fontId="24" fillId="3" borderId="4" xfId="0" applyFont="1" applyFill="1" applyBorder="1"/>
    <xf numFmtId="1" fontId="24" fillId="3" borderId="4" xfId="0" applyNumberFormat="1" applyFont="1" applyFill="1" applyBorder="1"/>
    <xf numFmtId="0" fontId="1" fillId="2" borderId="0" xfId="0" applyFont="1" applyFill="1"/>
    <xf numFmtId="0" fontId="145" fillId="2" borderId="50" xfId="5" applyFont="1" applyFill="1" applyBorder="1" applyAlignment="1">
      <alignment vertical="top"/>
    </xf>
    <xf numFmtId="0" fontId="1" fillId="3" borderId="0" xfId="0" applyFont="1" applyFill="1"/>
    <xf numFmtId="0" fontId="40" fillId="2" borderId="0" xfId="0" applyFont="1" applyFill="1" applyAlignment="1">
      <alignment horizontal="left" vertical="center"/>
    </xf>
    <xf numFmtId="0" fontId="145" fillId="2" borderId="0" xfId="5" applyFont="1" applyFill="1" applyBorder="1" applyAlignment="1">
      <alignment vertical="top" wrapText="1"/>
    </xf>
    <xf numFmtId="0" fontId="62" fillId="2" borderId="0" xfId="5" applyFont="1" applyFill="1"/>
    <xf numFmtId="0" fontId="62" fillId="3" borderId="0" xfId="5" applyFont="1" applyFill="1"/>
    <xf numFmtId="0" fontId="147" fillId="3" borderId="51" xfId="5" applyFont="1" applyFill="1" applyBorder="1" applyAlignment="1">
      <alignment horizontal="right" vertical="center" wrapText="1"/>
    </xf>
    <xf numFmtId="0" fontId="148" fillId="3" borderId="52" xfId="3" applyFont="1" applyFill="1" applyBorder="1" applyAlignment="1">
      <alignment horizontal="center" vertical="top" wrapText="1"/>
    </xf>
    <xf numFmtId="0" fontId="148" fillId="3" borderId="52" xfId="0" applyFont="1" applyFill="1" applyBorder="1" applyAlignment="1">
      <alignment vertical="top" wrapText="1"/>
    </xf>
    <xf numFmtId="0" fontId="100" fillId="3" borderId="52" xfId="0" applyNumberFormat="1" applyFont="1" applyFill="1" applyBorder="1" applyAlignment="1">
      <alignment horizontal="right"/>
    </xf>
    <xf numFmtId="164" fontId="100" fillId="3" borderId="52" xfId="0" applyNumberFormat="1" applyFont="1" applyFill="1" applyBorder="1" applyAlignment="1">
      <alignment horizontal="center"/>
    </xf>
    <xf numFmtId="164" fontId="100" fillId="3" borderId="0" xfId="0" applyNumberFormat="1" applyFont="1" applyFill="1" applyBorder="1" applyAlignment="1">
      <alignment horizontal="center"/>
    </xf>
    <xf numFmtId="164" fontId="100" fillId="3" borderId="52" xfId="5" applyNumberFormat="1" applyFont="1" applyFill="1" applyBorder="1" applyAlignment="1">
      <alignment horizontal="center"/>
    </xf>
    <xf numFmtId="0" fontId="148" fillId="3" borderId="52" xfId="5" applyFont="1" applyFill="1" applyBorder="1" applyAlignment="1">
      <alignment vertical="top" wrapText="1"/>
    </xf>
    <xf numFmtId="0" fontId="100" fillId="3" borderId="52" xfId="5" applyNumberFormat="1" applyFont="1" applyFill="1" applyBorder="1" applyAlignment="1">
      <alignment horizontal="right"/>
    </xf>
    <xf numFmtId="164" fontId="62" fillId="3" borderId="52" xfId="3" applyNumberFormat="1" applyFont="1" applyFill="1" applyBorder="1" applyAlignment="1">
      <alignment horizontal="center"/>
    </xf>
    <xf numFmtId="0" fontId="147" fillId="3" borderId="0" xfId="5" applyFont="1" applyFill="1" applyBorder="1" applyAlignment="1">
      <alignment vertical="top" wrapText="1"/>
    </xf>
    <xf numFmtId="0" fontId="2" fillId="3" borderId="0" xfId="0" applyFont="1" applyFill="1"/>
    <xf numFmtId="1" fontId="0" fillId="3" borderId="0" xfId="0" applyNumberFormat="1" applyFill="1"/>
    <xf numFmtId="0" fontId="0" fillId="3" borderId="0" xfId="0" applyFill="1" applyAlignment="1">
      <alignment horizontal="right"/>
    </xf>
    <xf numFmtId="0" fontId="144" fillId="3" borderId="0" xfId="0" applyFont="1" applyFill="1" applyBorder="1" applyAlignment="1">
      <alignment horizontal="left" vertical="center" wrapText="1"/>
    </xf>
    <xf numFmtId="0" fontId="144" fillId="3" borderId="2" xfId="0" applyFont="1" applyFill="1" applyBorder="1" applyAlignment="1">
      <alignment horizontal="left" vertical="center" wrapText="1"/>
    </xf>
    <xf numFmtId="0" fontId="144" fillId="3" borderId="7" xfId="0" applyFont="1" applyFill="1" applyBorder="1" applyAlignment="1">
      <alignment horizontal="center" vertical="center" wrapText="1"/>
    </xf>
    <xf numFmtId="0" fontId="144" fillId="3" borderId="7" xfId="0" applyFont="1" applyFill="1" applyBorder="1" applyAlignment="1">
      <alignment horizontal="left" vertical="center" wrapText="1"/>
    </xf>
    <xf numFmtId="0" fontId="24" fillId="3" borderId="7" xfId="0" applyFont="1" applyFill="1" applyBorder="1"/>
    <xf numFmtId="1" fontId="24" fillId="3" borderId="7" xfId="0" applyNumberFormat="1" applyFont="1" applyFill="1" applyBorder="1"/>
    <xf numFmtId="0" fontId="3" fillId="2" borderId="0" xfId="0" applyFont="1" applyFill="1" applyAlignment="1">
      <alignment horizontal="left"/>
    </xf>
    <xf numFmtId="9" fontId="0" fillId="3" borderId="0" xfId="1" applyFont="1" applyFill="1"/>
    <xf numFmtId="9" fontId="0" fillId="3" borderId="0" xfId="0" applyNumberFormat="1" applyFill="1"/>
    <xf numFmtId="0" fontId="150" fillId="2" borderId="0" xfId="0" applyFont="1" applyFill="1"/>
    <xf numFmtId="0" fontId="150" fillId="3" borderId="0" xfId="0" applyFont="1" applyFill="1"/>
    <xf numFmtId="0" fontId="12" fillId="3" borderId="0" xfId="0" applyFont="1" applyFill="1" applyAlignment="1">
      <alignment horizontal="left" vertical="center"/>
    </xf>
    <xf numFmtId="0" fontId="6" fillId="2" borderId="0" xfId="0" applyFont="1" applyFill="1" applyAlignment="1">
      <alignment wrapText="1"/>
    </xf>
    <xf numFmtId="0" fontId="6" fillId="2" borderId="0" xfId="0" applyFont="1" applyFill="1" applyAlignment="1">
      <alignment horizontal="left" wrapText="1"/>
    </xf>
    <xf numFmtId="0" fontId="6" fillId="3" borderId="0" xfId="0" applyFont="1" applyFill="1" applyAlignment="1">
      <alignment horizontal="left" vertical="center" wrapText="1"/>
    </xf>
    <xf numFmtId="0" fontId="6" fillId="3" borderId="0" xfId="0" applyFont="1" applyFill="1" applyAlignment="1">
      <alignment wrapText="1"/>
    </xf>
    <xf numFmtId="0" fontId="0" fillId="3" borderId="0" xfId="0" applyFill="1" applyAlignment="1"/>
    <xf numFmtId="0" fontId="152" fillId="2" borderId="0" xfId="0" applyFont="1" applyFill="1"/>
    <xf numFmtId="0" fontId="151" fillId="2" borderId="0" xfId="0" applyFont="1" applyFill="1"/>
    <xf numFmtId="0" fontId="152" fillId="2" borderId="0" xfId="0" applyFont="1" applyFill="1" applyAlignment="1">
      <alignment horizontal="center"/>
    </xf>
    <xf numFmtId="0" fontId="152" fillId="2" borderId="4" xfId="0" applyFont="1" applyFill="1" applyBorder="1" applyAlignment="1">
      <alignment horizontal="center"/>
    </xf>
    <xf numFmtId="0" fontId="152" fillId="2" borderId="14" xfId="0" applyFont="1" applyFill="1" applyBorder="1" applyAlignment="1">
      <alignment horizontal="center"/>
    </xf>
    <xf numFmtId="0" fontId="152" fillId="2" borderId="18" xfId="0" applyFont="1" applyFill="1" applyBorder="1" applyAlignment="1">
      <alignment horizontal="center" vertical="center"/>
    </xf>
    <xf numFmtId="0" fontId="152" fillId="2" borderId="0" xfId="0" applyFont="1" applyFill="1" applyAlignment="1">
      <alignment horizontal="left" vertical="top"/>
    </xf>
    <xf numFmtId="0" fontId="153" fillId="2" borderId="0" xfId="0" applyFont="1" applyFill="1"/>
    <xf numFmtId="0" fontId="152" fillId="2" borderId="0" xfId="0" applyFont="1" applyFill="1" applyAlignment="1">
      <alignment horizontal="left"/>
    </xf>
    <xf numFmtId="0" fontId="153" fillId="2" borderId="0" xfId="0" applyFont="1" applyFill="1" applyAlignment="1">
      <alignment horizontal="left"/>
    </xf>
    <xf numFmtId="0" fontId="152" fillId="0" borderId="0" xfId="0" applyFont="1" applyAlignment="1">
      <alignment horizontal="left" vertical="center"/>
    </xf>
    <xf numFmtId="0" fontId="152" fillId="0" borderId="0" xfId="0" applyFont="1"/>
    <xf numFmtId="0" fontId="155" fillId="0" borderId="0" xfId="0" applyFont="1" applyAlignment="1">
      <alignment horizontal="left" vertical="center"/>
    </xf>
    <xf numFmtId="0" fontId="152" fillId="0" borderId="0" xfId="0" applyFont="1" applyAlignment="1">
      <alignment horizontal="left"/>
    </xf>
    <xf numFmtId="0" fontId="156" fillId="0" borderId="0" xfId="7" applyFont="1" applyAlignment="1">
      <alignment horizontal="left" vertical="center"/>
    </xf>
    <xf numFmtId="0" fontId="154" fillId="0" borderId="0" xfId="0" applyFont="1" applyAlignment="1">
      <alignment horizontal="left" vertical="center"/>
    </xf>
    <xf numFmtId="0" fontId="155" fillId="0" borderId="0" xfId="0" applyFont="1"/>
    <xf numFmtId="0" fontId="152" fillId="2" borderId="0" xfId="0" applyFont="1" applyFill="1" applyAlignment="1">
      <alignment horizontal="left" vertical="center"/>
    </xf>
    <xf numFmtId="0" fontId="155" fillId="2" borderId="0" xfId="0" applyFont="1" applyFill="1" applyAlignment="1">
      <alignment horizontal="left" vertical="center"/>
    </xf>
    <xf numFmtId="0" fontId="153" fillId="2" borderId="0" xfId="0" applyFont="1" applyFill="1" applyAlignment="1">
      <alignment horizontal="left" vertical="center"/>
    </xf>
    <xf numFmtId="0" fontId="158" fillId="2" borderId="0" xfId="7" applyFont="1" applyFill="1" applyAlignment="1">
      <alignment horizontal="left" vertical="center"/>
    </xf>
    <xf numFmtId="0" fontId="150" fillId="5" borderId="0" xfId="0" applyFont="1" applyFill="1"/>
    <xf numFmtId="183" fontId="0" fillId="5" borderId="0" xfId="2441" applyNumberFormat="1" applyFont="1" applyFill="1"/>
    <xf numFmtId="0" fontId="0" fillId="5" borderId="10" xfId="0" applyFill="1" applyBorder="1"/>
    <xf numFmtId="0" fontId="0" fillId="5" borderId="4" xfId="0" applyFill="1" applyBorder="1"/>
    <xf numFmtId="0" fontId="0" fillId="5" borderId="11" xfId="0" applyFill="1" applyBorder="1"/>
    <xf numFmtId="43" fontId="0" fillId="5" borderId="0" xfId="2441" applyNumberFormat="1" applyFont="1" applyFill="1"/>
    <xf numFmtId="0" fontId="159" fillId="2" borderId="0" xfId="0" applyFont="1" applyFill="1"/>
    <xf numFmtId="183" fontId="0" fillId="5" borderId="0" xfId="0" applyNumberFormat="1" applyFill="1"/>
    <xf numFmtId="0" fontId="0" fillId="5" borderId="1" xfId="0" applyFill="1" applyBorder="1"/>
    <xf numFmtId="0" fontId="0" fillId="5" borderId="5" xfId="0" applyFill="1" applyBorder="1"/>
    <xf numFmtId="0" fontId="152" fillId="2" borderId="18" xfId="0" applyFont="1" applyFill="1" applyBorder="1" applyAlignment="1">
      <alignment horizontal="left" vertical="top" wrapText="1"/>
    </xf>
    <xf numFmtId="0" fontId="153" fillId="2" borderId="0" xfId="0" applyFont="1" applyFill="1" applyAlignment="1">
      <alignment horizontal="center" vertical="center"/>
    </xf>
    <xf numFmtId="0" fontId="15" fillId="2" borderId="0" xfId="0" applyFont="1" applyFill="1" applyAlignment="1">
      <alignment horizontal="center"/>
    </xf>
    <xf numFmtId="0" fontId="0" fillId="4" borderId="0" xfId="0" applyFill="1" applyAlignment="1">
      <alignment horizontal="center"/>
    </xf>
    <xf numFmtId="0" fontId="2" fillId="2" borderId="0" xfId="0" applyFont="1" applyFill="1" applyAlignment="1">
      <alignment horizontal="center" wrapText="1"/>
    </xf>
    <xf numFmtId="0" fontId="2" fillId="2" borderId="0" xfId="0" applyFont="1" applyFill="1" applyBorder="1" applyAlignment="1">
      <alignment horizontal="center" wrapText="1"/>
    </xf>
    <xf numFmtId="0" fontId="2" fillId="2" borderId="10" xfId="0" applyFont="1" applyFill="1" applyBorder="1" applyAlignment="1">
      <alignment horizontal="center" wrapText="1"/>
    </xf>
    <xf numFmtId="0" fontId="2" fillId="2" borderId="1" xfId="0" applyFont="1" applyFill="1" applyBorder="1" applyAlignment="1">
      <alignment horizontal="center" wrapText="1"/>
    </xf>
    <xf numFmtId="0" fontId="6" fillId="2" borderId="14" xfId="0" applyFont="1" applyFill="1" applyBorder="1" applyAlignment="1">
      <alignment horizontal="justify" vertical="top" wrapText="1"/>
    </xf>
    <xf numFmtId="0" fontId="2" fillId="2" borderId="3" xfId="0" applyFont="1" applyFill="1" applyBorder="1" applyAlignment="1">
      <alignment horizontal="center"/>
    </xf>
    <xf numFmtId="0" fontId="2" fillId="2" borderId="2" xfId="0" applyFont="1" applyFill="1" applyBorder="1" applyAlignment="1">
      <alignment horizontal="center"/>
    </xf>
    <xf numFmtId="0" fontId="2" fillId="2" borderId="9" xfId="0" applyFont="1" applyFill="1" applyBorder="1" applyAlignment="1">
      <alignment horizontal="center"/>
    </xf>
    <xf numFmtId="0" fontId="0" fillId="7" borderId="0" xfId="0" applyFill="1" applyAlignment="1">
      <alignment horizontal="center"/>
    </xf>
    <xf numFmtId="0" fontId="0" fillId="5" borderId="0" xfId="0" applyFill="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0" fillId="6" borderId="0" xfId="0" applyFill="1" applyAlignment="1">
      <alignment horizontal="center"/>
    </xf>
    <xf numFmtId="0" fontId="6" fillId="2" borderId="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4" xfId="0" applyFont="1" applyFill="1" applyBorder="1" applyAlignment="1">
      <alignment horizontal="justify" vertical="top"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3" fillId="4" borderId="0" xfId="0" applyFont="1" applyFill="1" applyBorder="1" applyAlignment="1">
      <alignment horizontal="center" vertical="center"/>
    </xf>
    <xf numFmtId="0" fontId="0" fillId="2" borderId="0" xfId="0" applyFill="1" applyAlignment="1">
      <alignment horizontal="center" vertical="center"/>
    </xf>
    <xf numFmtId="0" fontId="6" fillId="2" borderId="14" xfId="0" applyFont="1" applyFill="1" applyBorder="1" applyAlignment="1">
      <alignment horizontal="left" vertical="top" wrapText="1"/>
    </xf>
    <xf numFmtId="0" fontId="6" fillId="2" borderId="0" xfId="0" applyFont="1" applyFill="1" applyBorder="1" applyAlignment="1">
      <alignment horizontal="center" vertical="top" wrapText="1"/>
    </xf>
    <xf numFmtId="0" fontId="6" fillId="2" borderId="10" xfId="0" applyFont="1" applyFill="1" applyBorder="1" applyAlignment="1">
      <alignment horizontal="center" vertical="top" wrapText="1"/>
    </xf>
    <xf numFmtId="0" fontId="6" fillId="2" borderId="0" xfId="0" applyFont="1" applyFill="1" applyBorder="1" applyAlignment="1">
      <alignment horizontal="center" vertical="top"/>
    </xf>
    <xf numFmtId="0" fontId="6" fillId="2" borderId="10" xfId="0" applyFont="1" applyFill="1" applyBorder="1" applyAlignment="1">
      <alignment horizontal="center" vertical="top"/>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top"/>
    </xf>
    <xf numFmtId="0" fontId="6" fillId="2" borderId="7" xfId="0" applyFont="1" applyFill="1" applyBorder="1" applyAlignment="1">
      <alignment horizontal="center" vertical="top" wrapText="1"/>
    </xf>
    <xf numFmtId="0" fontId="6" fillId="2" borderId="0" xfId="0" applyFont="1" applyFill="1" applyAlignment="1">
      <alignment horizontal="left" vertical="center" wrapText="1"/>
    </xf>
    <xf numFmtId="0" fontId="22" fillId="2" borderId="15" xfId="0" applyFont="1" applyFill="1" applyBorder="1" applyAlignment="1">
      <alignment horizontal="left" vertical="center" wrapText="1"/>
    </xf>
    <xf numFmtId="0" fontId="20" fillId="2" borderId="0" xfId="0" applyFont="1" applyFill="1" applyAlignment="1">
      <alignment horizontal="center" vertical="center"/>
    </xf>
    <xf numFmtId="0" fontId="20" fillId="2" borderId="12" xfId="0" applyFont="1" applyFill="1" applyBorder="1" applyAlignment="1">
      <alignment horizontal="center" vertical="center"/>
    </xf>
    <xf numFmtId="0" fontId="4" fillId="2" borderId="15" xfId="0" applyFont="1" applyFill="1" applyBorder="1"/>
    <xf numFmtId="0" fontId="4" fillId="2" borderId="0" xfId="0" applyFont="1" applyFill="1" applyBorder="1"/>
    <xf numFmtId="0" fontId="20" fillId="2" borderId="16" xfId="0" applyFont="1" applyFill="1" applyBorder="1" applyAlignment="1">
      <alignment horizontal="center" vertical="center" wrapText="1"/>
    </xf>
    <xf numFmtId="0" fontId="4" fillId="2" borderId="2" xfId="0" applyFont="1" applyFill="1" applyBorder="1" applyAlignment="1">
      <alignment horizontal="center" vertical="center"/>
    </xf>
    <xf numFmtId="0" fontId="6" fillId="2" borderId="17" xfId="0" applyFont="1" applyFill="1" applyBorder="1" applyAlignment="1">
      <alignment horizontal="left" vertical="center" wrapText="1"/>
    </xf>
    <xf numFmtId="0" fontId="6" fillId="2" borderId="0" xfId="0" applyFont="1" applyFill="1" applyAlignment="1">
      <alignment horizontal="left" vertical="top" wrapText="1"/>
    </xf>
    <xf numFmtId="0" fontId="2" fillId="0" borderId="2" xfId="0" applyFont="1" applyFill="1" applyBorder="1" applyAlignment="1">
      <alignment horizontal="center" vertical="center"/>
    </xf>
    <xf numFmtId="0" fontId="12" fillId="2" borderId="7" xfId="0" applyFont="1" applyFill="1" applyBorder="1" applyAlignment="1">
      <alignment horizontal="center"/>
    </xf>
    <xf numFmtId="0" fontId="12" fillId="2" borderId="4" xfId="0" applyFont="1" applyFill="1" applyBorder="1" applyAlignment="1">
      <alignment horizontal="center"/>
    </xf>
    <xf numFmtId="0" fontId="12" fillId="2" borderId="2" xfId="0" applyFont="1" applyFill="1" applyBorder="1" applyAlignment="1">
      <alignment horizontal="center"/>
    </xf>
    <xf numFmtId="0" fontId="12" fillId="2" borderId="0" xfId="0" applyFont="1" applyFill="1" applyBorder="1" applyAlignment="1">
      <alignment horizontal="center"/>
    </xf>
    <xf numFmtId="0" fontId="12" fillId="2" borderId="7"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7" xfId="0" applyFont="1" applyFill="1" applyBorder="1" applyAlignment="1">
      <alignment horizontal="center" vertical="center" wrapText="1"/>
    </xf>
    <xf numFmtId="0" fontId="6" fillId="2" borderId="0" xfId="0" applyFont="1" applyFill="1" applyAlignment="1">
      <alignment horizontal="justify" vertical="top" wrapText="1"/>
    </xf>
    <xf numFmtId="0" fontId="12" fillId="2" borderId="0" xfId="0" applyFont="1" applyFill="1" applyBorder="1" applyAlignment="1">
      <alignment horizontal="center" vertical="center" wrapText="1"/>
    </xf>
    <xf numFmtId="0" fontId="12" fillId="2"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0" borderId="0" xfId="0" applyFont="1" applyAlignment="1">
      <alignment horizontal="left" vertical="center" wrapText="1"/>
    </xf>
    <xf numFmtId="0" fontId="12" fillId="2" borderId="9" xfId="0" applyFont="1" applyFill="1" applyBorder="1" applyAlignment="1">
      <alignment horizontal="center"/>
    </xf>
    <xf numFmtId="0" fontId="12" fillId="2" borderId="2"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3" xfId="0" applyFont="1" applyFill="1" applyBorder="1" applyAlignment="1">
      <alignment horizontal="center" vertical="center"/>
    </xf>
    <xf numFmtId="0" fontId="3" fillId="0" borderId="0" xfId="0" applyFont="1" applyAlignment="1">
      <alignment horizontal="left" vertical="top" wrapText="1"/>
    </xf>
    <xf numFmtId="0" fontId="12" fillId="2" borderId="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22" fillId="2" borderId="0" xfId="0" applyFont="1" applyFill="1" applyAlignment="1">
      <alignment horizontal="left" vertical="center" wrapText="1"/>
    </xf>
    <xf numFmtId="0" fontId="24" fillId="3" borderId="2" xfId="0" applyFont="1" applyFill="1" applyBorder="1" applyAlignment="1">
      <alignment horizontal="center"/>
    </xf>
    <xf numFmtId="0" fontId="143" fillId="3" borderId="2" xfId="0" applyFont="1" applyFill="1" applyBorder="1" applyAlignment="1">
      <alignment horizontal="center" vertical="center" wrapText="1"/>
    </xf>
    <xf numFmtId="0" fontId="24" fillId="3" borderId="4" xfId="0" applyFont="1" applyFill="1" applyBorder="1" applyAlignment="1">
      <alignment horizontal="center"/>
    </xf>
    <xf numFmtId="0" fontId="144" fillId="3" borderId="2"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6" fillId="5" borderId="0" xfId="0" applyFont="1" applyFill="1" applyAlignment="1">
      <alignment horizontal="left" wrapText="1"/>
    </xf>
    <xf numFmtId="0" fontId="6" fillId="2" borderId="0" xfId="0" applyFont="1" applyFill="1" applyAlignment="1">
      <alignment horizontal="left" wrapText="1"/>
    </xf>
    <xf numFmtId="0" fontId="0" fillId="3" borderId="0" xfId="0" applyFill="1" applyAlignment="1">
      <alignment horizontal="center"/>
    </xf>
    <xf numFmtId="0" fontId="0" fillId="0" borderId="0" xfId="0" applyAlignment="1">
      <alignment vertical="center" wrapText="1"/>
    </xf>
    <xf numFmtId="0" fontId="160" fillId="0" borderId="0" xfId="421" applyFont="1" applyAlignment="1">
      <alignment horizontal="left" vertical="center"/>
    </xf>
    <xf numFmtId="0" fontId="161" fillId="0" borderId="0" xfId="421" applyFont="1" applyAlignment="1">
      <alignment horizontal="left" vertical="center"/>
    </xf>
    <xf numFmtId="0" fontId="7" fillId="0" borderId="0" xfId="421" applyAlignment="1">
      <alignment horizontal="left" vertical="center"/>
    </xf>
    <xf numFmtId="0" fontId="160" fillId="0" borderId="0" xfId="421" applyFont="1" applyAlignment="1">
      <alignment horizontal="left" vertical="center" wrapText="1"/>
    </xf>
    <xf numFmtId="0" fontId="7" fillId="0" borderId="0" xfId="421" applyAlignment="1">
      <alignment horizontal="left" vertical="center" wrapText="1"/>
    </xf>
    <xf numFmtId="0" fontId="7" fillId="0" borderId="0" xfId="421" applyFont="1" applyAlignment="1">
      <alignment horizontal="left" vertical="center" wrapText="1"/>
    </xf>
    <xf numFmtId="0" fontId="74" fillId="0" borderId="0" xfId="421" applyFont="1" applyAlignment="1">
      <alignment horizontal="left" vertical="center" wrapText="1"/>
    </xf>
    <xf numFmtId="0" fontId="0" fillId="3" borderId="0" xfId="0" applyFill="1" applyAlignment="1">
      <alignment horizontal="left" vertical="top" wrapText="1"/>
    </xf>
  </cellXfs>
  <cellStyles count="2442">
    <cellStyle name="20 % - Aksentti1" xfId="8"/>
    <cellStyle name="20 % - Aksentti2" xfId="9"/>
    <cellStyle name="20 % - Aksentti3" xfId="10"/>
    <cellStyle name="20 % - Aksentti4" xfId="11"/>
    <cellStyle name="20 % - Aksentti5" xfId="12"/>
    <cellStyle name="20 % - Aksentti6" xfId="13"/>
    <cellStyle name="20% - Accent1 2" xfId="14"/>
    <cellStyle name="20% - Accent1 3" xfId="15"/>
    <cellStyle name="20% - Accent1 4" xfId="16"/>
    <cellStyle name="20% - Accent1 5" xfId="17"/>
    <cellStyle name="20% - Accent2 2" xfId="18"/>
    <cellStyle name="20% - Accent2 3" xfId="19"/>
    <cellStyle name="20% - Accent2 4" xfId="20"/>
    <cellStyle name="20% - Accent2 5" xfId="21"/>
    <cellStyle name="20% - Accent3 2" xfId="22"/>
    <cellStyle name="20% - Accent3 3" xfId="23"/>
    <cellStyle name="20% - Accent3 4" xfId="24"/>
    <cellStyle name="20% - Accent3 5" xfId="25"/>
    <cellStyle name="20% - Accent4 2" xfId="26"/>
    <cellStyle name="20% - Accent4 3" xfId="27"/>
    <cellStyle name="20% - Accent4 4" xfId="28"/>
    <cellStyle name="20% - Accent4 5" xfId="29"/>
    <cellStyle name="20% - Accent5 2" xfId="30"/>
    <cellStyle name="20% - Accent5 3" xfId="31"/>
    <cellStyle name="20% - Accent5 4" xfId="32"/>
    <cellStyle name="20% - Accent5 5" xfId="33"/>
    <cellStyle name="20% - Accent6 2" xfId="34"/>
    <cellStyle name="20% - Accent6 3" xfId="35"/>
    <cellStyle name="20% - Accent6 4" xfId="36"/>
    <cellStyle name="20% - Accent6 5" xfId="37"/>
    <cellStyle name="20% - アクセント 1" xfId="38"/>
    <cellStyle name="20% - アクセント 2" xfId="39"/>
    <cellStyle name="20% - アクセント 3" xfId="40"/>
    <cellStyle name="20% - アクセント 4" xfId="41"/>
    <cellStyle name="20% - アクセント 5" xfId="42"/>
    <cellStyle name="20% - アクセント 6" xfId="43"/>
    <cellStyle name="40 % - Aksentti1" xfId="44"/>
    <cellStyle name="40 % - Aksentti2" xfId="45"/>
    <cellStyle name="40 % - Aksentti3" xfId="46"/>
    <cellStyle name="40 % - Aksentti4" xfId="47"/>
    <cellStyle name="40 % - Aksentti5" xfId="48"/>
    <cellStyle name="40 % - Aksentti6" xfId="49"/>
    <cellStyle name="40% - Accent1 2" xfId="50"/>
    <cellStyle name="40% - Accent1 3" xfId="51"/>
    <cellStyle name="40% - Accent1 4" xfId="52"/>
    <cellStyle name="40% - Accent1 5" xfId="53"/>
    <cellStyle name="40% - Accent2 2" xfId="54"/>
    <cellStyle name="40% - Accent2 3" xfId="55"/>
    <cellStyle name="40% - Accent2 4" xfId="56"/>
    <cellStyle name="40% - Accent2 5" xfId="57"/>
    <cellStyle name="40% - Accent3 2" xfId="58"/>
    <cellStyle name="40% - Accent3 3" xfId="59"/>
    <cellStyle name="40% - Accent3 4" xfId="60"/>
    <cellStyle name="40% - Accent3 5" xfId="61"/>
    <cellStyle name="40% - Accent4 2" xfId="62"/>
    <cellStyle name="40% - Accent4 3" xfId="63"/>
    <cellStyle name="40% - Accent4 4" xfId="64"/>
    <cellStyle name="40% - Accent4 5" xfId="65"/>
    <cellStyle name="40% - Accent5 2" xfId="66"/>
    <cellStyle name="40% - Accent5 3" xfId="67"/>
    <cellStyle name="40% - Accent5 4" xfId="68"/>
    <cellStyle name="40% - Accent5 5" xfId="69"/>
    <cellStyle name="40% - Accent6 2" xfId="70"/>
    <cellStyle name="40% - Accent6 3" xfId="71"/>
    <cellStyle name="40% - Accent6 4" xfId="72"/>
    <cellStyle name="40% - Accent6 5" xfId="73"/>
    <cellStyle name="40% - アクセント 1" xfId="74"/>
    <cellStyle name="40% - アクセント 2" xfId="75"/>
    <cellStyle name="40% - アクセント 3" xfId="76"/>
    <cellStyle name="40% - アクセント 4" xfId="77"/>
    <cellStyle name="40% - アクセント 5" xfId="78"/>
    <cellStyle name="40% - アクセント 6" xfId="79"/>
    <cellStyle name="60 % - Aksentti1" xfId="80"/>
    <cellStyle name="60 % - Aksentti2" xfId="81"/>
    <cellStyle name="60 % - Aksentti3" xfId="82"/>
    <cellStyle name="60 % - Aksentti4" xfId="83"/>
    <cellStyle name="60 % - Aksentti5" xfId="84"/>
    <cellStyle name="60 % - Aksentti6" xfId="85"/>
    <cellStyle name="60% - Accent1 2" xfId="86"/>
    <cellStyle name="60% - Accent1 3" xfId="87"/>
    <cellStyle name="60% - Accent1 4" xfId="88"/>
    <cellStyle name="60% - Accent1 5" xfId="89"/>
    <cellStyle name="60% - Accent2 2" xfId="90"/>
    <cellStyle name="60% - Accent2 3" xfId="91"/>
    <cellStyle name="60% - Accent2 4" xfId="92"/>
    <cellStyle name="60% - Accent2 5" xfId="93"/>
    <cellStyle name="60% - Accent3 2" xfId="94"/>
    <cellStyle name="60% - Accent3 3" xfId="95"/>
    <cellStyle name="60% - Accent3 4" xfId="96"/>
    <cellStyle name="60% - Accent3 5" xfId="97"/>
    <cellStyle name="60% - Accent4 2" xfId="98"/>
    <cellStyle name="60% - Accent4 3" xfId="99"/>
    <cellStyle name="60% - Accent4 4" xfId="100"/>
    <cellStyle name="60% - Accent4 5" xfId="101"/>
    <cellStyle name="60% - Accent5 2" xfId="102"/>
    <cellStyle name="60% - Accent5 3" xfId="103"/>
    <cellStyle name="60% - Accent5 4" xfId="104"/>
    <cellStyle name="60% - Accent5 5" xfId="105"/>
    <cellStyle name="60% - Accent6 2" xfId="106"/>
    <cellStyle name="60% - Accent6 3" xfId="107"/>
    <cellStyle name="60% - Accent6 4" xfId="108"/>
    <cellStyle name="60% - Accent6 5" xfId="109"/>
    <cellStyle name="60% - アクセント 1" xfId="110"/>
    <cellStyle name="60% - アクセント 2" xfId="111"/>
    <cellStyle name="60% - アクセント 3" xfId="112"/>
    <cellStyle name="60% - アクセント 4" xfId="113"/>
    <cellStyle name="60% - アクセント 5" xfId="114"/>
    <cellStyle name="60% - アクセント 6" xfId="115"/>
    <cellStyle name="Accent1 2" xfId="116"/>
    <cellStyle name="Accent1 3" xfId="117"/>
    <cellStyle name="Accent1 4" xfId="118"/>
    <cellStyle name="Accent1 5" xfId="119"/>
    <cellStyle name="Accent2 2" xfId="120"/>
    <cellStyle name="Accent2 3" xfId="121"/>
    <cellStyle name="Accent2 4" xfId="122"/>
    <cellStyle name="Accent2 5" xfId="123"/>
    <cellStyle name="Accent3 2" xfId="124"/>
    <cellStyle name="Accent3 3" xfId="125"/>
    <cellStyle name="Accent3 4" xfId="126"/>
    <cellStyle name="Accent3 5" xfId="127"/>
    <cellStyle name="Accent4 2" xfId="128"/>
    <cellStyle name="Accent4 3" xfId="129"/>
    <cellStyle name="Accent4 4" xfId="130"/>
    <cellStyle name="Accent4 5" xfId="131"/>
    <cellStyle name="Accent5 2" xfId="132"/>
    <cellStyle name="Accent5 3" xfId="133"/>
    <cellStyle name="Accent5 4" xfId="134"/>
    <cellStyle name="Accent5 5" xfId="135"/>
    <cellStyle name="Accent6 2" xfId="136"/>
    <cellStyle name="Accent6 3" xfId="137"/>
    <cellStyle name="Accent6 4" xfId="138"/>
    <cellStyle name="Accent6 5" xfId="139"/>
    <cellStyle name="Aksentti1" xfId="140"/>
    <cellStyle name="Aksentti2" xfId="141"/>
    <cellStyle name="Aksentti3" xfId="142"/>
    <cellStyle name="Aksentti4" xfId="143"/>
    <cellStyle name="Aksentti5" xfId="144"/>
    <cellStyle name="Aksentti6" xfId="145"/>
    <cellStyle name="annee semestre" xfId="146"/>
    <cellStyle name="Bad 2" xfId="147"/>
    <cellStyle name="Bad 3" xfId="148"/>
    <cellStyle name="Bad 4" xfId="149"/>
    <cellStyle name="Bad 5" xfId="150"/>
    <cellStyle name="bin" xfId="151"/>
    <cellStyle name="blue" xfId="152"/>
    <cellStyle name="Ç¥ÁØ_ENRL2" xfId="153"/>
    <cellStyle name="caché" xfId="154"/>
    <cellStyle name="Calculation 2" xfId="155"/>
    <cellStyle name="Calculation 3" xfId="156"/>
    <cellStyle name="Calculation 4" xfId="157"/>
    <cellStyle name="Calculation 5" xfId="158"/>
    <cellStyle name="cell" xfId="159"/>
    <cellStyle name="Check Cell 2" xfId="160"/>
    <cellStyle name="Check Cell 3" xfId="161"/>
    <cellStyle name="Check Cell 4" xfId="162"/>
    <cellStyle name="Check Cell 5" xfId="163"/>
    <cellStyle name="Code additions" xfId="164"/>
    <cellStyle name="Col&amp;RowHeadings" xfId="165"/>
    <cellStyle name="ColCodes" xfId="166"/>
    <cellStyle name="ColTitles" xfId="167"/>
    <cellStyle name="ColTitles 10" xfId="168"/>
    <cellStyle name="ColTitles 10 2" xfId="169"/>
    <cellStyle name="ColTitles 11" xfId="170"/>
    <cellStyle name="ColTitles 11 2" xfId="171"/>
    <cellStyle name="ColTitles 12" xfId="172"/>
    <cellStyle name="ColTitles 13" xfId="173"/>
    <cellStyle name="ColTitles 2" xfId="174"/>
    <cellStyle name="ColTitles 2 2" xfId="175"/>
    <cellStyle name="ColTitles 3" xfId="176"/>
    <cellStyle name="ColTitles 3 2" xfId="177"/>
    <cellStyle name="ColTitles 4" xfId="178"/>
    <cellStyle name="ColTitles 4 2" xfId="179"/>
    <cellStyle name="ColTitles 5" xfId="180"/>
    <cellStyle name="ColTitles 5 2" xfId="181"/>
    <cellStyle name="ColTitles 6" xfId="182"/>
    <cellStyle name="ColTitles 6 2" xfId="183"/>
    <cellStyle name="ColTitles 7" xfId="184"/>
    <cellStyle name="ColTitles 7 2" xfId="185"/>
    <cellStyle name="ColTitles 8" xfId="186"/>
    <cellStyle name="ColTitles 8 2" xfId="187"/>
    <cellStyle name="ColTitles 9" xfId="188"/>
    <cellStyle name="ColTitles 9 2" xfId="189"/>
    <cellStyle name="column" xfId="190"/>
    <cellStyle name="Comma" xfId="2441" builtinId="3"/>
    <cellStyle name="Comma  [1]" xfId="191"/>
    <cellStyle name="Comma [1]" xfId="192"/>
    <cellStyle name="Comma 2" xfId="193"/>
    <cellStyle name="Comma 2 2" xfId="194"/>
    <cellStyle name="Comma 2 3" xfId="195"/>
    <cellStyle name="Comma 2 3 2" xfId="196"/>
    <cellStyle name="Comma 2 3 3" xfId="197"/>
    <cellStyle name="Comma 2 4" xfId="198"/>
    <cellStyle name="Comma 2 4 2" xfId="199"/>
    <cellStyle name="Comma 2 4 3" xfId="200"/>
    <cellStyle name="Comma 2 5" xfId="201"/>
    <cellStyle name="Comma 2 5 2" xfId="202"/>
    <cellStyle name="Comma 2 5 3" xfId="203"/>
    <cellStyle name="Comma 2 6" xfId="204"/>
    <cellStyle name="Comma 2 7" xfId="205"/>
    <cellStyle name="Comma 3" xfId="206"/>
    <cellStyle name="Comma 4" xfId="207"/>
    <cellStyle name="Comma 5" xfId="208"/>
    <cellStyle name="Comma 6" xfId="209"/>
    <cellStyle name="Comma 6 2" xfId="210"/>
    <cellStyle name="Comma 7" xfId="211"/>
    <cellStyle name="Comma 7 2" xfId="212"/>
    <cellStyle name="Comma 8" xfId="213"/>
    <cellStyle name="Comma(0)" xfId="214"/>
    <cellStyle name="comma(1)" xfId="215"/>
    <cellStyle name="Comma(3)" xfId="216"/>
    <cellStyle name="Comma[0]" xfId="217"/>
    <cellStyle name="Comma[1]" xfId="218"/>
    <cellStyle name="Comma[2]__" xfId="219"/>
    <cellStyle name="Comma[3]" xfId="220"/>
    <cellStyle name="Comma0" xfId="221"/>
    <cellStyle name="Currency 2" xfId="222"/>
    <cellStyle name="Currency 3" xfId="223"/>
    <cellStyle name="Currency0" xfId="224"/>
    <cellStyle name="DataEntryCells" xfId="225"/>
    <cellStyle name="Date" xfId="226"/>
    <cellStyle name="Dezimal [0]_DIAGRAM" xfId="227"/>
    <cellStyle name="Dezimal_DIAGRAM" xfId="228"/>
    <cellStyle name="Didier" xfId="229"/>
    <cellStyle name="Didier - Title" xfId="230"/>
    <cellStyle name="Didier subtitles" xfId="231"/>
    <cellStyle name="données" xfId="232"/>
    <cellStyle name="donnéesbord" xfId="233"/>
    <cellStyle name="ErrRpt_DataEntryCells" xfId="234"/>
    <cellStyle name="ErrRpt-DataEntryCells" xfId="235"/>
    <cellStyle name="ErrRpt-GreyBackground" xfId="236"/>
    <cellStyle name="Euro" xfId="237"/>
    <cellStyle name="Explanatory Text 2" xfId="238"/>
    <cellStyle name="Explanatory Text 3" xfId="239"/>
    <cellStyle name="Explanatory Text 4" xfId="240"/>
    <cellStyle name="Explanatory Text 5" xfId="241"/>
    <cellStyle name="Fixed" xfId="242"/>
    <cellStyle name="formula" xfId="243"/>
    <cellStyle name="gap" xfId="244"/>
    <cellStyle name="gap 2" xfId="245"/>
    <cellStyle name="gap 2 2" xfId="246"/>
    <cellStyle name="gap 2 2 2" xfId="247"/>
    <cellStyle name="gap 2 2 2 2" xfId="248"/>
    <cellStyle name="gap 2 2 2 2 2" xfId="249"/>
    <cellStyle name="gap 2 2 2 2 2 2" xfId="250"/>
    <cellStyle name="gap 2 2 2 2 3" xfId="251"/>
    <cellStyle name="gap 2 2 2 3" xfId="252"/>
    <cellStyle name="gap 2 2 2 3 2" xfId="253"/>
    <cellStyle name="gap 2 2 2 4" xfId="254"/>
    <cellStyle name="gap 2 2 3" xfId="255"/>
    <cellStyle name="gap 2 2 3 2" xfId="256"/>
    <cellStyle name="gap 2 2 3 2 2" xfId="257"/>
    <cellStyle name="gap 2 2 3 3" xfId="258"/>
    <cellStyle name="gap 2 2 4" xfId="259"/>
    <cellStyle name="gap 2 2 4 2" xfId="260"/>
    <cellStyle name="gap 2 2 5" xfId="261"/>
    <cellStyle name="gap 2 3" xfId="262"/>
    <cellStyle name="gap 2 4" xfId="263"/>
    <cellStyle name="gap 3" xfId="264"/>
    <cellStyle name="gap 3 2" xfId="265"/>
    <cellStyle name="gap 3 2 2" xfId="266"/>
    <cellStyle name="gap 3 2 2 2" xfId="267"/>
    <cellStyle name="gap 3 2 3" xfId="268"/>
    <cellStyle name="gap 3 3" xfId="269"/>
    <cellStyle name="gap 3 3 2" xfId="270"/>
    <cellStyle name="gap 3 4" xfId="271"/>
    <cellStyle name="gap 4" xfId="272"/>
    <cellStyle name="gap 4 2" xfId="273"/>
    <cellStyle name="gap 4 2 2" xfId="274"/>
    <cellStyle name="gap 4 3" xfId="275"/>
    <cellStyle name="gap 5" xfId="276"/>
    <cellStyle name="gap 5 2" xfId="277"/>
    <cellStyle name="gap 6" xfId="278"/>
    <cellStyle name="gap 7" xfId="279"/>
    <cellStyle name="Good 2" xfId="280"/>
    <cellStyle name="Good 3" xfId="281"/>
    <cellStyle name="Good 4" xfId="282"/>
    <cellStyle name="Good 5" xfId="283"/>
    <cellStyle name="Grey" xfId="284"/>
    <cellStyle name="GreyBackground" xfId="285"/>
    <cellStyle name="Header1" xfId="286"/>
    <cellStyle name="Header2" xfId="287"/>
    <cellStyle name="Heading 1 2" xfId="288"/>
    <cellStyle name="Heading 1 3" xfId="289"/>
    <cellStyle name="Heading 1 4" xfId="290"/>
    <cellStyle name="Heading 1 5" xfId="291"/>
    <cellStyle name="Heading 2 2" xfId="292"/>
    <cellStyle name="Heading 2 3" xfId="293"/>
    <cellStyle name="Heading 2 4" xfId="294"/>
    <cellStyle name="Heading 2 5" xfId="295"/>
    <cellStyle name="Heading 3 2" xfId="296"/>
    <cellStyle name="Heading 3 3" xfId="297"/>
    <cellStyle name="Heading 3 4" xfId="298"/>
    <cellStyle name="Heading 3 5" xfId="299"/>
    <cellStyle name="Heading 4 2" xfId="300"/>
    <cellStyle name="Heading 4 3" xfId="301"/>
    <cellStyle name="Heading 4 4" xfId="302"/>
    <cellStyle name="Heading 4 5" xfId="303"/>
    <cellStyle name="Heading1" xfId="304"/>
    <cellStyle name="Heading2" xfId="305"/>
    <cellStyle name="Hipervínculo" xfId="306"/>
    <cellStyle name="Hipervínculo visitado" xfId="307"/>
    <cellStyle name="Huomautus" xfId="308"/>
    <cellStyle name="Huono" xfId="309"/>
    <cellStyle name="Hyperlänk 2" xfId="310"/>
    <cellStyle name="Hyperlink" xfId="7" builtinId="8"/>
    <cellStyle name="Hyperlink 2" xfId="311"/>
    <cellStyle name="Hyperlink 3" xfId="312"/>
    <cellStyle name="Hyperlink 4" xfId="313"/>
    <cellStyle name="Hyperlink 5" xfId="314"/>
    <cellStyle name="Hyperlink 6" xfId="315"/>
    <cellStyle name="Hyperlink 7" xfId="316"/>
    <cellStyle name="Hyvä" xfId="317"/>
    <cellStyle name="Input [yellow]" xfId="318"/>
    <cellStyle name="Input 2" xfId="319"/>
    <cellStyle name="Input 3" xfId="320"/>
    <cellStyle name="Input 4" xfId="321"/>
    <cellStyle name="Input 5" xfId="322"/>
    <cellStyle name="ISC" xfId="323"/>
    <cellStyle name="ISC 2" xfId="324"/>
    <cellStyle name="isced" xfId="325"/>
    <cellStyle name="ISCED Titles" xfId="326"/>
    <cellStyle name="isced_8gradk" xfId="327"/>
    <cellStyle name="Laskenta" xfId="328"/>
    <cellStyle name="level1a" xfId="329"/>
    <cellStyle name="level1a 2" xfId="330"/>
    <cellStyle name="level1a 2 2" xfId="331"/>
    <cellStyle name="level1a 2 2 2" xfId="332"/>
    <cellStyle name="level1a 2 2 3" xfId="333"/>
    <cellStyle name="level1a 3" xfId="334"/>
    <cellStyle name="level1a 4" xfId="335"/>
    <cellStyle name="level1a 5" xfId="336"/>
    <cellStyle name="level1a 6" xfId="337"/>
    <cellStyle name="level1a 7" xfId="338"/>
    <cellStyle name="level1a 8" xfId="339"/>
    <cellStyle name="level1a 9" xfId="340"/>
    <cellStyle name="level2" xfId="341"/>
    <cellStyle name="level2 2" xfId="342"/>
    <cellStyle name="level2 2 2" xfId="343"/>
    <cellStyle name="level2 2 2 2" xfId="344"/>
    <cellStyle name="level2 2 2 3" xfId="345"/>
    <cellStyle name="level2 3" xfId="346"/>
    <cellStyle name="level2 4" xfId="347"/>
    <cellStyle name="level2a" xfId="348"/>
    <cellStyle name="level2a 2" xfId="349"/>
    <cellStyle name="level2a 2 2" xfId="350"/>
    <cellStyle name="level2a 2 2 2" xfId="351"/>
    <cellStyle name="level2a 2 2 3" xfId="352"/>
    <cellStyle name="level2a 3" xfId="353"/>
    <cellStyle name="level2a 4" xfId="354"/>
    <cellStyle name="level3" xfId="355"/>
    <cellStyle name="Line titles-Rows" xfId="356"/>
    <cellStyle name="Linked Cell 2" xfId="357"/>
    <cellStyle name="Linked Cell 3" xfId="358"/>
    <cellStyle name="Linked Cell 4" xfId="359"/>
    <cellStyle name="Linked Cell 5" xfId="360"/>
    <cellStyle name="Linkitetty solu" xfId="361"/>
    <cellStyle name="Migliaia (0)_conti99" xfId="362"/>
    <cellStyle name="Milliers [0]_8GRAD" xfId="363"/>
    <cellStyle name="Milliers_8GRAD" xfId="364"/>
    <cellStyle name="Monétaire [0]_8GRAD" xfId="365"/>
    <cellStyle name="Monétaire_8GRAD" xfId="366"/>
    <cellStyle name="Neutraali" xfId="367"/>
    <cellStyle name="Neutral 2" xfId="368"/>
    <cellStyle name="Normal" xfId="0" builtinId="0"/>
    <cellStyle name="Normal - Style1" xfId="369"/>
    <cellStyle name="Normal 10" xfId="370"/>
    <cellStyle name="Normal 10 2" xfId="371"/>
    <cellStyle name="Normal 10 3" xfId="372"/>
    <cellStyle name="Normal 11" xfId="373"/>
    <cellStyle name="Normal 11 2" xfId="374"/>
    <cellStyle name="Normal 11 2 2" xfId="375"/>
    <cellStyle name="Normal 11 2 2 2" xfId="376"/>
    <cellStyle name="Normal 11 2 2 3" xfId="377"/>
    <cellStyle name="Normal 11 2 3" xfId="378"/>
    <cellStyle name="Normal 11 2 3 2" xfId="379"/>
    <cellStyle name="Normal 11 2 3 3" xfId="380"/>
    <cellStyle name="Normal 11 2 4" xfId="381"/>
    <cellStyle name="Normal 11 2 4 2" xfId="382"/>
    <cellStyle name="Normal 11 2 4 3" xfId="383"/>
    <cellStyle name="Normal 11 2 4 4" xfId="384"/>
    <cellStyle name="Normal 11 2 5" xfId="385"/>
    <cellStyle name="Normal 11 2 5 2" xfId="386"/>
    <cellStyle name="Normal 11 2 6" xfId="387"/>
    <cellStyle name="Normal 11 2 7" xfId="388"/>
    <cellStyle name="Normal 11 3" xfId="389"/>
    <cellStyle name="Normal 11 3 2" xfId="390"/>
    <cellStyle name="Normal 11 3 2 2" xfId="391"/>
    <cellStyle name="Normal 11 3 3" xfId="392"/>
    <cellStyle name="Normal 11 4" xfId="393"/>
    <cellStyle name="Normal 11 4 2" xfId="394"/>
    <cellStyle name="Normal 11 4 2 2" xfId="395"/>
    <cellStyle name="Normal 11 4 3" xfId="396"/>
    <cellStyle name="Normal 11 5" xfId="397"/>
    <cellStyle name="Normal 11 5 2" xfId="398"/>
    <cellStyle name="Normal 11 5 3" xfId="399"/>
    <cellStyle name="Normal 11 6" xfId="400"/>
    <cellStyle name="Normal 11 6 2" xfId="401"/>
    <cellStyle name="Normal 11 6 3" xfId="402"/>
    <cellStyle name="Normal 11 7" xfId="403"/>
    <cellStyle name="Normal 11 8" xfId="404"/>
    <cellStyle name="Normal 12" xfId="405"/>
    <cellStyle name="Normal 12 2" xfId="406"/>
    <cellStyle name="Normal 12 3" xfId="407"/>
    <cellStyle name="Normal 13" xfId="408"/>
    <cellStyle name="Normal 13 2" xfId="409"/>
    <cellStyle name="Normal 13 2 2" xfId="410"/>
    <cellStyle name="Normal 13 2 2 2" xfId="411"/>
    <cellStyle name="Normal 13 2 2 3" xfId="412"/>
    <cellStyle name="Normal 13 2 3" xfId="413"/>
    <cellStyle name="Normal 13 2 3 2" xfId="414"/>
    <cellStyle name="Normal 13 2 3 3" xfId="415"/>
    <cellStyle name="Normal 13 2 4" xfId="416"/>
    <cellStyle name="Normal 13 2 4 2" xfId="417"/>
    <cellStyle name="Normal 13 2 4 3" xfId="418"/>
    <cellStyle name="Normal 13 2 5" xfId="419"/>
    <cellStyle name="Normal 13 2 5 2" xfId="420"/>
    <cellStyle name="Normal 13 2 6" xfId="421"/>
    <cellStyle name="Normal 13 2 7" xfId="422"/>
    <cellStyle name="Normal 13 3" xfId="423"/>
    <cellStyle name="Normal 13 3 2" xfId="424"/>
    <cellStyle name="Normal 13 3 3" xfId="425"/>
    <cellStyle name="Normal 13 3 4" xfId="426"/>
    <cellStyle name="Normal 13 4" xfId="427"/>
    <cellStyle name="Normal 13 5" xfId="428"/>
    <cellStyle name="Normal 13 6" xfId="429"/>
    <cellStyle name="Normal 14" xfId="430"/>
    <cellStyle name="Normal 14 2" xfId="2"/>
    <cellStyle name="Normal 14 2 2" xfId="431"/>
    <cellStyle name="Normal 14 2 2 2" xfId="432"/>
    <cellStyle name="Normal 14 2 2 3" xfId="433"/>
    <cellStyle name="Normal 14 2 3" xfId="434"/>
    <cellStyle name="Normal 14 2 3 2" xfId="435"/>
    <cellStyle name="Normal 14 2 3 3" xfId="436"/>
    <cellStyle name="Normal 14 2 4" xfId="437"/>
    <cellStyle name="Normal 14 2 5" xfId="438"/>
    <cellStyle name="Normal 14 3" xfId="439"/>
    <cellStyle name="Normal 15" xfId="440"/>
    <cellStyle name="Normal 15 2" xfId="441"/>
    <cellStyle name="Normal 15 2 2" xfId="442"/>
    <cellStyle name="Normal 15 2 3" xfId="443"/>
    <cellStyle name="Normal 15 2 4" xfId="444"/>
    <cellStyle name="Normal 15 3" xfId="445"/>
    <cellStyle name="Normal 15 3 2" xfId="446"/>
    <cellStyle name="Normal 15 3 3" xfId="447"/>
    <cellStyle name="Normal 15 4" xfId="448"/>
    <cellStyle name="Normal 15 4 2" xfId="449"/>
    <cellStyle name="Normal 15 5" xfId="450"/>
    <cellStyle name="Normal 16" xfId="451"/>
    <cellStyle name="Normal 16 2" xfId="452"/>
    <cellStyle name="Normal 16 3" xfId="453"/>
    <cellStyle name="Normal 17" xfId="454"/>
    <cellStyle name="Normal 17 2" xfId="455"/>
    <cellStyle name="Normal 17 2 2" xfId="456"/>
    <cellStyle name="Normal 17 3" xfId="457"/>
    <cellStyle name="Normal 18" xfId="458"/>
    <cellStyle name="Normal 18 2" xfId="459"/>
    <cellStyle name="Normal 18 3" xfId="460"/>
    <cellStyle name="Normal 19" xfId="461"/>
    <cellStyle name="Normal 19 2" xfId="462"/>
    <cellStyle name="Normal 19 3" xfId="463"/>
    <cellStyle name="Normal 2" xfId="3"/>
    <cellStyle name="Normal 2 10" xfId="464"/>
    <cellStyle name="Normal 2 11" xfId="465"/>
    <cellStyle name="Normal 2 12" xfId="466"/>
    <cellStyle name="Normal 2 13" xfId="467"/>
    <cellStyle name="Normal 2 14" xfId="468"/>
    <cellStyle name="Normal 2 15" xfId="469"/>
    <cellStyle name="Normal 2 15 2" xfId="470"/>
    <cellStyle name="Normal 2 15 2 2" xfId="471"/>
    <cellStyle name="Normal 2 15 2 3" xfId="472"/>
    <cellStyle name="Normal 2 15 3" xfId="473"/>
    <cellStyle name="Normal 2 15 3 2" xfId="474"/>
    <cellStyle name="Normal 2 15 3 3" xfId="475"/>
    <cellStyle name="Normal 2 15 4" xfId="476"/>
    <cellStyle name="Normal 2 15 4 2" xfId="477"/>
    <cellStyle name="Normal 2 15 4 3" xfId="478"/>
    <cellStyle name="Normal 2 15 5" xfId="479"/>
    <cellStyle name="Normal 2 15 5 2" xfId="480"/>
    <cellStyle name="Normal 2 15 6" xfId="481"/>
    <cellStyle name="Normal 2 15 7" xfId="482"/>
    <cellStyle name="Normal 2 16" xfId="483"/>
    <cellStyle name="Normal 2 17" xfId="484"/>
    <cellStyle name="Normal 2 18" xfId="485"/>
    <cellStyle name="Normal 2 19" xfId="486"/>
    <cellStyle name="Normal 2 2" xfId="4"/>
    <cellStyle name="Normal 2 2 10" xfId="487"/>
    <cellStyle name="Normal 2 2 2" xfId="488"/>
    <cellStyle name="Normal 2 2 2 2" xfId="489"/>
    <cellStyle name="Normal 2 2 2 2 2" xfId="490"/>
    <cellStyle name="Normal 2 2 2 2 2 2" xfId="491"/>
    <cellStyle name="Normal 2 2 2 2 2 3" xfId="492"/>
    <cellStyle name="Normal 2 2 2 2 3" xfId="493"/>
    <cellStyle name="Normal 2 2 2 2 3 2" xfId="494"/>
    <cellStyle name="Normal 2 2 2 2 3 3" xfId="495"/>
    <cellStyle name="Normal 2 2 2 2 4" xfId="496"/>
    <cellStyle name="Normal 2 2 2 2 4 2" xfId="497"/>
    <cellStyle name="Normal 2 2 2 2 4 3" xfId="498"/>
    <cellStyle name="Normal 2 2 2 2 5" xfId="499"/>
    <cellStyle name="Normal 2 2 2 2 5 2" xfId="500"/>
    <cellStyle name="Normal 2 2 2 2 6" xfId="501"/>
    <cellStyle name="Normal 2 2 2 3" xfId="502"/>
    <cellStyle name="Normal 2 2 2 3 2" xfId="503"/>
    <cellStyle name="Normal 2 2 2 4" xfId="504"/>
    <cellStyle name="Normal 2 2 2 8" xfId="505"/>
    <cellStyle name="Normal 2 2 3" xfId="506"/>
    <cellStyle name="Normal 2 2 4" xfId="507"/>
    <cellStyle name="Normal 2 2 4 2" xfId="508"/>
    <cellStyle name="Normal 2 2 5" xfId="509"/>
    <cellStyle name="Normal 2 2 6" xfId="510"/>
    <cellStyle name="Normal 2 2 7" xfId="511"/>
    <cellStyle name="Normal 2 2 8" xfId="512"/>
    <cellStyle name="Normal 2 2 9" xfId="513"/>
    <cellStyle name="Normal 2 3" xfId="514"/>
    <cellStyle name="Normal 2 3 2" xfId="515"/>
    <cellStyle name="Normal 2 4" xfId="516"/>
    <cellStyle name="Normal 2 4 2" xfId="517"/>
    <cellStyle name="Normal 2 4 2 2" xfId="518"/>
    <cellStyle name="Normal 2 4 2 2 2" xfId="519"/>
    <cellStyle name="Normal 2 4 2 2 3" xfId="520"/>
    <cellStyle name="Normal 2 4 2 2 4" xfId="521"/>
    <cellStyle name="Normal 2 4 2 2 5" xfId="522"/>
    <cellStyle name="Normal 2 4 3" xfId="523"/>
    <cellStyle name="Normal 2 4 4" xfId="524"/>
    <cellStyle name="Normal 2 4 5" xfId="525"/>
    <cellStyle name="Normal 2 4_EAG2010_D6_April 28" xfId="526"/>
    <cellStyle name="Normal 2 5" xfId="527"/>
    <cellStyle name="Normal 2 5 2" xfId="528"/>
    <cellStyle name="Normal 2 5 3" xfId="529"/>
    <cellStyle name="Normal 2 6" xfId="530"/>
    <cellStyle name="Normal 2 6 2" xfId="531"/>
    <cellStyle name="Normal 2 6 3" xfId="532"/>
    <cellStyle name="Normal 2 7" xfId="533"/>
    <cellStyle name="Normal 2 7 2" xfId="534"/>
    <cellStyle name="Normal 2 7 3" xfId="535"/>
    <cellStyle name="Normal 2 8" xfId="536"/>
    <cellStyle name="Normal 2 8 2" xfId="537"/>
    <cellStyle name="Normal 2 8 3" xfId="538"/>
    <cellStyle name="Normal 2 8 4" xfId="539"/>
    <cellStyle name="Normal 2 9" xfId="540"/>
    <cellStyle name="Normal 2 9 2" xfId="541"/>
    <cellStyle name="Normal 2 9 2 2" xfId="542"/>
    <cellStyle name="Normal 2 9 2 3" xfId="543"/>
    <cellStyle name="Normal 2 9 3" xfId="544"/>
    <cellStyle name="Normal 2 9 3 2" xfId="545"/>
    <cellStyle name="Normal 2 9 3 3" xfId="546"/>
    <cellStyle name="Normal 2 9 4" xfId="547"/>
    <cellStyle name="Normal 2 9 4 2" xfId="548"/>
    <cellStyle name="Normal 2 9 4 3" xfId="549"/>
    <cellStyle name="Normal 2 9 5" xfId="550"/>
    <cellStyle name="Normal 2 9 5 2" xfId="551"/>
    <cellStyle name="Normal 2 9 6" xfId="552"/>
    <cellStyle name="Normal 2 9 7" xfId="553"/>
    <cellStyle name="Normal 2_AUG_TabChap2" xfId="554"/>
    <cellStyle name="Normal 20" xfId="555"/>
    <cellStyle name="Normal 20 2" xfId="556"/>
    <cellStyle name="Normal 20 3" xfId="557"/>
    <cellStyle name="Normal 21" xfId="558"/>
    <cellStyle name="Normal 21 2" xfId="559"/>
    <cellStyle name="Normal 22" xfId="560"/>
    <cellStyle name="Normal 22 2" xfId="561"/>
    <cellStyle name="Normal 23" xfId="562"/>
    <cellStyle name="Normal 24" xfId="563"/>
    <cellStyle name="Normal 25" xfId="564"/>
    <cellStyle name="Normal 26" xfId="565"/>
    <cellStyle name="Normal 29" xfId="566"/>
    <cellStyle name="Normal 3" xfId="5"/>
    <cellStyle name="Normal 3 10" xfId="567"/>
    <cellStyle name="Normal 3 10 2" xfId="568"/>
    <cellStyle name="Normal 3 11" xfId="569"/>
    <cellStyle name="Normal 3 12" xfId="570"/>
    <cellStyle name="Normal 3 2" xfId="6"/>
    <cellStyle name="Normal 3 2 2" xfId="571"/>
    <cellStyle name="Normal 3 2 2 2" xfId="572"/>
    <cellStyle name="Normal 3 2 2 2 2" xfId="573"/>
    <cellStyle name="Normal 3 2 2 2 3" xfId="574"/>
    <cellStyle name="Normal 3 2 2 3" xfId="575"/>
    <cellStyle name="Normal 3 2 2 3 2" xfId="576"/>
    <cellStyle name="Normal 3 2 2 3 2 2" xfId="577"/>
    <cellStyle name="Normal 3 2 2 3 2 3" xfId="578"/>
    <cellStyle name="Normal 3 2 2 3 3" xfId="579"/>
    <cellStyle name="Normal 3 2 2 3 3 2" xfId="580"/>
    <cellStyle name="Normal 3 2 2 3 3 3" xfId="581"/>
    <cellStyle name="Normal 3 2 2 3 4" xfId="582"/>
    <cellStyle name="Normal 3 2 2 3 4 2" xfId="583"/>
    <cellStyle name="Normal 3 2 2 3 4 3" xfId="584"/>
    <cellStyle name="Normal 3 2 2 3 5" xfId="585"/>
    <cellStyle name="Normal 3 2 2 3 5 2" xfId="586"/>
    <cellStyle name="Normal 3 2 2 3 6" xfId="587"/>
    <cellStyle name="Normal 3 2 2 3 7" xfId="588"/>
    <cellStyle name="Normal 3 2 2 4" xfId="589"/>
    <cellStyle name="Normal 3 2 2 4 2" xfId="590"/>
    <cellStyle name="Normal 3 2 2 4 2 2" xfId="591"/>
    <cellStyle name="Normal 3 2 2 4 3" xfId="592"/>
    <cellStyle name="Normal 3 2 2 5" xfId="593"/>
    <cellStyle name="Normal 3 2 2 5 2" xfId="594"/>
    <cellStyle name="Normal 3 2 2 5 2 2" xfId="595"/>
    <cellStyle name="Normal 3 2 2 5 3" xfId="596"/>
    <cellStyle name="Normal 3 2 2 6" xfId="597"/>
    <cellStyle name="Normal 3 2 2 6 2" xfId="598"/>
    <cellStyle name="Normal 3 2 2 6 3" xfId="599"/>
    <cellStyle name="Normal 3 2 2 7" xfId="600"/>
    <cellStyle name="Normal 3 2 2 7 2" xfId="601"/>
    <cellStyle name="Normal 3 2 2 7 3" xfId="602"/>
    <cellStyle name="Normal 3 2 2 8" xfId="603"/>
    <cellStyle name="Normal 3 2 2 9" xfId="604"/>
    <cellStyle name="Normal 3 2 3" xfId="605"/>
    <cellStyle name="Normal 3 2 4" xfId="606"/>
    <cellStyle name="Normal 3 3" xfId="607"/>
    <cellStyle name="Normal 3 3 2" xfId="608"/>
    <cellStyle name="Normal 3 3 2 2" xfId="609"/>
    <cellStyle name="Normal 3 3 3" xfId="610"/>
    <cellStyle name="Normal 3 3 3 2" xfId="611"/>
    <cellStyle name="Normal 3 3 3 3" xfId="612"/>
    <cellStyle name="Normal 3 3 4" xfId="613"/>
    <cellStyle name="Normal 3 3 4 2" xfId="614"/>
    <cellStyle name="Normal 3 3 4 3" xfId="615"/>
    <cellStyle name="Normal 3 3 5" xfId="616"/>
    <cellStyle name="Normal 3 3 5 2" xfId="617"/>
    <cellStyle name="Normal 3 3 5 3" xfId="618"/>
    <cellStyle name="Normal 3 3 6" xfId="619"/>
    <cellStyle name="Normal 3 3 7" xfId="620"/>
    <cellStyle name="Normal 3 3 8" xfId="621"/>
    <cellStyle name="Normal 3 4" xfId="622"/>
    <cellStyle name="Normal 3 4 2" xfId="623"/>
    <cellStyle name="Normal 3 4 2 2" xfId="624"/>
    <cellStyle name="Normal 3 4 2 3" xfId="625"/>
    <cellStyle name="Normal 3 4 2 4" xfId="626"/>
    <cellStyle name="Normal 3 4 3" xfId="627"/>
    <cellStyle name="Normal 3 4 3 2" xfId="628"/>
    <cellStyle name="Normal 3 4 3 3" xfId="629"/>
    <cellStyle name="Normal 3 4 3 4" xfId="630"/>
    <cellStyle name="Normal 3 4 4" xfId="631"/>
    <cellStyle name="Normal 3 4 5" xfId="632"/>
    <cellStyle name="Normal 3 4 6" xfId="633"/>
    <cellStyle name="Normal 3 5" xfId="634"/>
    <cellStyle name="Normal 3 5 2" xfId="635"/>
    <cellStyle name="Normal 3 5 2 2" xfId="636"/>
    <cellStyle name="Normal 3 5 3" xfId="637"/>
    <cellStyle name="Normal 3 5 3 2" xfId="638"/>
    <cellStyle name="Normal 3 5 3 3" xfId="639"/>
    <cellStyle name="Normal 3 5 3 4" xfId="640"/>
    <cellStyle name="Normal 3 5 4" xfId="641"/>
    <cellStyle name="Normal 3 5 5" xfId="642"/>
    <cellStyle name="Normal 3 6" xfId="643"/>
    <cellStyle name="Normal 3 7" xfId="644"/>
    <cellStyle name="Normal 3 7 2" xfId="645"/>
    <cellStyle name="Normal 3 7 2 2" xfId="646"/>
    <cellStyle name="Normal 3 7 3" xfId="647"/>
    <cellStyle name="Normal 3 8" xfId="648"/>
    <cellStyle name="Normal 3 8 2" xfId="649"/>
    <cellStyle name="Normal 3 8 3" xfId="650"/>
    <cellStyle name="Normal 3 9" xfId="651"/>
    <cellStyle name="Normal 3 9 2" xfId="652"/>
    <cellStyle name="Normal 3 9 3" xfId="653"/>
    <cellStyle name="Normal 4" xfId="654"/>
    <cellStyle name="Normal 4 10" xfId="655"/>
    <cellStyle name="Normal 4 2" xfId="656"/>
    <cellStyle name="Normal 4 2 2" xfId="657"/>
    <cellStyle name="Normal 4 2 3" xfId="658"/>
    <cellStyle name="Normal 4 2 4" xfId="659"/>
    <cellStyle name="Normal 4 3" xfId="660"/>
    <cellStyle name="Normal 4 3 2" xfId="661"/>
    <cellStyle name="Normal 4 3 2 2" xfId="662"/>
    <cellStyle name="Normal 4 3 2 3" xfId="663"/>
    <cellStyle name="Normal 4 3 3" xfId="664"/>
    <cellStyle name="Normal 4 3 3 2" xfId="665"/>
    <cellStyle name="Normal 4 3 3 3" xfId="666"/>
    <cellStyle name="Normal 4 3 4" xfId="667"/>
    <cellStyle name="Normal 4 3 4 2" xfId="668"/>
    <cellStyle name="Normal 4 3 4 3" xfId="669"/>
    <cellStyle name="Normal 4 3 5" xfId="670"/>
    <cellStyle name="Normal 4 3 5 2" xfId="671"/>
    <cellStyle name="Normal 4 3 6" xfId="672"/>
    <cellStyle name="Normal 4 3 7" xfId="673"/>
    <cellStyle name="Normal 4 3 8" xfId="674"/>
    <cellStyle name="Normal 4 3 9" xfId="675"/>
    <cellStyle name="Normal 4 4" xfId="676"/>
    <cellStyle name="Normal 4 4 2" xfId="677"/>
    <cellStyle name="Normal 4 4 2 2" xfId="678"/>
    <cellStyle name="Normal 4 4 2 3" xfId="679"/>
    <cellStyle name="Normal 4 4 3" xfId="680"/>
    <cellStyle name="Normal 4 4 4" xfId="681"/>
    <cellStyle name="Normal 4 5" xfId="682"/>
    <cellStyle name="Normal 4 5 2" xfId="683"/>
    <cellStyle name="Normal 4 5 3" xfId="684"/>
    <cellStyle name="Normal 4 6" xfId="685"/>
    <cellStyle name="Normal 4 7" xfId="686"/>
    <cellStyle name="Normal 4 8" xfId="687"/>
    <cellStyle name="Normal 4 9" xfId="688"/>
    <cellStyle name="Normal 5" xfId="689"/>
    <cellStyle name="Normal 5 2" xfId="690"/>
    <cellStyle name="Normal 5 2 2" xfId="691"/>
    <cellStyle name="Normal 5 2 2 2" xfId="692"/>
    <cellStyle name="Normal 5 2 2 2 2" xfId="693"/>
    <cellStyle name="Normal 5 2 2 3" xfId="694"/>
    <cellStyle name="Normal 5 2 3" xfId="695"/>
    <cellStyle name="Normal 5 2 3 2" xfId="696"/>
    <cellStyle name="Normal 5 2 3 2 2" xfId="697"/>
    <cellStyle name="Normal 5 2 3 3" xfId="698"/>
    <cellStyle name="Normal 5 2 4" xfId="699"/>
    <cellStyle name="Normal 5 2 5" xfId="700"/>
    <cellStyle name="Normal 5 2 5 2" xfId="701"/>
    <cellStyle name="Normal 5 2 5 3" xfId="702"/>
    <cellStyle name="Normal 5 2 6" xfId="703"/>
    <cellStyle name="Normal 5 2 6 2" xfId="704"/>
    <cellStyle name="Normal 5 2 6 3" xfId="705"/>
    <cellStyle name="Normal 5 2 7" xfId="706"/>
    <cellStyle name="Normal 5 2 7 2" xfId="707"/>
    <cellStyle name="Normal 5 2 7 3" xfId="708"/>
    <cellStyle name="Normal 5 2 8" xfId="709"/>
    <cellStyle name="Normal 5 2 9" xfId="710"/>
    <cellStyle name="Normal 5 3" xfId="711"/>
    <cellStyle name="Normal 5 3 2" xfId="712"/>
    <cellStyle name="Normal 5 3 2 2" xfId="713"/>
    <cellStyle name="Normal 5 3 3" xfId="714"/>
    <cellStyle name="Normal 5 4" xfId="715"/>
    <cellStyle name="Normal 5 4 2" xfId="716"/>
    <cellStyle name="Normal 5 4 2 2" xfId="717"/>
    <cellStyle name="Normal 5 4 3" xfId="718"/>
    <cellStyle name="Normal 5 5" xfId="719"/>
    <cellStyle name="Normal 6" xfId="720"/>
    <cellStyle name="Normal 6 2" xfId="721"/>
    <cellStyle name="Normal 6 3" xfId="722"/>
    <cellStyle name="Normal 6 4" xfId="723"/>
    <cellStyle name="Normal 7" xfId="724"/>
    <cellStyle name="Normal 7 2" xfId="725"/>
    <cellStyle name="Normal 7 3" xfId="726"/>
    <cellStyle name="Normal 8" xfId="727"/>
    <cellStyle name="Normal 8 10" xfId="728"/>
    <cellStyle name="Normal 8 11" xfId="729"/>
    <cellStyle name="Normal 8 11 2" xfId="730"/>
    <cellStyle name="Normal 8 12" xfId="731"/>
    <cellStyle name="Normal 8 13" xfId="732"/>
    <cellStyle name="Normal 8 2" xfId="733"/>
    <cellStyle name="Normal 8 3" xfId="734"/>
    <cellStyle name="Normal 8 4" xfId="735"/>
    <cellStyle name="Normal 8 5" xfId="736"/>
    <cellStyle name="Normal 8 6" xfId="737"/>
    <cellStyle name="Normal 8 7" xfId="738"/>
    <cellStyle name="Normal 8 8" xfId="739"/>
    <cellStyle name="Normal 8 9" xfId="740"/>
    <cellStyle name="Normal 9" xfId="741"/>
    <cellStyle name="Normal 9 2" xfId="742"/>
    <cellStyle name="Normal 9 2 2" xfId="743"/>
    <cellStyle name="Normal 9 2 2 2" xfId="744"/>
    <cellStyle name="Normal 9 2 3" xfId="745"/>
    <cellStyle name="Normal 9 3" xfId="746"/>
    <cellStyle name="Normal 9 3 2" xfId="747"/>
    <cellStyle name="Normal 9 3 2 2" xfId="748"/>
    <cellStyle name="Normal 9 3 3" xfId="749"/>
    <cellStyle name="Normal 9 4" xfId="750"/>
    <cellStyle name="Normal 9 4 2" xfId="751"/>
    <cellStyle name="Normal 9 5" xfId="752"/>
    <cellStyle name="Normál_8gradk" xfId="753"/>
    <cellStyle name="Normal-blank" xfId="754"/>
    <cellStyle name="Normal-bottom" xfId="755"/>
    <cellStyle name="Normal-center" xfId="756"/>
    <cellStyle name="Normal-droit" xfId="757"/>
    <cellStyle name="Normal-top" xfId="758"/>
    <cellStyle name="Note 10 2" xfId="759"/>
    <cellStyle name="Note 10 2 2" xfId="760"/>
    <cellStyle name="Note 10 2 2 2" xfId="761"/>
    <cellStyle name="Note 10 2 2 2 2" xfId="762"/>
    <cellStyle name="Note 10 2 2 2 2 2" xfId="763"/>
    <cellStyle name="Note 10 2 2 2 3" xfId="764"/>
    <cellStyle name="Note 10 2 2 3" xfId="765"/>
    <cellStyle name="Note 10 2 2 3 2" xfId="766"/>
    <cellStyle name="Note 10 2 2 4" xfId="767"/>
    <cellStyle name="Note 10 2 3" xfId="768"/>
    <cellStyle name="Note 10 2 3 2" xfId="769"/>
    <cellStyle name="Note 10 2 3 2 2" xfId="770"/>
    <cellStyle name="Note 10 2 3 3" xfId="771"/>
    <cellStyle name="Note 10 2 4" xfId="772"/>
    <cellStyle name="Note 10 2 4 2" xfId="773"/>
    <cellStyle name="Note 10 2 5" xfId="774"/>
    <cellStyle name="Note 10 3" xfId="775"/>
    <cellStyle name="Note 10 3 2" xfId="776"/>
    <cellStyle name="Note 10 3 2 2" xfId="777"/>
    <cellStyle name="Note 10 3 2 2 2" xfId="778"/>
    <cellStyle name="Note 10 3 2 2 2 2" xfId="779"/>
    <cellStyle name="Note 10 3 2 2 3" xfId="780"/>
    <cellStyle name="Note 10 3 2 3" xfId="781"/>
    <cellStyle name="Note 10 3 2 3 2" xfId="782"/>
    <cellStyle name="Note 10 3 2 4" xfId="783"/>
    <cellStyle name="Note 10 3 3" xfId="784"/>
    <cellStyle name="Note 10 3 3 2" xfId="785"/>
    <cellStyle name="Note 10 3 3 2 2" xfId="786"/>
    <cellStyle name="Note 10 3 3 3" xfId="787"/>
    <cellStyle name="Note 10 3 4" xfId="788"/>
    <cellStyle name="Note 10 3 4 2" xfId="789"/>
    <cellStyle name="Note 10 3 5" xfId="790"/>
    <cellStyle name="Note 10 4" xfId="791"/>
    <cellStyle name="Note 10 4 2" xfId="792"/>
    <cellStyle name="Note 10 4 2 2" xfId="793"/>
    <cellStyle name="Note 10 4 2 2 2" xfId="794"/>
    <cellStyle name="Note 10 4 2 2 2 2" xfId="795"/>
    <cellStyle name="Note 10 4 2 2 3" xfId="796"/>
    <cellStyle name="Note 10 4 2 3" xfId="797"/>
    <cellStyle name="Note 10 4 2 3 2" xfId="798"/>
    <cellStyle name="Note 10 4 2 4" xfId="799"/>
    <cellStyle name="Note 10 4 3" xfId="800"/>
    <cellStyle name="Note 10 4 3 2" xfId="801"/>
    <cellStyle name="Note 10 4 3 2 2" xfId="802"/>
    <cellStyle name="Note 10 4 3 3" xfId="803"/>
    <cellStyle name="Note 10 4 4" xfId="804"/>
    <cellStyle name="Note 10 4 4 2" xfId="805"/>
    <cellStyle name="Note 10 4 5" xfId="806"/>
    <cellStyle name="Note 10 5" xfId="807"/>
    <cellStyle name="Note 10 5 2" xfId="808"/>
    <cellStyle name="Note 10 5 2 2" xfId="809"/>
    <cellStyle name="Note 10 5 2 2 2" xfId="810"/>
    <cellStyle name="Note 10 5 2 2 2 2" xfId="811"/>
    <cellStyle name="Note 10 5 2 2 3" xfId="812"/>
    <cellStyle name="Note 10 5 2 3" xfId="813"/>
    <cellStyle name="Note 10 5 2 3 2" xfId="814"/>
    <cellStyle name="Note 10 5 2 4" xfId="815"/>
    <cellStyle name="Note 10 5 3" xfId="816"/>
    <cellStyle name="Note 10 5 3 2" xfId="817"/>
    <cellStyle name="Note 10 5 3 2 2" xfId="818"/>
    <cellStyle name="Note 10 5 3 3" xfId="819"/>
    <cellStyle name="Note 10 5 4" xfId="820"/>
    <cellStyle name="Note 10 5 4 2" xfId="821"/>
    <cellStyle name="Note 10 5 5" xfId="822"/>
    <cellStyle name="Note 10 6" xfId="823"/>
    <cellStyle name="Note 10 6 2" xfId="824"/>
    <cellStyle name="Note 10 6 2 2" xfId="825"/>
    <cellStyle name="Note 10 6 2 2 2" xfId="826"/>
    <cellStyle name="Note 10 6 2 2 2 2" xfId="827"/>
    <cellStyle name="Note 10 6 2 2 3" xfId="828"/>
    <cellStyle name="Note 10 6 2 3" xfId="829"/>
    <cellStyle name="Note 10 6 2 3 2" xfId="830"/>
    <cellStyle name="Note 10 6 2 4" xfId="831"/>
    <cellStyle name="Note 10 6 3" xfId="832"/>
    <cellStyle name="Note 10 6 3 2" xfId="833"/>
    <cellStyle name="Note 10 6 3 2 2" xfId="834"/>
    <cellStyle name="Note 10 6 3 3" xfId="835"/>
    <cellStyle name="Note 10 6 4" xfId="836"/>
    <cellStyle name="Note 10 6 4 2" xfId="837"/>
    <cellStyle name="Note 10 6 5" xfId="838"/>
    <cellStyle name="Note 10 7" xfId="839"/>
    <cellStyle name="Note 10 7 2" xfId="840"/>
    <cellStyle name="Note 10 7 2 2" xfId="841"/>
    <cellStyle name="Note 10 7 2 2 2" xfId="842"/>
    <cellStyle name="Note 10 7 2 2 2 2" xfId="843"/>
    <cellStyle name="Note 10 7 2 2 3" xfId="844"/>
    <cellStyle name="Note 10 7 2 3" xfId="845"/>
    <cellStyle name="Note 10 7 2 3 2" xfId="846"/>
    <cellStyle name="Note 10 7 2 4" xfId="847"/>
    <cellStyle name="Note 10 7 3" xfId="848"/>
    <cellStyle name="Note 10 7 3 2" xfId="849"/>
    <cellStyle name="Note 10 7 3 2 2" xfId="850"/>
    <cellStyle name="Note 10 7 3 3" xfId="851"/>
    <cellStyle name="Note 10 7 4" xfId="852"/>
    <cellStyle name="Note 10 7 4 2" xfId="853"/>
    <cellStyle name="Note 10 7 5" xfId="854"/>
    <cellStyle name="Note 11 2" xfId="855"/>
    <cellStyle name="Note 11 2 2" xfId="856"/>
    <cellStyle name="Note 11 2 2 2" xfId="857"/>
    <cellStyle name="Note 11 2 2 2 2" xfId="858"/>
    <cellStyle name="Note 11 2 2 2 2 2" xfId="859"/>
    <cellStyle name="Note 11 2 2 2 3" xfId="860"/>
    <cellStyle name="Note 11 2 2 3" xfId="861"/>
    <cellStyle name="Note 11 2 2 3 2" xfId="862"/>
    <cellStyle name="Note 11 2 2 4" xfId="863"/>
    <cellStyle name="Note 11 2 3" xfId="864"/>
    <cellStyle name="Note 11 2 3 2" xfId="865"/>
    <cellStyle name="Note 11 2 3 2 2" xfId="866"/>
    <cellStyle name="Note 11 2 3 3" xfId="867"/>
    <cellStyle name="Note 11 2 4" xfId="868"/>
    <cellStyle name="Note 11 2 4 2" xfId="869"/>
    <cellStyle name="Note 11 2 5" xfId="870"/>
    <cellStyle name="Note 11 3" xfId="871"/>
    <cellStyle name="Note 11 3 2" xfId="872"/>
    <cellStyle name="Note 11 3 2 2" xfId="873"/>
    <cellStyle name="Note 11 3 2 2 2" xfId="874"/>
    <cellStyle name="Note 11 3 2 2 2 2" xfId="875"/>
    <cellStyle name="Note 11 3 2 2 3" xfId="876"/>
    <cellStyle name="Note 11 3 2 3" xfId="877"/>
    <cellStyle name="Note 11 3 2 3 2" xfId="878"/>
    <cellStyle name="Note 11 3 2 4" xfId="879"/>
    <cellStyle name="Note 11 3 3" xfId="880"/>
    <cellStyle name="Note 11 3 3 2" xfId="881"/>
    <cellStyle name="Note 11 3 3 2 2" xfId="882"/>
    <cellStyle name="Note 11 3 3 3" xfId="883"/>
    <cellStyle name="Note 11 3 4" xfId="884"/>
    <cellStyle name="Note 11 3 4 2" xfId="885"/>
    <cellStyle name="Note 11 3 5" xfId="886"/>
    <cellStyle name="Note 11 4" xfId="887"/>
    <cellStyle name="Note 11 4 2" xfId="888"/>
    <cellStyle name="Note 11 4 2 2" xfId="889"/>
    <cellStyle name="Note 11 4 2 2 2" xfId="890"/>
    <cellStyle name="Note 11 4 2 2 2 2" xfId="891"/>
    <cellStyle name="Note 11 4 2 2 3" xfId="892"/>
    <cellStyle name="Note 11 4 2 3" xfId="893"/>
    <cellStyle name="Note 11 4 2 3 2" xfId="894"/>
    <cellStyle name="Note 11 4 2 4" xfId="895"/>
    <cellStyle name="Note 11 4 3" xfId="896"/>
    <cellStyle name="Note 11 4 3 2" xfId="897"/>
    <cellStyle name="Note 11 4 3 2 2" xfId="898"/>
    <cellStyle name="Note 11 4 3 3" xfId="899"/>
    <cellStyle name="Note 11 4 4" xfId="900"/>
    <cellStyle name="Note 11 4 4 2" xfId="901"/>
    <cellStyle name="Note 11 4 5" xfId="902"/>
    <cellStyle name="Note 11 5" xfId="903"/>
    <cellStyle name="Note 11 5 2" xfId="904"/>
    <cellStyle name="Note 11 5 2 2" xfId="905"/>
    <cellStyle name="Note 11 5 2 2 2" xfId="906"/>
    <cellStyle name="Note 11 5 2 2 2 2" xfId="907"/>
    <cellStyle name="Note 11 5 2 2 3" xfId="908"/>
    <cellStyle name="Note 11 5 2 3" xfId="909"/>
    <cellStyle name="Note 11 5 2 3 2" xfId="910"/>
    <cellStyle name="Note 11 5 2 4" xfId="911"/>
    <cellStyle name="Note 11 5 3" xfId="912"/>
    <cellStyle name="Note 11 5 3 2" xfId="913"/>
    <cellStyle name="Note 11 5 3 2 2" xfId="914"/>
    <cellStyle name="Note 11 5 3 3" xfId="915"/>
    <cellStyle name="Note 11 5 4" xfId="916"/>
    <cellStyle name="Note 11 5 4 2" xfId="917"/>
    <cellStyle name="Note 11 5 5" xfId="918"/>
    <cellStyle name="Note 11 6" xfId="919"/>
    <cellStyle name="Note 11 6 2" xfId="920"/>
    <cellStyle name="Note 11 6 2 2" xfId="921"/>
    <cellStyle name="Note 11 6 2 2 2" xfId="922"/>
    <cellStyle name="Note 11 6 2 2 2 2" xfId="923"/>
    <cellStyle name="Note 11 6 2 2 3" xfId="924"/>
    <cellStyle name="Note 11 6 2 3" xfId="925"/>
    <cellStyle name="Note 11 6 2 3 2" xfId="926"/>
    <cellStyle name="Note 11 6 2 4" xfId="927"/>
    <cellStyle name="Note 11 6 3" xfId="928"/>
    <cellStyle name="Note 11 6 3 2" xfId="929"/>
    <cellStyle name="Note 11 6 3 2 2" xfId="930"/>
    <cellStyle name="Note 11 6 3 3" xfId="931"/>
    <cellStyle name="Note 11 6 4" xfId="932"/>
    <cellStyle name="Note 11 6 4 2" xfId="933"/>
    <cellStyle name="Note 11 6 5" xfId="934"/>
    <cellStyle name="Note 12 2" xfId="935"/>
    <cellStyle name="Note 12 2 2" xfId="936"/>
    <cellStyle name="Note 12 2 2 2" xfId="937"/>
    <cellStyle name="Note 12 2 2 2 2" xfId="938"/>
    <cellStyle name="Note 12 2 2 2 2 2" xfId="939"/>
    <cellStyle name="Note 12 2 2 2 3" xfId="940"/>
    <cellStyle name="Note 12 2 2 3" xfId="941"/>
    <cellStyle name="Note 12 2 2 3 2" xfId="942"/>
    <cellStyle name="Note 12 2 2 4" xfId="943"/>
    <cellStyle name="Note 12 2 3" xfId="944"/>
    <cellStyle name="Note 12 2 3 2" xfId="945"/>
    <cellStyle name="Note 12 2 3 2 2" xfId="946"/>
    <cellStyle name="Note 12 2 3 3" xfId="947"/>
    <cellStyle name="Note 12 2 4" xfId="948"/>
    <cellStyle name="Note 12 2 4 2" xfId="949"/>
    <cellStyle name="Note 12 2 5" xfId="950"/>
    <cellStyle name="Note 12 3" xfId="951"/>
    <cellStyle name="Note 12 3 2" xfId="952"/>
    <cellStyle name="Note 12 3 2 2" xfId="953"/>
    <cellStyle name="Note 12 3 2 2 2" xfId="954"/>
    <cellStyle name="Note 12 3 2 2 2 2" xfId="955"/>
    <cellStyle name="Note 12 3 2 2 3" xfId="956"/>
    <cellStyle name="Note 12 3 2 3" xfId="957"/>
    <cellStyle name="Note 12 3 2 3 2" xfId="958"/>
    <cellStyle name="Note 12 3 2 4" xfId="959"/>
    <cellStyle name="Note 12 3 3" xfId="960"/>
    <cellStyle name="Note 12 3 3 2" xfId="961"/>
    <cellStyle name="Note 12 3 3 2 2" xfId="962"/>
    <cellStyle name="Note 12 3 3 3" xfId="963"/>
    <cellStyle name="Note 12 3 4" xfId="964"/>
    <cellStyle name="Note 12 3 4 2" xfId="965"/>
    <cellStyle name="Note 12 3 5" xfId="966"/>
    <cellStyle name="Note 12 4" xfId="967"/>
    <cellStyle name="Note 12 4 2" xfId="968"/>
    <cellStyle name="Note 12 4 2 2" xfId="969"/>
    <cellStyle name="Note 12 4 2 2 2" xfId="970"/>
    <cellStyle name="Note 12 4 2 2 2 2" xfId="971"/>
    <cellStyle name="Note 12 4 2 2 3" xfId="972"/>
    <cellStyle name="Note 12 4 2 3" xfId="973"/>
    <cellStyle name="Note 12 4 2 3 2" xfId="974"/>
    <cellStyle name="Note 12 4 2 4" xfId="975"/>
    <cellStyle name="Note 12 4 3" xfId="976"/>
    <cellStyle name="Note 12 4 3 2" xfId="977"/>
    <cellStyle name="Note 12 4 3 2 2" xfId="978"/>
    <cellStyle name="Note 12 4 3 3" xfId="979"/>
    <cellStyle name="Note 12 4 4" xfId="980"/>
    <cellStyle name="Note 12 4 4 2" xfId="981"/>
    <cellStyle name="Note 12 4 5" xfId="982"/>
    <cellStyle name="Note 12 5" xfId="983"/>
    <cellStyle name="Note 12 5 2" xfId="984"/>
    <cellStyle name="Note 12 5 2 2" xfId="985"/>
    <cellStyle name="Note 12 5 2 2 2" xfId="986"/>
    <cellStyle name="Note 12 5 2 2 2 2" xfId="987"/>
    <cellStyle name="Note 12 5 2 2 3" xfId="988"/>
    <cellStyle name="Note 12 5 2 3" xfId="989"/>
    <cellStyle name="Note 12 5 2 3 2" xfId="990"/>
    <cellStyle name="Note 12 5 2 4" xfId="991"/>
    <cellStyle name="Note 12 5 3" xfId="992"/>
    <cellStyle name="Note 12 5 3 2" xfId="993"/>
    <cellStyle name="Note 12 5 3 2 2" xfId="994"/>
    <cellStyle name="Note 12 5 3 3" xfId="995"/>
    <cellStyle name="Note 12 5 4" xfId="996"/>
    <cellStyle name="Note 12 5 4 2" xfId="997"/>
    <cellStyle name="Note 12 5 5" xfId="998"/>
    <cellStyle name="Note 13 2" xfId="999"/>
    <cellStyle name="Note 13 2 2" xfId="1000"/>
    <cellStyle name="Note 13 2 2 2" xfId="1001"/>
    <cellStyle name="Note 13 2 2 2 2" xfId="1002"/>
    <cellStyle name="Note 13 2 2 2 2 2" xfId="1003"/>
    <cellStyle name="Note 13 2 2 2 3" xfId="1004"/>
    <cellStyle name="Note 13 2 2 3" xfId="1005"/>
    <cellStyle name="Note 13 2 2 3 2" xfId="1006"/>
    <cellStyle name="Note 13 2 2 4" xfId="1007"/>
    <cellStyle name="Note 13 2 3" xfId="1008"/>
    <cellStyle name="Note 13 2 3 2" xfId="1009"/>
    <cellStyle name="Note 13 2 3 2 2" xfId="1010"/>
    <cellStyle name="Note 13 2 3 3" xfId="1011"/>
    <cellStyle name="Note 13 2 4" xfId="1012"/>
    <cellStyle name="Note 13 2 4 2" xfId="1013"/>
    <cellStyle name="Note 13 2 5" xfId="1014"/>
    <cellStyle name="Note 14 2" xfId="1015"/>
    <cellStyle name="Note 14 2 2" xfId="1016"/>
    <cellStyle name="Note 14 2 2 2" xfId="1017"/>
    <cellStyle name="Note 14 2 2 2 2" xfId="1018"/>
    <cellStyle name="Note 14 2 2 2 2 2" xfId="1019"/>
    <cellStyle name="Note 14 2 2 2 3" xfId="1020"/>
    <cellStyle name="Note 14 2 2 3" xfId="1021"/>
    <cellStyle name="Note 14 2 2 3 2" xfId="1022"/>
    <cellStyle name="Note 14 2 2 4" xfId="1023"/>
    <cellStyle name="Note 14 2 3" xfId="1024"/>
    <cellStyle name="Note 14 2 3 2" xfId="1025"/>
    <cellStyle name="Note 14 2 3 2 2" xfId="1026"/>
    <cellStyle name="Note 14 2 3 3" xfId="1027"/>
    <cellStyle name="Note 14 2 4" xfId="1028"/>
    <cellStyle name="Note 14 2 4 2" xfId="1029"/>
    <cellStyle name="Note 14 2 5" xfId="1030"/>
    <cellStyle name="Note 15 2" xfId="1031"/>
    <cellStyle name="Note 15 2 2" xfId="1032"/>
    <cellStyle name="Note 15 2 2 2" xfId="1033"/>
    <cellStyle name="Note 15 2 2 2 2" xfId="1034"/>
    <cellStyle name="Note 15 2 2 2 2 2" xfId="1035"/>
    <cellStyle name="Note 15 2 2 2 3" xfId="1036"/>
    <cellStyle name="Note 15 2 2 3" xfId="1037"/>
    <cellStyle name="Note 15 2 2 3 2" xfId="1038"/>
    <cellStyle name="Note 15 2 2 4" xfId="1039"/>
    <cellStyle name="Note 15 2 3" xfId="1040"/>
    <cellStyle name="Note 15 2 3 2" xfId="1041"/>
    <cellStyle name="Note 15 2 3 2 2" xfId="1042"/>
    <cellStyle name="Note 15 2 3 3" xfId="1043"/>
    <cellStyle name="Note 15 2 4" xfId="1044"/>
    <cellStyle name="Note 15 2 4 2" xfId="1045"/>
    <cellStyle name="Note 15 2 5" xfId="1046"/>
    <cellStyle name="Note 2" xfId="1047"/>
    <cellStyle name="Note 2 2" xfId="1048"/>
    <cellStyle name="Note 2 2 2" xfId="1049"/>
    <cellStyle name="Note 2 2 2 2" xfId="1050"/>
    <cellStyle name="Note 2 2 2 2 2" xfId="1051"/>
    <cellStyle name="Note 2 2 2 2 2 2" xfId="1052"/>
    <cellStyle name="Note 2 2 2 2 3" xfId="1053"/>
    <cellStyle name="Note 2 2 2 3" xfId="1054"/>
    <cellStyle name="Note 2 2 2 3 2" xfId="1055"/>
    <cellStyle name="Note 2 2 2 4" xfId="1056"/>
    <cellStyle name="Note 2 2 3" xfId="1057"/>
    <cellStyle name="Note 2 2 3 2" xfId="1058"/>
    <cellStyle name="Note 2 2 3 2 2" xfId="1059"/>
    <cellStyle name="Note 2 2 3 3" xfId="1060"/>
    <cellStyle name="Note 2 2 4" xfId="1061"/>
    <cellStyle name="Note 2 2 4 2" xfId="1062"/>
    <cellStyle name="Note 2 2 5" xfId="1063"/>
    <cellStyle name="Note 2 3" xfId="1064"/>
    <cellStyle name="Note 2 3 2" xfId="1065"/>
    <cellStyle name="Note 2 3 2 2" xfId="1066"/>
    <cellStyle name="Note 2 3 2 2 2" xfId="1067"/>
    <cellStyle name="Note 2 3 2 2 2 2" xfId="1068"/>
    <cellStyle name="Note 2 3 2 2 3" xfId="1069"/>
    <cellStyle name="Note 2 3 2 3" xfId="1070"/>
    <cellStyle name="Note 2 3 2 3 2" xfId="1071"/>
    <cellStyle name="Note 2 3 2 4" xfId="1072"/>
    <cellStyle name="Note 2 3 3" xfId="1073"/>
    <cellStyle name="Note 2 3 3 2" xfId="1074"/>
    <cellStyle name="Note 2 3 3 2 2" xfId="1075"/>
    <cellStyle name="Note 2 3 3 3" xfId="1076"/>
    <cellStyle name="Note 2 3 4" xfId="1077"/>
    <cellStyle name="Note 2 3 4 2" xfId="1078"/>
    <cellStyle name="Note 2 3 5" xfId="1079"/>
    <cellStyle name="Note 2 4" xfId="1080"/>
    <cellStyle name="Note 2 4 2" xfId="1081"/>
    <cellStyle name="Note 2 4 2 2" xfId="1082"/>
    <cellStyle name="Note 2 4 2 2 2" xfId="1083"/>
    <cellStyle name="Note 2 4 2 2 2 2" xfId="1084"/>
    <cellStyle name="Note 2 4 2 2 3" xfId="1085"/>
    <cellStyle name="Note 2 4 2 3" xfId="1086"/>
    <cellStyle name="Note 2 4 2 3 2" xfId="1087"/>
    <cellStyle name="Note 2 4 2 4" xfId="1088"/>
    <cellStyle name="Note 2 4 3" xfId="1089"/>
    <cellStyle name="Note 2 4 3 2" xfId="1090"/>
    <cellStyle name="Note 2 4 3 2 2" xfId="1091"/>
    <cellStyle name="Note 2 4 3 3" xfId="1092"/>
    <cellStyle name="Note 2 4 4" xfId="1093"/>
    <cellStyle name="Note 2 4 4 2" xfId="1094"/>
    <cellStyle name="Note 2 4 5" xfId="1095"/>
    <cellStyle name="Note 2 5" xfId="1096"/>
    <cellStyle name="Note 2 5 2" xfId="1097"/>
    <cellStyle name="Note 2 5 2 2" xfId="1098"/>
    <cellStyle name="Note 2 5 2 2 2" xfId="1099"/>
    <cellStyle name="Note 2 5 2 2 2 2" xfId="1100"/>
    <cellStyle name="Note 2 5 2 2 3" xfId="1101"/>
    <cellStyle name="Note 2 5 2 3" xfId="1102"/>
    <cellStyle name="Note 2 5 2 3 2" xfId="1103"/>
    <cellStyle name="Note 2 5 2 4" xfId="1104"/>
    <cellStyle name="Note 2 5 3" xfId="1105"/>
    <cellStyle name="Note 2 5 3 2" xfId="1106"/>
    <cellStyle name="Note 2 5 3 2 2" xfId="1107"/>
    <cellStyle name="Note 2 5 3 3" xfId="1108"/>
    <cellStyle name="Note 2 5 4" xfId="1109"/>
    <cellStyle name="Note 2 5 4 2" xfId="1110"/>
    <cellStyle name="Note 2 5 5" xfId="1111"/>
    <cellStyle name="Note 2 6" xfId="1112"/>
    <cellStyle name="Note 2 6 2" xfId="1113"/>
    <cellStyle name="Note 2 6 2 2" xfId="1114"/>
    <cellStyle name="Note 2 6 2 2 2" xfId="1115"/>
    <cellStyle name="Note 2 6 2 2 2 2" xfId="1116"/>
    <cellStyle name="Note 2 6 2 2 3" xfId="1117"/>
    <cellStyle name="Note 2 6 2 3" xfId="1118"/>
    <cellStyle name="Note 2 6 2 3 2" xfId="1119"/>
    <cellStyle name="Note 2 6 2 4" xfId="1120"/>
    <cellStyle name="Note 2 6 3" xfId="1121"/>
    <cellStyle name="Note 2 6 3 2" xfId="1122"/>
    <cellStyle name="Note 2 6 3 2 2" xfId="1123"/>
    <cellStyle name="Note 2 6 3 3" xfId="1124"/>
    <cellStyle name="Note 2 6 4" xfId="1125"/>
    <cellStyle name="Note 2 6 4 2" xfId="1126"/>
    <cellStyle name="Note 2 6 5" xfId="1127"/>
    <cellStyle name="Note 2 7" xfId="1128"/>
    <cellStyle name="Note 2 7 2" xfId="1129"/>
    <cellStyle name="Note 2 7 2 2" xfId="1130"/>
    <cellStyle name="Note 2 7 2 2 2" xfId="1131"/>
    <cellStyle name="Note 2 7 2 2 2 2" xfId="1132"/>
    <cellStyle name="Note 2 7 2 2 3" xfId="1133"/>
    <cellStyle name="Note 2 7 2 3" xfId="1134"/>
    <cellStyle name="Note 2 7 2 3 2" xfId="1135"/>
    <cellStyle name="Note 2 7 2 4" xfId="1136"/>
    <cellStyle name="Note 2 7 3" xfId="1137"/>
    <cellStyle name="Note 2 7 3 2" xfId="1138"/>
    <cellStyle name="Note 2 7 3 2 2" xfId="1139"/>
    <cellStyle name="Note 2 7 3 3" xfId="1140"/>
    <cellStyle name="Note 2 7 4" xfId="1141"/>
    <cellStyle name="Note 2 7 4 2" xfId="1142"/>
    <cellStyle name="Note 2 7 5" xfId="1143"/>
    <cellStyle name="Note 2 8" xfId="1144"/>
    <cellStyle name="Note 2 8 2" xfId="1145"/>
    <cellStyle name="Note 2 8 2 2" xfId="1146"/>
    <cellStyle name="Note 2 8 2 2 2" xfId="1147"/>
    <cellStyle name="Note 2 8 2 2 2 2" xfId="1148"/>
    <cellStyle name="Note 2 8 2 2 3" xfId="1149"/>
    <cellStyle name="Note 2 8 2 3" xfId="1150"/>
    <cellStyle name="Note 2 8 2 3 2" xfId="1151"/>
    <cellStyle name="Note 2 8 2 4" xfId="1152"/>
    <cellStyle name="Note 2 8 3" xfId="1153"/>
    <cellStyle name="Note 2 8 3 2" xfId="1154"/>
    <cellStyle name="Note 2 8 3 2 2" xfId="1155"/>
    <cellStyle name="Note 2 8 3 3" xfId="1156"/>
    <cellStyle name="Note 2 8 4" xfId="1157"/>
    <cellStyle name="Note 2 8 4 2" xfId="1158"/>
    <cellStyle name="Note 2 8 5" xfId="1159"/>
    <cellStyle name="Note 3" xfId="1160"/>
    <cellStyle name="Note 3 2" xfId="1161"/>
    <cellStyle name="Note 3 2 2" xfId="1162"/>
    <cellStyle name="Note 3 2 2 2" xfId="1163"/>
    <cellStyle name="Note 3 2 2 2 2" xfId="1164"/>
    <cellStyle name="Note 3 2 2 2 2 2" xfId="1165"/>
    <cellStyle name="Note 3 2 2 2 3" xfId="1166"/>
    <cellStyle name="Note 3 2 2 3" xfId="1167"/>
    <cellStyle name="Note 3 2 2 3 2" xfId="1168"/>
    <cellStyle name="Note 3 2 2 4" xfId="1169"/>
    <cellStyle name="Note 3 2 3" xfId="1170"/>
    <cellStyle name="Note 3 2 3 2" xfId="1171"/>
    <cellStyle name="Note 3 2 3 2 2" xfId="1172"/>
    <cellStyle name="Note 3 2 3 3" xfId="1173"/>
    <cellStyle name="Note 3 2 4" xfId="1174"/>
    <cellStyle name="Note 3 2 4 2" xfId="1175"/>
    <cellStyle name="Note 3 2 5" xfId="1176"/>
    <cellStyle name="Note 3 3" xfId="1177"/>
    <cellStyle name="Note 3 3 2" xfId="1178"/>
    <cellStyle name="Note 3 3 2 2" xfId="1179"/>
    <cellStyle name="Note 3 3 2 2 2" xfId="1180"/>
    <cellStyle name="Note 3 3 2 2 2 2" xfId="1181"/>
    <cellStyle name="Note 3 3 2 2 3" xfId="1182"/>
    <cellStyle name="Note 3 3 2 3" xfId="1183"/>
    <cellStyle name="Note 3 3 2 3 2" xfId="1184"/>
    <cellStyle name="Note 3 3 2 4" xfId="1185"/>
    <cellStyle name="Note 3 3 3" xfId="1186"/>
    <cellStyle name="Note 3 3 3 2" xfId="1187"/>
    <cellStyle name="Note 3 3 3 2 2" xfId="1188"/>
    <cellStyle name="Note 3 3 3 3" xfId="1189"/>
    <cellStyle name="Note 3 3 4" xfId="1190"/>
    <cellStyle name="Note 3 3 4 2" xfId="1191"/>
    <cellStyle name="Note 3 3 5" xfId="1192"/>
    <cellStyle name="Note 3 4" xfId="1193"/>
    <cellStyle name="Note 3 4 2" xfId="1194"/>
    <cellStyle name="Note 3 4 2 2" xfId="1195"/>
    <cellStyle name="Note 3 4 2 2 2" xfId="1196"/>
    <cellStyle name="Note 3 4 2 2 2 2" xfId="1197"/>
    <cellStyle name="Note 3 4 2 2 3" xfId="1198"/>
    <cellStyle name="Note 3 4 2 3" xfId="1199"/>
    <cellStyle name="Note 3 4 2 3 2" xfId="1200"/>
    <cellStyle name="Note 3 4 2 4" xfId="1201"/>
    <cellStyle name="Note 3 4 3" xfId="1202"/>
    <cellStyle name="Note 3 4 3 2" xfId="1203"/>
    <cellStyle name="Note 3 4 3 2 2" xfId="1204"/>
    <cellStyle name="Note 3 4 3 3" xfId="1205"/>
    <cellStyle name="Note 3 4 4" xfId="1206"/>
    <cellStyle name="Note 3 4 4 2" xfId="1207"/>
    <cellStyle name="Note 3 4 5" xfId="1208"/>
    <cellStyle name="Note 3 5" xfId="1209"/>
    <cellStyle name="Note 3 5 2" xfId="1210"/>
    <cellStyle name="Note 3 5 2 2" xfId="1211"/>
    <cellStyle name="Note 3 5 2 2 2" xfId="1212"/>
    <cellStyle name="Note 3 5 2 2 2 2" xfId="1213"/>
    <cellStyle name="Note 3 5 2 2 3" xfId="1214"/>
    <cellStyle name="Note 3 5 2 3" xfId="1215"/>
    <cellStyle name="Note 3 5 2 3 2" xfId="1216"/>
    <cellStyle name="Note 3 5 2 4" xfId="1217"/>
    <cellStyle name="Note 3 5 3" xfId="1218"/>
    <cellStyle name="Note 3 5 3 2" xfId="1219"/>
    <cellStyle name="Note 3 5 3 2 2" xfId="1220"/>
    <cellStyle name="Note 3 5 3 3" xfId="1221"/>
    <cellStyle name="Note 3 5 4" xfId="1222"/>
    <cellStyle name="Note 3 5 4 2" xfId="1223"/>
    <cellStyle name="Note 3 5 5" xfId="1224"/>
    <cellStyle name="Note 3 6" xfId="1225"/>
    <cellStyle name="Note 3 6 2" xfId="1226"/>
    <cellStyle name="Note 3 6 2 2" xfId="1227"/>
    <cellStyle name="Note 3 6 2 2 2" xfId="1228"/>
    <cellStyle name="Note 3 6 2 2 2 2" xfId="1229"/>
    <cellStyle name="Note 3 6 2 2 3" xfId="1230"/>
    <cellStyle name="Note 3 6 2 3" xfId="1231"/>
    <cellStyle name="Note 3 6 2 3 2" xfId="1232"/>
    <cellStyle name="Note 3 6 2 4" xfId="1233"/>
    <cellStyle name="Note 3 6 3" xfId="1234"/>
    <cellStyle name="Note 3 6 3 2" xfId="1235"/>
    <cellStyle name="Note 3 6 3 2 2" xfId="1236"/>
    <cellStyle name="Note 3 6 3 3" xfId="1237"/>
    <cellStyle name="Note 3 6 4" xfId="1238"/>
    <cellStyle name="Note 3 6 4 2" xfId="1239"/>
    <cellStyle name="Note 3 6 5" xfId="1240"/>
    <cellStyle name="Note 3 7" xfId="1241"/>
    <cellStyle name="Note 3 7 2" xfId="1242"/>
    <cellStyle name="Note 3 7 2 2" xfId="1243"/>
    <cellStyle name="Note 3 7 2 2 2" xfId="1244"/>
    <cellStyle name="Note 3 7 2 2 2 2" xfId="1245"/>
    <cellStyle name="Note 3 7 2 2 3" xfId="1246"/>
    <cellStyle name="Note 3 7 2 3" xfId="1247"/>
    <cellStyle name="Note 3 7 2 3 2" xfId="1248"/>
    <cellStyle name="Note 3 7 2 4" xfId="1249"/>
    <cellStyle name="Note 3 7 3" xfId="1250"/>
    <cellStyle name="Note 3 7 3 2" xfId="1251"/>
    <cellStyle name="Note 3 7 3 2 2" xfId="1252"/>
    <cellStyle name="Note 3 7 3 3" xfId="1253"/>
    <cellStyle name="Note 3 7 4" xfId="1254"/>
    <cellStyle name="Note 3 7 4 2" xfId="1255"/>
    <cellStyle name="Note 3 7 5" xfId="1256"/>
    <cellStyle name="Note 3 8" xfId="1257"/>
    <cellStyle name="Note 3 8 2" xfId="1258"/>
    <cellStyle name="Note 3 8 2 2" xfId="1259"/>
    <cellStyle name="Note 3 8 2 2 2" xfId="1260"/>
    <cellStyle name="Note 3 8 2 2 2 2" xfId="1261"/>
    <cellStyle name="Note 3 8 2 2 3" xfId="1262"/>
    <cellStyle name="Note 3 8 2 3" xfId="1263"/>
    <cellStyle name="Note 3 8 2 3 2" xfId="1264"/>
    <cellStyle name="Note 3 8 2 4" xfId="1265"/>
    <cellStyle name="Note 3 8 3" xfId="1266"/>
    <cellStyle name="Note 3 8 3 2" xfId="1267"/>
    <cellStyle name="Note 3 8 3 2 2" xfId="1268"/>
    <cellStyle name="Note 3 8 3 3" xfId="1269"/>
    <cellStyle name="Note 3 8 4" xfId="1270"/>
    <cellStyle name="Note 3 8 4 2" xfId="1271"/>
    <cellStyle name="Note 3 8 5" xfId="1272"/>
    <cellStyle name="Note 4" xfId="1273"/>
    <cellStyle name="Note 4 2" xfId="1274"/>
    <cellStyle name="Note 4 2 2" xfId="1275"/>
    <cellStyle name="Note 4 2 2 2" xfId="1276"/>
    <cellStyle name="Note 4 2 2 2 2" xfId="1277"/>
    <cellStyle name="Note 4 2 2 2 2 2" xfId="1278"/>
    <cellStyle name="Note 4 2 2 2 3" xfId="1279"/>
    <cellStyle name="Note 4 2 2 3" xfId="1280"/>
    <cellStyle name="Note 4 2 2 3 2" xfId="1281"/>
    <cellStyle name="Note 4 2 2 4" xfId="1282"/>
    <cellStyle name="Note 4 2 3" xfId="1283"/>
    <cellStyle name="Note 4 2 3 2" xfId="1284"/>
    <cellStyle name="Note 4 2 3 2 2" xfId="1285"/>
    <cellStyle name="Note 4 2 3 3" xfId="1286"/>
    <cellStyle name="Note 4 2 4" xfId="1287"/>
    <cellStyle name="Note 4 2 4 2" xfId="1288"/>
    <cellStyle name="Note 4 2 5" xfId="1289"/>
    <cellStyle name="Note 4 3" xfId="1290"/>
    <cellStyle name="Note 4 3 2" xfId="1291"/>
    <cellStyle name="Note 4 3 2 2" xfId="1292"/>
    <cellStyle name="Note 4 3 2 2 2" xfId="1293"/>
    <cellStyle name="Note 4 3 2 2 2 2" xfId="1294"/>
    <cellStyle name="Note 4 3 2 2 3" xfId="1295"/>
    <cellStyle name="Note 4 3 2 3" xfId="1296"/>
    <cellStyle name="Note 4 3 2 3 2" xfId="1297"/>
    <cellStyle name="Note 4 3 2 4" xfId="1298"/>
    <cellStyle name="Note 4 3 3" xfId="1299"/>
    <cellStyle name="Note 4 3 3 2" xfId="1300"/>
    <cellStyle name="Note 4 3 3 2 2" xfId="1301"/>
    <cellStyle name="Note 4 3 3 3" xfId="1302"/>
    <cellStyle name="Note 4 3 4" xfId="1303"/>
    <cellStyle name="Note 4 3 4 2" xfId="1304"/>
    <cellStyle name="Note 4 3 5" xfId="1305"/>
    <cellStyle name="Note 4 4" xfId="1306"/>
    <cellStyle name="Note 4 4 2" xfId="1307"/>
    <cellStyle name="Note 4 4 2 2" xfId="1308"/>
    <cellStyle name="Note 4 4 2 2 2" xfId="1309"/>
    <cellStyle name="Note 4 4 2 2 2 2" xfId="1310"/>
    <cellStyle name="Note 4 4 2 2 3" xfId="1311"/>
    <cellStyle name="Note 4 4 2 3" xfId="1312"/>
    <cellStyle name="Note 4 4 2 3 2" xfId="1313"/>
    <cellStyle name="Note 4 4 2 4" xfId="1314"/>
    <cellStyle name="Note 4 4 3" xfId="1315"/>
    <cellStyle name="Note 4 4 3 2" xfId="1316"/>
    <cellStyle name="Note 4 4 3 2 2" xfId="1317"/>
    <cellStyle name="Note 4 4 3 3" xfId="1318"/>
    <cellStyle name="Note 4 4 4" xfId="1319"/>
    <cellStyle name="Note 4 4 4 2" xfId="1320"/>
    <cellStyle name="Note 4 4 5" xfId="1321"/>
    <cellStyle name="Note 4 5" xfId="1322"/>
    <cellStyle name="Note 4 5 2" xfId="1323"/>
    <cellStyle name="Note 4 5 2 2" xfId="1324"/>
    <cellStyle name="Note 4 5 2 2 2" xfId="1325"/>
    <cellStyle name="Note 4 5 2 2 2 2" xfId="1326"/>
    <cellStyle name="Note 4 5 2 2 3" xfId="1327"/>
    <cellStyle name="Note 4 5 2 3" xfId="1328"/>
    <cellStyle name="Note 4 5 2 3 2" xfId="1329"/>
    <cellStyle name="Note 4 5 2 4" xfId="1330"/>
    <cellStyle name="Note 4 5 3" xfId="1331"/>
    <cellStyle name="Note 4 5 3 2" xfId="1332"/>
    <cellStyle name="Note 4 5 3 2 2" xfId="1333"/>
    <cellStyle name="Note 4 5 3 3" xfId="1334"/>
    <cellStyle name="Note 4 5 4" xfId="1335"/>
    <cellStyle name="Note 4 5 4 2" xfId="1336"/>
    <cellStyle name="Note 4 5 5" xfId="1337"/>
    <cellStyle name="Note 4 6" xfId="1338"/>
    <cellStyle name="Note 4 6 2" xfId="1339"/>
    <cellStyle name="Note 4 6 2 2" xfId="1340"/>
    <cellStyle name="Note 4 6 2 2 2" xfId="1341"/>
    <cellStyle name="Note 4 6 2 2 2 2" xfId="1342"/>
    <cellStyle name="Note 4 6 2 2 3" xfId="1343"/>
    <cellStyle name="Note 4 6 2 3" xfId="1344"/>
    <cellStyle name="Note 4 6 2 3 2" xfId="1345"/>
    <cellStyle name="Note 4 6 2 4" xfId="1346"/>
    <cellStyle name="Note 4 6 3" xfId="1347"/>
    <cellStyle name="Note 4 6 3 2" xfId="1348"/>
    <cellStyle name="Note 4 6 3 2 2" xfId="1349"/>
    <cellStyle name="Note 4 6 3 3" xfId="1350"/>
    <cellStyle name="Note 4 6 4" xfId="1351"/>
    <cellStyle name="Note 4 6 4 2" xfId="1352"/>
    <cellStyle name="Note 4 6 5" xfId="1353"/>
    <cellStyle name="Note 4 7" xfId="1354"/>
    <cellStyle name="Note 4 7 2" xfId="1355"/>
    <cellStyle name="Note 4 7 2 2" xfId="1356"/>
    <cellStyle name="Note 4 7 2 2 2" xfId="1357"/>
    <cellStyle name="Note 4 7 2 2 2 2" xfId="1358"/>
    <cellStyle name="Note 4 7 2 2 3" xfId="1359"/>
    <cellStyle name="Note 4 7 2 3" xfId="1360"/>
    <cellStyle name="Note 4 7 2 3 2" xfId="1361"/>
    <cellStyle name="Note 4 7 2 4" xfId="1362"/>
    <cellStyle name="Note 4 7 3" xfId="1363"/>
    <cellStyle name="Note 4 7 3 2" xfId="1364"/>
    <cellStyle name="Note 4 7 3 2 2" xfId="1365"/>
    <cellStyle name="Note 4 7 3 3" xfId="1366"/>
    <cellStyle name="Note 4 7 4" xfId="1367"/>
    <cellStyle name="Note 4 7 4 2" xfId="1368"/>
    <cellStyle name="Note 4 7 5" xfId="1369"/>
    <cellStyle name="Note 4 8" xfId="1370"/>
    <cellStyle name="Note 4 8 2" xfId="1371"/>
    <cellStyle name="Note 4 8 2 2" xfId="1372"/>
    <cellStyle name="Note 4 8 2 2 2" xfId="1373"/>
    <cellStyle name="Note 4 8 2 2 2 2" xfId="1374"/>
    <cellStyle name="Note 4 8 2 2 3" xfId="1375"/>
    <cellStyle name="Note 4 8 2 3" xfId="1376"/>
    <cellStyle name="Note 4 8 2 3 2" xfId="1377"/>
    <cellStyle name="Note 4 8 2 4" xfId="1378"/>
    <cellStyle name="Note 4 8 3" xfId="1379"/>
    <cellStyle name="Note 4 8 3 2" xfId="1380"/>
    <cellStyle name="Note 4 8 3 2 2" xfId="1381"/>
    <cellStyle name="Note 4 8 3 3" xfId="1382"/>
    <cellStyle name="Note 4 8 4" xfId="1383"/>
    <cellStyle name="Note 4 8 4 2" xfId="1384"/>
    <cellStyle name="Note 4 8 5" xfId="1385"/>
    <cellStyle name="Note 5" xfId="1386"/>
    <cellStyle name="Note 5 2" xfId="1387"/>
    <cellStyle name="Note 5 2 2" xfId="1388"/>
    <cellStyle name="Note 5 2 2 2" xfId="1389"/>
    <cellStyle name="Note 5 2 2 2 2" xfId="1390"/>
    <cellStyle name="Note 5 2 2 2 2 2" xfId="1391"/>
    <cellStyle name="Note 5 2 2 2 3" xfId="1392"/>
    <cellStyle name="Note 5 2 2 3" xfId="1393"/>
    <cellStyle name="Note 5 2 2 3 2" xfId="1394"/>
    <cellStyle name="Note 5 2 2 4" xfId="1395"/>
    <cellStyle name="Note 5 2 3" xfId="1396"/>
    <cellStyle name="Note 5 2 3 2" xfId="1397"/>
    <cellStyle name="Note 5 2 3 2 2" xfId="1398"/>
    <cellStyle name="Note 5 2 3 3" xfId="1399"/>
    <cellStyle name="Note 5 2 4" xfId="1400"/>
    <cellStyle name="Note 5 2 4 2" xfId="1401"/>
    <cellStyle name="Note 5 2 5" xfId="1402"/>
    <cellStyle name="Note 5 3" xfId="1403"/>
    <cellStyle name="Note 5 3 2" xfId="1404"/>
    <cellStyle name="Note 5 3 2 2" xfId="1405"/>
    <cellStyle name="Note 5 3 2 2 2" xfId="1406"/>
    <cellStyle name="Note 5 3 2 2 2 2" xfId="1407"/>
    <cellStyle name="Note 5 3 2 2 3" xfId="1408"/>
    <cellStyle name="Note 5 3 2 3" xfId="1409"/>
    <cellStyle name="Note 5 3 2 3 2" xfId="1410"/>
    <cellStyle name="Note 5 3 2 4" xfId="1411"/>
    <cellStyle name="Note 5 3 3" xfId="1412"/>
    <cellStyle name="Note 5 3 3 2" xfId="1413"/>
    <cellStyle name="Note 5 3 3 2 2" xfId="1414"/>
    <cellStyle name="Note 5 3 3 3" xfId="1415"/>
    <cellStyle name="Note 5 3 4" xfId="1416"/>
    <cellStyle name="Note 5 3 4 2" xfId="1417"/>
    <cellStyle name="Note 5 3 5" xfId="1418"/>
    <cellStyle name="Note 5 4" xfId="1419"/>
    <cellStyle name="Note 5 4 2" xfId="1420"/>
    <cellStyle name="Note 5 4 2 2" xfId="1421"/>
    <cellStyle name="Note 5 4 2 2 2" xfId="1422"/>
    <cellStyle name="Note 5 4 2 2 2 2" xfId="1423"/>
    <cellStyle name="Note 5 4 2 2 3" xfId="1424"/>
    <cellStyle name="Note 5 4 2 3" xfId="1425"/>
    <cellStyle name="Note 5 4 2 3 2" xfId="1426"/>
    <cellStyle name="Note 5 4 2 4" xfId="1427"/>
    <cellStyle name="Note 5 4 3" xfId="1428"/>
    <cellStyle name="Note 5 4 3 2" xfId="1429"/>
    <cellStyle name="Note 5 4 3 2 2" xfId="1430"/>
    <cellStyle name="Note 5 4 3 3" xfId="1431"/>
    <cellStyle name="Note 5 4 4" xfId="1432"/>
    <cellStyle name="Note 5 4 4 2" xfId="1433"/>
    <cellStyle name="Note 5 4 5" xfId="1434"/>
    <cellStyle name="Note 5 5" xfId="1435"/>
    <cellStyle name="Note 5 5 2" xfId="1436"/>
    <cellStyle name="Note 5 5 2 2" xfId="1437"/>
    <cellStyle name="Note 5 5 2 2 2" xfId="1438"/>
    <cellStyle name="Note 5 5 2 2 2 2" xfId="1439"/>
    <cellStyle name="Note 5 5 2 2 3" xfId="1440"/>
    <cellStyle name="Note 5 5 2 3" xfId="1441"/>
    <cellStyle name="Note 5 5 2 3 2" xfId="1442"/>
    <cellStyle name="Note 5 5 2 4" xfId="1443"/>
    <cellStyle name="Note 5 5 3" xfId="1444"/>
    <cellStyle name="Note 5 5 3 2" xfId="1445"/>
    <cellStyle name="Note 5 5 3 2 2" xfId="1446"/>
    <cellStyle name="Note 5 5 3 3" xfId="1447"/>
    <cellStyle name="Note 5 5 4" xfId="1448"/>
    <cellStyle name="Note 5 5 4 2" xfId="1449"/>
    <cellStyle name="Note 5 5 5" xfId="1450"/>
    <cellStyle name="Note 5 6" xfId="1451"/>
    <cellStyle name="Note 5 6 2" xfId="1452"/>
    <cellStyle name="Note 5 6 2 2" xfId="1453"/>
    <cellStyle name="Note 5 6 2 2 2" xfId="1454"/>
    <cellStyle name="Note 5 6 2 2 2 2" xfId="1455"/>
    <cellStyle name="Note 5 6 2 2 3" xfId="1456"/>
    <cellStyle name="Note 5 6 2 3" xfId="1457"/>
    <cellStyle name="Note 5 6 2 3 2" xfId="1458"/>
    <cellStyle name="Note 5 6 2 4" xfId="1459"/>
    <cellStyle name="Note 5 6 3" xfId="1460"/>
    <cellStyle name="Note 5 6 3 2" xfId="1461"/>
    <cellStyle name="Note 5 6 3 2 2" xfId="1462"/>
    <cellStyle name="Note 5 6 3 3" xfId="1463"/>
    <cellStyle name="Note 5 6 4" xfId="1464"/>
    <cellStyle name="Note 5 6 4 2" xfId="1465"/>
    <cellStyle name="Note 5 6 5" xfId="1466"/>
    <cellStyle name="Note 5 7" xfId="1467"/>
    <cellStyle name="Note 5 7 2" xfId="1468"/>
    <cellStyle name="Note 5 7 2 2" xfId="1469"/>
    <cellStyle name="Note 5 7 2 2 2" xfId="1470"/>
    <cellStyle name="Note 5 7 2 2 2 2" xfId="1471"/>
    <cellStyle name="Note 5 7 2 2 3" xfId="1472"/>
    <cellStyle name="Note 5 7 2 3" xfId="1473"/>
    <cellStyle name="Note 5 7 2 3 2" xfId="1474"/>
    <cellStyle name="Note 5 7 2 4" xfId="1475"/>
    <cellStyle name="Note 5 7 3" xfId="1476"/>
    <cellStyle name="Note 5 7 3 2" xfId="1477"/>
    <cellStyle name="Note 5 7 3 2 2" xfId="1478"/>
    <cellStyle name="Note 5 7 3 3" xfId="1479"/>
    <cellStyle name="Note 5 7 4" xfId="1480"/>
    <cellStyle name="Note 5 7 4 2" xfId="1481"/>
    <cellStyle name="Note 5 7 5" xfId="1482"/>
    <cellStyle name="Note 5 8" xfId="1483"/>
    <cellStyle name="Note 5 8 2" xfId="1484"/>
    <cellStyle name="Note 5 8 2 2" xfId="1485"/>
    <cellStyle name="Note 5 8 2 2 2" xfId="1486"/>
    <cellStyle name="Note 5 8 2 2 2 2" xfId="1487"/>
    <cellStyle name="Note 5 8 2 2 3" xfId="1488"/>
    <cellStyle name="Note 5 8 2 3" xfId="1489"/>
    <cellStyle name="Note 5 8 2 3 2" xfId="1490"/>
    <cellStyle name="Note 5 8 2 4" xfId="1491"/>
    <cellStyle name="Note 5 8 3" xfId="1492"/>
    <cellStyle name="Note 5 8 3 2" xfId="1493"/>
    <cellStyle name="Note 5 8 3 2 2" xfId="1494"/>
    <cellStyle name="Note 5 8 3 3" xfId="1495"/>
    <cellStyle name="Note 5 8 4" xfId="1496"/>
    <cellStyle name="Note 5 8 4 2" xfId="1497"/>
    <cellStyle name="Note 5 8 5" xfId="1498"/>
    <cellStyle name="Note 6 2" xfId="1499"/>
    <cellStyle name="Note 6 2 2" xfId="1500"/>
    <cellStyle name="Note 6 2 2 2" xfId="1501"/>
    <cellStyle name="Note 6 2 2 2 2" xfId="1502"/>
    <cellStyle name="Note 6 2 2 2 2 2" xfId="1503"/>
    <cellStyle name="Note 6 2 2 2 3" xfId="1504"/>
    <cellStyle name="Note 6 2 2 3" xfId="1505"/>
    <cellStyle name="Note 6 2 2 3 2" xfId="1506"/>
    <cellStyle name="Note 6 2 2 4" xfId="1507"/>
    <cellStyle name="Note 6 2 3" xfId="1508"/>
    <cellStyle name="Note 6 2 3 2" xfId="1509"/>
    <cellStyle name="Note 6 2 3 2 2" xfId="1510"/>
    <cellStyle name="Note 6 2 3 3" xfId="1511"/>
    <cellStyle name="Note 6 2 4" xfId="1512"/>
    <cellStyle name="Note 6 2 4 2" xfId="1513"/>
    <cellStyle name="Note 6 2 5" xfId="1514"/>
    <cellStyle name="Note 6 3" xfId="1515"/>
    <cellStyle name="Note 6 3 2" xfId="1516"/>
    <cellStyle name="Note 6 3 2 2" xfId="1517"/>
    <cellStyle name="Note 6 3 2 2 2" xfId="1518"/>
    <cellStyle name="Note 6 3 2 2 2 2" xfId="1519"/>
    <cellStyle name="Note 6 3 2 2 3" xfId="1520"/>
    <cellStyle name="Note 6 3 2 3" xfId="1521"/>
    <cellStyle name="Note 6 3 2 3 2" xfId="1522"/>
    <cellStyle name="Note 6 3 2 4" xfId="1523"/>
    <cellStyle name="Note 6 3 3" xfId="1524"/>
    <cellStyle name="Note 6 3 3 2" xfId="1525"/>
    <cellStyle name="Note 6 3 3 2 2" xfId="1526"/>
    <cellStyle name="Note 6 3 3 3" xfId="1527"/>
    <cellStyle name="Note 6 3 4" xfId="1528"/>
    <cellStyle name="Note 6 3 4 2" xfId="1529"/>
    <cellStyle name="Note 6 3 5" xfId="1530"/>
    <cellStyle name="Note 6 4" xfId="1531"/>
    <cellStyle name="Note 6 4 2" xfId="1532"/>
    <cellStyle name="Note 6 4 2 2" xfId="1533"/>
    <cellStyle name="Note 6 4 2 2 2" xfId="1534"/>
    <cellStyle name="Note 6 4 2 2 2 2" xfId="1535"/>
    <cellStyle name="Note 6 4 2 2 3" xfId="1536"/>
    <cellStyle name="Note 6 4 2 3" xfId="1537"/>
    <cellStyle name="Note 6 4 2 3 2" xfId="1538"/>
    <cellStyle name="Note 6 4 2 4" xfId="1539"/>
    <cellStyle name="Note 6 4 3" xfId="1540"/>
    <cellStyle name="Note 6 4 3 2" xfId="1541"/>
    <cellStyle name="Note 6 4 3 2 2" xfId="1542"/>
    <cellStyle name="Note 6 4 3 3" xfId="1543"/>
    <cellStyle name="Note 6 4 4" xfId="1544"/>
    <cellStyle name="Note 6 4 4 2" xfId="1545"/>
    <cellStyle name="Note 6 4 5" xfId="1546"/>
    <cellStyle name="Note 6 5" xfId="1547"/>
    <cellStyle name="Note 6 5 2" xfId="1548"/>
    <cellStyle name="Note 6 5 2 2" xfId="1549"/>
    <cellStyle name="Note 6 5 2 2 2" xfId="1550"/>
    <cellStyle name="Note 6 5 2 2 2 2" xfId="1551"/>
    <cellStyle name="Note 6 5 2 2 3" xfId="1552"/>
    <cellStyle name="Note 6 5 2 3" xfId="1553"/>
    <cellStyle name="Note 6 5 2 3 2" xfId="1554"/>
    <cellStyle name="Note 6 5 2 4" xfId="1555"/>
    <cellStyle name="Note 6 5 3" xfId="1556"/>
    <cellStyle name="Note 6 5 3 2" xfId="1557"/>
    <cellStyle name="Note 6 5 3 2 2" xfId="1558"/>
    <cellStyle name="Note 6 5 3 3" xfId="1559"/>
    <cellStyle name="Note 6 5 4" xfId="1560"/>
    <cellStyle name="Note 6 5 4 2" xfId="1561"/>
    <cellStyle name="Note 6 5 5" xfId="1562"/>
    <cellStyle name="Note 6 6" xfId="1563"/>
    <cellStyle name="Note 6 6 2" xfId="1564"/>
    <cellStyle name="Note 6 6 2 2" xfId="1565"/>
    <cellStyle name="Note 6 6 2 2 2" xfId="1566"/>
    <cellStyle name="Note 6 6 2 2 2 2" xfId="1567"/>
    <cellStyle name="Note 6 6 2 2 3" xfId="1568"/>
    <cellStyle name="Note 6 6 2 3" xfId="1569"/>
    <cellStyle name="Note 6 6 2 3 2" xfId="1570"/>
    <cellStyle name="Note 6 6 2 4" xfId="1571"/>
    <cellStyle name="Note 6 6 3" xfId="1572"/>
    <cellStyle name="Note 6 6 3 2" xfId="1573"/>
    <cellStyle name="Note 6 6 3 2 2" xfId="1574"/>
    <cellStyle name="Note 6 6 3 3" xfId="1575"/>
    <cellStyle name="Note 6 6 4" xfId="1576"/>
    <cellStyle name="Note 6 6 4 2" xfId="1577"/>
    <cellStyle name="Note 6 6 5" xfId="1578"/>
    <cellStyle name="Note 6 7" xfId="1579"/>
    <cellStyle name="Note 6 7 2" xfId="1580"/>
    <cellStyle name="Note 6 7 2 2" xfId="1581"/>
    <cellStyle name="Note 6 7 2 2 2" xfId="1582"/>
    <cellStyle name="Note 6 7 2 2 2 2" xfId="1583"/>
    <cellStyle name="Note 6 7 2 2 3" xfId="1584"/>
    <cellStyle name="Note 6 7 2 3" xfId="1585"/>
    <cellStyle name="Note 6 7 2 3 2" xfId="1586"/>
    <cellStyle name="Note 6 7 2 4" xfId="1587"/>
    <cellStyle name="Note 6 7 3" xfId="1588"/>
    <cellStyle name="Note 6 7 3 2" xfId="1589"/>
    <cellStyle name="Note 6 7 3 2 2" xfId="1590"/>
    <cellStyle name="Note 6 7 3 3" xfId="1591"/>
    <cellStyle name="Note 6 7 4" xfId="1592"/>
    <cellStyle name="Note 6 7 4 2" xfId="1593"/>
    <cellStyle name="Note 6 7 5" xfId="1594"/>
    <cellStyle name="Note 6 8" xfId="1595"/>
    <cellStyle name="Note 6 8 2" xfId="1596"/>
    <cellStyle name="Note 6 8 2 2" xfId="1597"/>
    <cellStyle name="Note 6 8 2 2 2" xfId="1598"/>
    <cellStyle name="Note 6 8 2 2 2 2" xfId="1599"/>
    <cellStyle name="Note 6 8 2 2 3" xfId="1600"/>
    <cellStyle name="Note 6 8 2 3" xfId="1601"/>
    <cellStyle name="Note 6 8 2 3 2" xfId="1602"/>
    <cellStyle name="Note 6 8 2 4" xfId="1603"/>
    <cellStyle name="Note 6 8 3" xfId="1604"/>
    <cellStyle name="Note 6 8 3 2" xfId="1605"/>
    <cellStyle name="Note 6 8 3 2 2" xfId="1606"/>
    <cellStyle name="Note 6 8 3 3" xfId="1607"/>
    <cellStyle name="Note 6 8 4" xfId="1608"/>
    <cellStyle name="Note 6 8 4 2" xfId="1609"/>
    <cellStyle name="Note 6 8 5" xfId="1610"/>
    <cellStyle name="Note 7 2" xfId="1611"/>
    <cellStyle name="Note 7 2 2" xfId="1612"/>
    <cellStyle name="Note 7 2 2 2" xfId="1613"/>
    <cellStyle name="Note 7 2 2 2 2" xfId="1614"/>
    <cellStyle name="Note 7 2 2 2 2 2" xfId="1615"/>
    <cellStyle name="Note 7 2 2 2 3" xfId="1616"/>
    <cellStyle name="Note 7 2 2 3" xfId="1617"/>
    <cellStyle name="Note 7 2 2 3 2" xfId="1618"/>
    <cellStyle name="Note 7 2 2 4" xfId="1619"/>
    <cellStyle name="Note 7 2 3" xfId="1620"/>
    <cellStyle name="Note 7 2 3 2" xfId="1621"/>
    <cellStyle name="Note 7 2 3 2 2" xfId="1622"/>
    <cellStyle name="Note 7 2 3 3" xfId="1623"/>
    <cellStyle name="Note 7 2 4" xfId="1624"/>
    <cellStyle name="Note 7 2 4 2" xfId="1625"/>
    <cellStyle name="Note 7 2 5" xfId="1626"/>
    <cellStyle name="Note 7 3" xfId="1627"/>
    <cellStyle name="Note 7 3 2" xfId="1628"/>
    <cellStyle name="Note 7 3 2 2" xfId="1629"/>
    <cellStyle name="Note 7 3 2 2 2" xfId="1630"/>
    <cellStyle name="Note 7 3 2 2 2 2" xfId="1631"/>
    <cellStyle name="Note 7 3 2 2 3" xfId="1632"/>
    <cellStyle name="Note 7 3 2 3" xfId="1633"/>
    <cellStyle name="Note 7 3 2 3 2" xfId="1634"/>
    <cellStyle name="Note 7 3 2 4" xfId="1635"/>
    <cellStyle name="Note 7 3 3" xfId="1636"/>
    <cellStyle name="Note 7 3 3 2" xfId="1637"/>
    <cellStyle name="Note 7 3 3 2 2" xfId="1638"/>
    <cellStyle name="Note 7 3 3 3" xfId="1639"/>
    <cellStyle name="Note 7 3 4" xfId="1640"/>
    <cellStyle name="Note 7 3 4 2" xfId="1641"/>
    <cellStyle name="Note 7 3 5" xfId="1642"/>
    <cellStyle name="Note 7 4" xfId="1643"/>
    <cellStyle name="Note 7 4 2" xfId="1644"/>
    <cellStyle name="Note 7 4 2 2" xfId="1645"/>
    <cellStyle name="Note 7 4 2 2 2" xfId="1646"/>
    <cellStyle name="Note 7 4 2 2 2 2" xfId="1647"/>
    <cellStyle name="Note 7 4 2 2 3" xfId="1648"/>
    <cellStyle name="Note 7 4 2 3" xfId="1649"/>
    <cellStyle name="Note 7 4 2 3 2" xfId="1650"/>
    <cellStyle name="Note 7 4 2 4" xfId="1651"/>
    <cellStyle name="Note 7 4 3" xfId="1652"/>
    <cellStyle name="Note 7 4 3 2" xfId="1653"/>
    <cellStyle name="Note 7 4 3 2 2" xfId="1654"/>
    <cellStyle name="Note 7 4 3 3" xfId="1655"/>
    <cellStyle name="Note 7 4 4" xfId="1656"/>
    <cellStyle name="Note 7 4 4 2" xfId="1657"/>
    <cellStyle name="Note 7 4 5" xfId="1658"/>
    <cellStyle name="Note 7 5" xfId="1659"/>
    <cellStyle name="Note 7 5 2" xfId="1660"/>
    <cellStyle name="Note 7 5 2 2" xfId="1661"/>
    <cellStyle name="Note 7 5 2 2 2" xfId="1662"/>
    <cellStyle name="Note 7 5 2 2 2 2" xfId="1663"/>
    <cellStyle name="Note 7 5 2 2 3" xfId="1664"/>
    <cellStyle name="Note 7 5 2 3" xfId="1665"/>
    <cellStyle name="Note 7 5 2 3 2" xfId="1666"/>
    <cellStyle name="Note 7 5 2 4" xfId="1667"/>
    <cellStyle name="Note 7 5 3" xfId="1668"/>
    <cellStyle name="Note 7 5 3 2" xfId="1669"/>
    <cellStyle name="Note 7 5 3 2 2" xfId="1670"/>
    <cellStyle name="Note 7 5 3 3" xfId="1671"/>
    <cellStyle name="Note 7 5 4" xfId="1672"/>
    <cellStyle name="Note 7 5 4 2" xfId="1673"/>
    <cellStyle name="Note 7 5 5" xfId="1674"/>
    <cellStyle name="Note 7 6" xfId="1675"/>
    <cellStyle name="Note 7 6 2" xfId="1676"/>
    <cellStyle name="Note 7 6 2 2" xfId="1677"/>
    <cellStyle name="Note 7 6 2 2 2" xfId="1678"/>
    <cellStyle name="Note 7 6 2 2 2 2" xfId="1679"/>
    <cellStyle name="Note 7 6 2 2 3" xfId="1680"/>
    <cellStyle name="Note 7 6 2 3" xfId="1681"/>
    <cellStyle name="Note 7 6 2 3 2" xfId="1682"/>
    <cellStyle name="Note 7 6 2 4" xfId="1683"/>
    <cellStyle name="Note 7 6 3" xfId="1684"/>
    <cellStyle name="Note 7 6 3 2" xfId="1685"/>
    <cellStyle name="Note 7 6 3 2 2" xfId="1686"/>
    <cellStyle name="Note 7 6 3 3" xfId="1687"/>
    <cellStyle name="Note 7 6 4" xfId="1688"/>
    <cellStyle name="Note 7 6 4 2" xfId="1689"/>
    <cellStyle name="Note 7 6 5" xfId="1690"/>
    <cellStyle name="Note 7 7" xfId="1691"/>
    <cellStyle name="Note 7 7 2" xfId="1692"/>
    <cellStyle name="Note 7 7 2 2" xfId="1693"/>
    <cellStyle name="Note 7 7 2 2 2" xfId="1694"/>
    <cellStyle name="Note 7 7 2 2 2 2" xfId="1695"/>
    <cellStyle name="Note 7 7 2 2 3" xfId="1696"/>
    <cellStyle name="Note 7 7 2 3" xfId="1697"/>
    <cellStyle name="Note 7 7 2 3 2" xfId="1698"/>
    <cellStyle name="Note 7 7 2 4" xfId="1699"/>
    <cellStyle name="Note 7 7 3" xfId="1700"/>
    <cellStyle name="Note 7 7 3 2" xfId="1701"/>
    <cellStyle name="Note 7 7 3 2 2" xfId="1702"/>
    <cellStyle name="Note 7 7 3 3" xfId="1703"/>
    <cellStyle name="Note 7 7 4" xfId="1704"/>
    <cellStyle name="Note 7 7 4 2" xfId="1705"/>
    <cellStyle name="Note 7 7 5" xfId="1706"/>
    <cellStyle name="Note 7 8" xfId="1707"/>
    <cellStyle name="Note 7 8 2" xfId="1708"/>
    <cellStyle name="Note 7 8 2 2" xfId="1709"/>
    <cellStyle name="Note 7 8 2 2 2" xfId="1710"/>
    <cellStyle name="Note 7 8 2 2 2 2" xfId="1711"/>
    <cellStyle name="Note 7 8 2 2 3" xfId="1712"/>
    <cellStyle name="Note 7 8 2 3" xfId="1713"/>
    <cellStyle name="Note 7 8 2 3 2" xfId="1714"/>
    <cellStyle name="Note 7 8 2 4" xfId="1715"/>
    <cellStyle name="Note 7 8 3" xfId="1716"/>
    <cellStyle name="Note 7 8 3 2" xfId="1717"/>
    <cellStyle name="Note 7 8 3 2 2" xfId="1718"/>
    <cellStyle name="Note 7 8 3 3" xfId="1719"/>
    <cellStyle name="Note 7 8 4" xfId="1720"/>
    <cellStyle name="Note 7 8 4 2" xfId="1721"/>
    <cellStyle name="Note 7 8 5" xfId="1722"/>
    <cellStyle name="Note 8 2" xfId="1723"/>
    <cellStyle name="Note 8 2 2" xfId="1724"/>
    <cellStyle name="Note 8 2 2 2" xfId="1725"/>
    <cellStyle name="Note 8 2 2 2 2" xfId="1726"/>
    <cellStyle name="Note 8 2 2 2 2 2" xfId="1727"/>
    <cellStyle name="Note 8 2 2 2 3" xfId="1728"/>
    <cellStyle name="Note 8 2 2 3" xfId="1729"/>
    <cellStyle name="Note 8 2 2 3 2" xfId="1730"/>
    <cellStyle name="Note 8 2 2 4" xfId="1731"/>
    <cellStyle name="Note 8 2 3" xfId="1732"/>
    <cellStyle name="Note 8 2 3 2" xfId="1733"/>
    <cellStyle name="Note 8 2 3 2 2" xfId="1734"/>
    <cellStyle name="Note 8 2 3 3" xfId="1735"/>
    <cellStyle name="Note 8 2 4" xfId="1736"/>
    <cellStyle name="Note 8 2 4 2" xfId="1737"/>
    <cellStyle name="Note 8 2 5" xfId="1738"/>
    <cellStyle name="Note 8 3" xfId="1739"/>
    <cellStyle name="Note 8 3 2" xfId="1740"/>
    <cellStyle name="Note 8 3 2 2" xfId="1741"/>
    <cellStyle name="Note 8 3 2 2 2" xfId="1742"/>
    <cellStyle name="Note 8 3 2 2 2 2" xfId="1743"/>
    <cellStyle name="Note 8 3 2 2 3" xfId="1744"/>
    <cellStyle name="Note 8 3 2 3" xfId="1745"/>
    <cellStyle name="Note 8 3 2 3 2" xfId="1746"/>
    <cellStyle name="Note 8 3 2 4" xfId="1747"/>
    <cellStyle name="Note 8 3 3" xfId="1748"/>
    <cellStyle name="Note 8 3 3 2" xfId="1749"/>
    <cellStyle name="Note 8 3 3 2 2" xfId="1750"/>
    <cellStyle name="Note 8 3 3 3" xfId="1751"/>
    <cellStyle name="Note 8 3 4" xfId="1752"/>
    <cellStyle name="Note 8 3 4 2" xfId="1753"/>
    <cellStyle name="Note 8 3 5" xfId="1754"/>
    <cellStyle name="Note 8 4" xfId="1755"/>
    <cellStyle name="Note 8 4 2" xfId="1756"/>
    <cellStyle name="Note 8 4 2 2" xfId="1757"/>
    <cellStyle name="Note 8 4 2 2 2" xfId="1758"/>
    <cellStyle name="Note 8 4 2 2 2 2" xfId="1759"/>
    <cellStyle name="Note 8 4 2 2 3" xfId="1760"/>
    <cellStyle name="Note 8 4 2 3" xfId="1761"/>
    <cellStyle name="Note 8 4 2 3 2" xfId="1762"/>
    <cellStyle name="Note 8 4 2 4" xfId="1763"/>
    <cellStyle name="Note 8 4 3" xfId="1764"/>
    <cellStyle name="Note 8 4 3 2" xfId="1765"/>
    <cellStyle name="Note 8 4 3 2 2" xfId="1766"/>
    <cellStyle name="Note 8 4 3 3" xfId="1767"/>
    <cellStyle name="Note 8 4 4" xfId="1768"/>
    <cellStyle name="Note 8 4 4 2" xfId="1769"/>
    <cellStyle name="Note 8 4 5" xfId="1770"/>
    <cellStyle name="Note 8 5" xfId="1771"/>
    <cellStyle name="Note 8 5 2" xfId="1772"/>
    <cellStyle name="Note 8 5 2 2" xfId="1773"/>
    <cellStyle name="Note 8 5 2 2 2" xfId="1774"/>
    <cellStyle name="Note 8 5 2 2 2 2" xfId="1775"/>
    <cellStyle name="Note 8 5 2 2 3" xfId="1776"/>
    <cellStyle name="Note 8 5 2 3" xfId="1777"/>
    <cellStyle name="Note 8 5 2 3 2" xfId="1778"/>
    <cellStyle name="Note 8 5 2 4" xfId="1779"/>
    <cellStyle name="Note 8 5 3" xfId="1780"/>
    <cellStyle name="Note 8 5 3 2" xfId="1781"/>
    <cellStyle name="Note 8 5 3 2 2" xfId="1782"/>
    <cellStyle name="Note 8 5 3 3" xfId="1783"/>
    <cellStyle name="Note 8 5 4" xfId="1784"/>
    <cellStyle name="Note 8 5 4 2" xfId="1785"/>
    <cellStyle name="Note 8 5 5" xfId="1786"/>
    <cellStyle name="Note 8 6" xfId="1787"/>
    <cellStyle name="Note 8 6 2" xfId="1788"/>
    <cellStyle name="Note 8 6 2 2" xfId="1789"/>
    <cellStyle name="Note 8 6 2 2 2" xfId="1790"/>
    <cellStyle name="Note 8 6 2 2 2 2" xfId="1791"/>
    <cellStyle name="Note 8 6 2 2 3" xfId="1792"/>
    <cellStyle name="Note 8 6 2 3" xfId="1793"/>
    <cellStyle name="Note 8 6 2 3 2" xfId="1794"/>
    <cellStyle name="Note 8 6 2 4" xfId="1795"/>
    <cellStyle name="Note 8 6 3" xfId="1796"/>
    <cellStyle name="Note 8 6 3 2" xfId="1797"/>
    <cellStyle name="Note 8 6 3 2 2" xfId="1798"/>
    <cellStyle name="Note 8 6 3 3" xfId="1799"/>
    <cellStyle name="Note 8 6 4" xfId="1800"/>
    <cellStyle name="Note 8 6 4 2" xfId="1801"/>
    <cellStyle name="Note 8 6 5" xfId="1802"/>
    <cellStyle name="Note 8 7" xfId="1803"/>
    <cellStyle name="Note 8 7 2" xfId="1804"/>
    <cellStyle name="Note 8 7 2 2" xfId="1805"/>
    <cellStyle name="Note 8 7 2 2 2" xfId="1806"/>
    <cellStyle name="Note 8 7 2 2 2 2" xfId="1807"/>
    <cellStyle name="Note 8 7 2 2 3" xfId="1808"/>
    <cellStyle name="Note 8 7 2 3" xfId="1809"/>
    <cellStyle name="Note 8 7 2 3 2" xfId="1810"/>
    <cellStyle name="Note 8 7 2 4" xfId="1811"/>
    <cellStyle name="Note 8 7 3" xfId="1812"/>
    <cellStyle name="Note 8 7 3 2" xfId="1813"/>
    <cellStyle name="Note 8 7 3 2 2" xfId="1814"/>
    <cellStyle name="Note 8 7 3 3" xfId="1815"/>
    <cellStyle name="Note 8 7 4" xfId="1816"/>
    <cellStyle name="Note 8 7 4 2" xfId="1817"/>
    <cellStyle name="Note 8 7 5" xfId="1818"/>
    <cellStyle name="Note 8 8" xfId="1819"/>
    <cellStyle name="Note 8 8 2" xfId="1820"/>
    <cellStyle name="Note 8 8 2 2" xfId="1821"/>
    <cellStyle name="Note 8 8 2 2 2" xfId="1822"/>
    <cellStyle name="Note 8 8 2 2 2 2" xfId="1823"/>
    <cellStyle name="Note 8 8 2 2 3" xfId="1824"/>
    <cellStyle name="Note 8 8 2 3" xfId="1825"/>
    <cellStyle name="Note 8 8 2 3 2" xfId="1826"/>
    <cellStyle name="Note 8 8 2 4" xfId="1827"/>
    <cellStyle name="Note 8 8 3" xfId="1828"/>
    <cellStyle name="Note 8 8 3 2" xfId="1829"/>
    <cellStyle name="Note 8 8 3 2 2" xfId="1830"/>
    <cellStyle name="Note 8 8 3 3" xfId="1831"/>
    <cellStyle name="Note 8 8 4" xfId="1832"/>
    <cellStyle name="Note 8 8 4 2" xfId="1833"/>
    <cellStyle name="Note 8 8 5" xfId="1834"/>
    <cellStyle name="Note 9 2" xfId="1835"/>
    <cellStyle name="Note 9 2 2" xfId="1836"/>
    <cellStyle name="Note 9 2 2 2" xfId="1837"/>
    <cellStyle name="Note 9 2 2 2 2" xfId="1838"/>
    <cellStyle name="Note 9 2 2 2 2 2" xfId="1839"/>
    <cellStyle name="Note 9 2 2 2 3" xfId="1840"/>
    <cellStyle name="Note 9 2 2 3" xfId="1841"/>
    <cellStyle name="Note 9 2 2 3 2" xfId="1842"/>
    <cellStyle name="Note 9 2 2 4" xfId="1843"/>
    <cellStyle name="Note 9 2 3" xfId="1844"/>
    <cellStyle name="Note 9 2 3 2" xfId="1845"/>
    <cellStyle name="Note 9 2 3 2 2" xfId="1846"/>
    <cellStyle name="Note 9 2 3 3" xfId="1847"/>
    <cellStyle name="Note 9 2 4" xfId="1848"/>
    <cellStyle name="Note 9 2 4 2" xfId="1849"/>
    <cellStyle name="Note 9 2 5" xfId="1850"/>
    <cellStyle name="Note 9 3" xfId="1851"/>
    <cellStyle name="Note 9 3 2" xfId="1852"/>
    <cellStyle name="Note 9 3 2 2" xfId="1853"/>
    <cellStyle name="Note 9 3 2 2 2" xfId="1854"/>
    <cellStyle name="Note 9 3 2 2 2 2" xfId="1855"/>
    <cellStyle name="Note 9 3 2 2 3" xfId="1856"/>
    <cellStyle name="Note 9 3 2 3" xfId="1857"/>
    <cellStyle name="Note 9 3 2 3 2" xfId="1858"/>
    <cellStyle name="Note 9 3 2 4" xfId="1859"/>
    <cellStyle name="Note 9 3 3" xfId="1860"/>
    <cellStyle name="Note 9 3 3 2" xfId="1861"/>
    <cellStyle name="Note 9 3 3 2 2" xfId="1862"/>
    <cellStyle name="Note 9 3 3 3" xfId="1863"/>
    <cellStyle name="Note 9 3 4" xfId="1864"/>
    <cellStyle name="Note 9 3 4 2" xfId="1865"/>
    <cellStyle name="Note 9 3 5" xfId="1866"/>
    <cellStyle name="Note 9 4" xfId="1867"/>
    <cellStyle name="Note 9 4 2" xfId="1868"/>
    <cellStyle name="Note 9 4 2 2" xfId="1869"/>
    <cellStyle name="Note 9 4 2 2 2" xfId="1870"/>
    <cellStyle name="Note 9 4 2 2 2 2" xfId="1871"/>
    <cellStyle name="Note 9 4 2 2 3" xfId="1872"/>
    <cellStyle name="Note 9 4 2 3" xfId="1873"/>
    <cellStyle name="Note 9 4 2 3 2" xfId="1874"/>
    <cellStyle name="Note 9 4 2 4" xfId="1875"/>
    <cellStyle name="Note 9 4 3" xfId="1876"/>
    <cellStyle name="Note 9 4 3 2" xfId="1877"/>
    <cellStyle name="Note 9 4 3 2 2" xfId="1878"/>
    <cellStyle name="Note 9 4 3 3" xfId="1879"/>
    <cellStyle name="Note 9 4 4" xfId="1880"/>
    <cellStyle name="Note 9 4 4 2" xfId="1881"/>
    <cellStyle name="Note 9 4 5" xfId="1882"/>
    <cellStyle name="Note 9 5" xfId="1883"/>
    <cellStyle name="Note 9 5 2" xfId="1884"/>
    <cellStyle name="Note 9 5 2 2" xfId="1885"/>
    <cellStyle name="Note 9 5 2 2 2" xfId="1886"/>
    <cellStyle name="Note 9 5 2 2 2 2" xfId="1887"/>
    <cellStyle name="Note 9 5 2 2 3" xfId="1888"/>
    <cellStyle name="Note 9 5 2 3" xfId="1889"/>
    <cellStyle name="Note 9 5 2 3 2" xfId="1890"/>
    <cellStyle name="Note 9 5 2 4" xfId="1891"/>
    <cellStyle name="Note 9 5 3" xfId="1892"/>
    <cellStyle name="Note 9 5 3 2" xfId="1893"/>
    <cellStyle name="Note 9 5 3 2 2" xfId="1894"/>
    <cellStyle name="Note 9 5 3 3" xfId="1895"/>
    <cellStyle name="Note 9 5 4" xfId="1896"/>
    <cellStyle name="Note 9 5 4 2" xfId="1897"/>
    <cellStyle name="Note 9 5 5" xfId="1898"/>
    <cellStyle name="Note 9 6" xfId="1899"/>
    <cellStyle name="Note 9 6 2" xfId="1900"/>
    <cellStyle name="Note 9 6 2 2" xfId="1901"/>
    <cellStyle name="Note 9 6 2 2 2" xfId="1902"/>
    <cellStyle name="Note 9 6 2 2 2 2" xfId="1903"/>
    <cellStyle name="Note 9 6 2 2 3" xfId="1904"/>
    <cellStyle name="Note 9 6 2 3" xfId="1905"/>
    <cellStyle name="Note 9 6 2 3 2" xfId="1906"/>
    <cellStyle name="Note 9 6 2 4" xfId="1907"/>
    <cellStyle name="Note 9 6 3" xfId="1908"/>
    <cellStyle name="Note 9 6 3 2" xfId="1909"/>
    <cellStyle name="Note 9 6 3 2 2" xfId="1910"/>
    <cellStyle name="Note 9 6 3 3" xfId="1911"/>
    <cellStyle name="Note 9 6 4" xfId="1912"/>
    <cellStyle name="Note 9 6 4 2" xfId="1913"/>
    <cellStyle name="Note 9 6 5" xfId="1914"/>
    <cellStyle name="Note 9 7" xfId="1915"/>
    <cellStyle name="Note 9 7 2" xfId="1916"/>
    <cellStyle name="Note 9 7 2 2" xfId="1917"/>
    <cellStyle name="Note 9 7 2 2 2" xfId="1918"/>
    <cellStyle name="Note 9 7 2 2 2 2" xfId="1919"/>
    <cellStyle name="Note 9 7 2 2 3" xfId="1920"/>
    <cellStyle name="Note 9 7 2 3" xfId="1921"/>
    <cellStyle name="Note 9 7 2 3 2" xfId="1922"/>
    <cellStyle name="Note 9 7 2 4" xfId="1923"/>
    <cellStyle name="Note 9 7 3" xfId="1924"/>
    <cellStyle name="Note 9 7 3 2" xfId="1925"/>
    <cellStyle name="Note 9 7 3 2 2" xfId="1926"/>
    <cellStyle name="Note 9 7 3 3" xfId="1927"/>
    <cellStyle name="Note 9 7 4" xfId="1928"/>
    <cellStyle name="Note 9 7 4 2" xfId="1929"/>
    <cellStyle name="Note 9 7 5" xfId="1930"/>
    <cellStyle name="Note 9 8" xfId="1931"/>
    <cellStyle name="Note 9 8 2" xfId="1932"/>
    <cellStyle name="Note 9 8 2 2" xfId="1933"/>
    <cellStyle name="Note 9 8 2 2 2" xfId="1934"/>
    <cellStyle name="Note 9 8 2 2 2 2" xfId="1935"/>
    <cellStyle name="Note 9 8 2 2 3" xfId="1936"/>
    <cellStyle name="Note 9 8 2 3" xfId="1937"/>
    <cellStyle name="Note 9 8 2 3 2" xfId="1938"/>
    <cellStyle name="Note 9 8 2 4" xfId="1939"/>
    <cellStyle name="Note 9 8 3" xfId="1940"/>
    <cellStyle name="Note 9 8 3 2" xfId="1941"/>
    <cellStyle name="Note 9 8 3 2 2" xfId="1942"/>
    <cellStyle name="Note 9 8 3 3" xfId="1943"/>
    <cellStyle name="Note 9 8 4" xfId="1944"/>
    <cellStyle name="Note 9 8 4 2" xfId="1945"/>
    <cellStyle name="Note 9 8 5" xfId="1946"/>
    <cellStyle name="notes" xfId="1947"/>
    <cellStyle name="Otsikko" xfId="1948"/>
    <cellStyle name="Otsikko 1" xfId="1949"/>
    <cellStyle name="Otsikko 2" xfId="1950"/>
    <cellStyle name="Otsikko 3" xfId="1951"/>
    <cellStyle name="Otsikko 4" xfId="1952"/>
    <cellStyle name="Output 2" xfId="1953"/>
    <cellStyle name="Output 3" xfId="1954"/>
    <cellStyle name="Output 4" xfId="1955"/>
    <cellStyle name="Output 5" xfId="1956"/>
    <cellStyle name="Percent" xfId="1" builtinId="5"/>
    <cellStyle name="Percent [2]" xfId="1957"/>
    <cellStyle name="Percent 2" xfId="1958"/>
    <cellStyle name="Percent 2 2" xfId="1959"/>
    <cellStyle name="Percent 2 2 2" xfId="1960"/>
    <cellStyle name="Percent 2 2 2 2" xfId="1961"/>
    <cellStyle name="Percent 2 2 2 2 2" xfId="1962"/>
    <cellStyle name="Percent 2 2 2 2 3" xfId="1963"/>
    <cellStyle name="Percent 2 2 2 3" xfId="1964"/>
    <cellStyle name="Percent 2 2 2 3 2" xfId="1965"/>
    <cellStyle name="Percent 2 2 2 3 3" xfId="1966"/>
    <cellStyle name="Percent 2 2 2 4" xfId="1967"/>
    <cellStyle name="Percent 2 2 2 4 2" xfId="1968"/>
    <cellStyle name="Percent 2 2 2 4 3" xfId="1969"/>
    <cellStyle name="Percent 2 2 2 5" xfId="1970"/>
    <cellStyle name="Percent 2 2 2 5 2" xfId="1971"/>
    <cellStyle name="Percent 2 2 2 6" xfId="1972"/>
    <cellStyle name="Percent 2 2 2 7" xfId="1973"/>
    <cellStyle name="Percent 2 2 3" xfId="1974"/>
    <cellStyle name="Percent 2 2 3 2" xfId="1975"/>
    <cellStyle name="Percent 2 2 3 3" xfId="1976"/>
    <cellStyle name="Percent 2 2 4" xfId="1977"/>
    <cellStyle name="Percent 2 2 5" xfId="1978"/>
    <cellStyle name="Percent 2 2 6" xfId="1979"/>
    <cellStyle name="Percent 2 3" xfId="1980"/>
    <cellStyle name="Percent 2 3 2" xfId="1981"/>
    <cellStyle name="Percent 2 3 2 2" xfId="1982"/>
    <cellStyle name="Percent 2 3 2 3" xfId="1983"/>
    <cellStyle name="Percent 2 3 3" xfId="1984"/>
    <cellStyle name="Percent 2 3 3 2" xfId="1985"/>
    <cellStyle name="Percent 2 3 3 3" xfId="1986"/>
    <cellStyle name="Percent 2 3 4" xfId="1987"/>
    <cellStyle name="Percent 2 3 4 2" xfId="1988"/>
    <cellStyle name="Percent 2 3 4 3" xfId="1989"/>
    <cellStyle name="Percent 2 3 5" xfId="1990"/>
    <cellStyle name="Percent 2 3 5 2" xfId="1991"/>
    <cellStyle name="Percent 2 3 6" xfId="1992"/>
    <cellStyle name="Percent 2 3 7" xfId="1993"/>
    <cellStyle name="Percent 2 4" xfId="1994"/>
    <cellStyle name="Percent 2 5" xfId="1995"/>
    <cellStyle name="Percent 3" xfId="1996"/>
    <cellStyle name="Percent 3 2" xfId="1997"/>
    <cellStyle name="Percent 4" xfId="1998"/>
    <cellStyle name="Percent 4 3" xfId="1999"/>
    <cellStyle name="Percent 5" xfId="2000"/>
    <cellStyle name="Percent 6" xfId="2001"/>
    <cellStyle name="Percent 7" xfId="2002"/>
    <cellStyle name="Percent 8" xfId="2003"/>
    <cellStyle name="Prozent_SubCatperStud" xfId="2004"/>
    <cellStyle name="row" xfId="2005"/>
    <cellStyle name="RowCodes" xfId="2006"/>
    <cellStyle name="Row-Col Headings" xfId="2007"/>
    <cellStyle name="RowTitles" xfId="2008"/>
    <cellStyle name="RowTitles1-Detail" xfId="2009"/>
    <cellStyle name="RowTitles-Col2" xfId="2010"/>
    <cellStyle name="RowTitles-Detail" xfId="2011"/>
    <cellStyle name="Selittävä teksti" xfId="2012"/>
    <cellStyle name="semestre" xfId="2013"/>
    <cellStyle name="Standaard_Blad1" xfId="2014"/>
    <cellStyle name="Standard_DIAGRAM" xfId="2015"/>
    <cellStyle name="style1385405148933" xfId="2016"/>
    <cellStyle name="style1385405148933 2" xfId="2017"/>
    <cellStyle name="style1385405149076" xfId="2018"/>
    <cellStyle name="style1385405149076 2" xfId="2019"/>
    <cellStyle name="style1385405149223" xfId="2020"/>
    <cellStyle name="style1385405149223 2" xfId="2021"/>
    <cellStyle name="style1385405149283" xfId="2022"/>
    <cellStyle name="style1385405149283 2" xfId="2023"/>
    <cellStyle name="style1385405149397" xfId="2024"/>
    <cellStyle name="style1385405149397 2" xfId="2025"/>
    <cellStyle name="style1385405149444" xfId="2026"/>
    <cellStyle name="style1385405149444 2" xfId="2027"/>
    <cellStyle name="style1385405149499" xfId="2028"/>
    <cellStyle name="style1385405149499 2" xfId="2029"/>
    <cellStyle name="style1385405149705" xfId="2030"/>
    <cellStyle name="style1385405149705 2" xfId="2031"/>
    <cellStyle name="style1385405150407" xfId="2032"/>
    <cellStyle name="style1385405150407 2" xfId="2033"/>
    <cellStyle name="style1385405150569" xfId="2034"/>
    <cellStyle name="style1385405150569 2" xfId="2035"/>
    <cellStyle name="style1385405150630" xfId="2036"/>
    <cellStyle name="style1385405150630 2" xfId="2037"/>
    <cellStyle name="style1385405150671" xfId="2038"/>
    <cellStyle name="style1385405150671 2" xfId="2039"/>
    <cellStyle name="style1385405150715" xfId="2040"/>
    <cellStyle name="style1385405150715 2" xfId="2041"/>
    <cellStyle name="style1385405150775" xfId="2042"/>
    <cellStyle name="style1385405150775 2" xfId="2043"/>
    <cellStyle name="style1385405150865" xfId="2044"/>
    <cellStyle name="style1385405150865 2" xfId="2045"/>
    <cellStyle name="style1385405150905" xfId="2046"/>
    <cellStyle name="style1385405150905 2" xfId="2047"/>
    <cellStyle name="style1385405150954" xfId="2048"/>
    <cellStyle name="style1385405150954 2" xfId="2049"/>
    <cellStyle name="style1385405150999" xfId="2050"/>
    <cellStyle name="style1385405150999 2" xfId="2051"/>
    <cellStyle name="style1385405151067" xfId="2052"/>
    <cellStyle name="style1385405151067 2" xfId="2053"/>
    <cellStyle name="style1385405151102" xfId="2054"/>
    <cellStyle name="style1385405151102 2" xfId="2055"/>
    <cellStyle name="style1385405151139" xfId="2056"/>
    <cellStyle name="style1385405151139 2" xfId="2057"/>
    <cellStyle name="style1385405151175" xfId="2058"/>
    <cellStyle name="style1385405151175 2" xfId="2059"/>
    <cellStyle name="style1385405151278" xfId="2060"/>
    <cellStyle name="style1385405151278 2" xfId="2061"/>
    <cellStyle name="style1385405151367" xfId="2062"/>
    <cellStyle name="style1385405151367 2" xfId="2063"/>
    <cellStyle name="style1385405151419" xfId="2064"/>
    <cellStyle name="style1385405151419 2" xfId="2065"/>
    <cellStyle name="style1385405255138" xfId="2066"/>
    <cellStyle name="style1385405255138 2" xfId="2067"/>
    <cellStyle name="style1385405255190" xfId="2068"/>
    <cellStyle name="style1385405255190 2" xfId="2069"/>
    <cellStyle name="style1385405255269" xfId="2070"/>
    <cellStyle name="style1385405255269 2" xfId="2071"/>
    <cellStyle name="style1385405255306" xfId="2072"/>
    <cellStyle name="style1385405255306 2" xfId="2073"/>
    <cellStyle name="style1385405255494" xfId="2074"/>
    <cellStyle name="style1385405255494 2" xfId="2075"/>
    <cellStyle name="style1385405255537" xfId="2076"/>
    <cellStyle name="style1385405255537 2" xfId="2077"/>
    <cellStyle name="style1385405255613" xfId="2078"/>
    <cellStyle name="style1385405255613 2" xfId="2079"/>
    <cellStyle name="style1385405255655" xfId="2080"/>
    <cellStyle name="style1385405255655 2" xfId="2081"/>
    <cellStyle name="style1385405256250" xfId="2082"/>
    <cellStyle name="style1385405256250 2" xfId="2083"/>
    <cellStyle name="style1385405256394" xfId="2084"/>
    <cellStyle name="style1385405256394 2" xfId="2085"/>
    <cellStyle name="style1385405256444" xfId="2086"/>
    <cellStyle name="style1385405256444 2" xfId="2087"/>
    <cellStyle name="style1385405256477" xfId="2088"/>
    <cellStyle name="style1385405256477 2" xfId="2089"/>
    <cellStyle name="style1385405256513" xfId="2090"/>
    <cellStyle name="style1385405256513 2" xfId="2091"/>
    <cellStyle name="style1385405256561" xfId="2092"/>
    <cellStyle name="style1385405256561 2" xfId="2093"/>
    <cellStyle name="style1385405256599" xfId="2094"/>
    <cellStyle name="style1385405256599 2" xfId="2095"/>
    <cellStyle name="style1385405256632" xfId="2096"/>
    <cellStyle name="style1385405256632 2" xfId="2097"/>
    <cellStyle name="style1385405256674" xfId="2098"/>
    <cellStyle name="style1385405256674 2" xfId="2099"/>
    <cellStyle name="style1385405256707" xfId="2100"/>
    <cellStyle name="style1385405256707 2" xfId="2101"/>
    <cellStyle name="style1385405256810" xfId="2102"/>
    <cellStyle name="style1385405256810 2" xfId="2103"/>
    <cellStyle name="style1385405256843" xfId="2104"/>
    <cellStyle name="style1385405256843 2" xfId="2105"/>
    <cellStyle name="style1385405256877" xfId="2106"/>
    <cellStyle name="style1385405256877 2" xfId="2107"/>
    <cellStyle name="style1385405256910" xfId="2108"/>
    <cellStyle name="style1385405256910 2" xfId="2109"/>
    <cellStyle name="style1385405257003" xfId="2110"/>
    <cellStyle name="style1385405257003 2" xfId="2111"/>
    <cellStyle name="style1385405331479" xfId="2112"/>
    <cellStyle name="style1385405331479 2" xfId="2113"/>
    <cellStyle name="style1385405331583" xfId="2114"/>
    <cellStyle name="style1385405331583 2" xfId="2115"/>
    <cellStyle name="style1385405331666" xfId="2116"/>
    <cellStyle name="style1385405331666 2" xfId="2117"/>
    <cellStyle name="style1385405331703" xfId="2118"/>
    <cellStyle name="style1385405331703 2" xfId="2119"/>
    <cellStyle name="style1385405331887" xfId="2120"/>
    <cellStyle name="style1385405331887 2" xfId="2121"/>
    <cellStyle name="style1385405331930" xfId="2122"/>
    <cellStyle name="style1385405331930 2" xfId="2123"/>
    <cellStyle name="style1385405332006" xfId="2124"/>
    <cellStyle name="style1385405332006 2" xfId="2125"/>
    <cellStyle name="style1385405332049" xfId="2126"/>
    <cellStyle name="style1385405332049 2" xfId="2127"/>
    <cellStyle name="style1385405332647" xfId="2128"/>
    <cellStyle name="style1385405332647 2" xfId="2129"/>
    <cellStyle name="style1385405332790" xfId="2130"/>
    <cellStyle name="style1385405332790 2" xfId="2131"/>
    <cellStyle name="style1385405332841" xfId="2132"/>
    <cellStyle name="style1385405332841 2" xfId="2133"/>
    <cellStyle name="style1385405332875" xfId="2134"/>
    <cellStyle name="style1385405332875 2" xfId="2135"/>
    <cellStyle name="style1385405332909" xfId="2136"/>
    <cellStyle name="style1385405332909 2" xfId="2137"/>
    <cellStyle name="style1385405332958" xfId="2138"/>
    <cellStyle name="style1385405332958 2" xfId="2139"/>
    <cellStyle name="style1385405332993" xfId="2140"/>
    <cellStyle name="style1385405332993 2" xfId="2141"/>
    <cellStyle name="style1385405333075" xfId="2142"/>
    <cellStyle name="style1385405333075 2" xfId="2143"/>
    <cellStyle name="style1385405333116" xfId="2144"/>
    <cellStyle name="style1385405333116 2" xfId="2145"/>
    <cellStyle name="style1385405333148" xfId="2146"/>
    <cellStyle name="style1385405333148 2" xfId="2147"/>
    <cellStyle name="style1385405333202" xfId="2148"/>
    <cellStyle name="style1385405333202 2" xfId="2149"/>
    <cellStyle name="style1385405333234" xfId="2150"/>
    <cellStyle name="style1385405333234 2" xfId="2151"/>
    <cellStyle name="style1385405333267" xfId="2152"/>
    <cellStyle name="style1385405333267 2" xfId="2153"/>
    <cellStyle name="style1385405333300" xfId="2154"/>
    <cellStyle name="style1385405333300 2" xfId="2155"/>
    <cellStyle name="style1385405333393" xfId="2156"/>
    <cellStyle name="style1385405333393 2" xfId="2157"/>
    <cellStyle name="style1385409613915" xfId="2158"/>
    <cellStyle name="style1385409613915 2" xfId="2159"/>
    <cellStyle name="style1385409614001" xfId="2160"/>
    <cellStyle name="style1385409614001 2" xfId="2161"/>
    <cellStyle name="style1385409614112" xfId="2162"/>
    <cellStyle name="style1385409614112 2" xfId="2163"/>
    <cellStyle name="style1385409614166" xfId="2164"/>
    <cellStyle name="style1385409614166 2" xfId="2165"/>
    <cellStyle name="style1385409614529" xfId="2166"/>
    <cellStyle name="style1385409614529 2" xfId="2167"/>
    <cellStyle name="style1385409614582" xfId="2168"/>
    <cellStyle name="style1385409614582 2" xfId="2169"/>
    <cellStyle name="style1385409614676" xfId="2170"/>
    <cellStyle name="style1385409614676 2" xfId="2171"/>
    <cellStyle name="style1385409614731" xfId="2172"/>
    <cellStyle name="style1385409614731 2" xfId="2173"/>
    <cellStyle name="style1385409615429" xfId="2174"/>
    <cellStyle name="style1385409615429 2" xfId="2175"/>
    <cellStyle name="style1385409615650" xfId="2176"/>
    <cellStyle name="style1385409615650 2" xfId="2177"/>
    <cellStyle name="style1385409615712" xfId="2178"/>
    <cellStyle name="style1385409615712 2" xfId="2179"/>
    <cellStyle name="style1385409615751" xfId="2180"/>
    <cellStyle name="style1385409615751 2" xfId="2181"/>
    <cellStyle name="style1385409615791" xfId="2182"/>
    <cellStyle name="style1385409615791 2" xfId="2183"/>
    <cellStyle name="style1385409615850" xfId="2184"/>
    <cellStyle name="style1385409615850 2" xfId="2185"/>
    <cellStyle name="style1385409615896" xfId="2186"/>
    <cellStyle name="style1385409615896 2" xfId="2187"/>
    <cellStyle name="style1385409615939" xfId="2188"/>
    <cellStyle name="style1385409615939 2" xfId="2189"/>
    <cellStyle name="style1385409615987" xfId="2190"/>
    <cellStyle name="style1385409615987 2" xfId="2191"/>
    <cellStyle name="style1385409616024" xfId="2192"/>
    <cellStyle name="style1385409616024 2" xfId="2193"/>
    <cellStyle name="style1385409616092" xfId="2194"/>
    <cellStyle name="style1385409616092 2" xfId="2195"/>
    <cellStyle name="style1385409616130" xfId="2196"/>
    <cellStyle name="style1385409616130 2" xfId="2197"/>
    <cellStyle name="style1385409616168" xfId="2198"/>
    <cellStyle name="style1385409616168 2" xfId="2199"/>
    <cellStyle name="style1385409616205" xfId="2200"/>
    <cellStyle name="style1385409616205 2" xfId="2201"/>
    <cellStyle name="style1385409616362" xfId="2202"/>
    <cellStyle name="style1385409616362 2" xfId="2203"/>
    <cellStyle name="style1385416960023" xfId="2204"/>
    <cellStyle name="style1385416960023 2" xfId="2205"/>
    <cellStyle name="style1385416960180" xfId="2206"/>
    <cellStyle name="style1385416960180 2" xfId="2207"/>
    <cellStyle name="style1385416960233" xfId="2208"/>
    <cellStyle name="style1385416960233 2" xfId="2209"/>
    <cellStyle name="style1385416960292" xfId="2210"/>
    <cellStyle name="style1385416960292 2" xfId="2211"/>
    <cellStyle name="style1385416960447" xfId="2212"/>
    <cellStyle name="style1385416960447 2" xfId="2213"/>
    <cellStyle name="style1385416960490" xfId="2214"/>
    <cellStyle name="style1385416960490 2" xfId="2215"/>
    <cellStyle name="style1385416960551" xfId="2216"/>
    <cellStyle name="style1385416960551 2" xfId="2217"/>
    <cellStyle name="style1385416960723" xfId="2218"/>
    <cellStyle name="style1385416960723 2" xfId="2219"/>
    <cellStyle name="style1385416961489" xfId="2220"/>
    <cellStyle name="style1385416961489 2" xfId="2221"/>
    <cellStyle name="style1385416961718" xfId="2222"/>
    <cellStyle name="style1385416961718 2" xfId="2223"/>
    <cellStyle name="style1385416961787" xfId="2224"/>
    <cellStyle name="style1385416961787 2" xfId="2225"/>
    <cellStyle name="style1385416961826" xfId="2226"/>
    <cellStyle name="style1385416961826 2" xfId="2227"/>
    <cellStyle name="style1385416961867" xfId="2228"/>
    <cellStyle name="style1385416961867 2" xfId="2229"/>
    <cellStyle name="style1385416961926" xfId="2230"/>
    <cellStyle name="style1385416961926 2" xfId="2231"/>
    <cellStyle name="style1385416962016" xfId="2232"/>
    <cellStyle name="style1385416962016 2" xfId="2233"/>
    <cellStyle name="style1385416962054" xfId="2234"/>
    <cellStyle name="style1385416962054 2" xfId="2235"/>
    <cellStyle name="style1385416962103" xfId="2236"/>
    <cellStyle name="style1385416962103 2" xfId="2237"/>
    <cellStyle name="style1385416962147" xfId="2238"/>
    <cellStyle name="style1385416962147 2" xfId="2239"/>
    <cellStyle name="style1385416962251" xfId="2240"/>
    <cellStyle name="style1385416962251 2" xfId="2241"/>
    <cellStyle name="style1385416962332" xfId="2242"/>
    <cellStyle name="style1385416962332 2" xfId="2243"/>
    <cellStyle name="style1385416962490" xfId="2244"/>
    <cellStyle name="style1385416962490 2" xfId="2245"/>
    <cellStyle name="style1385417012733" xfId="2246"/>
    <cellStyle name="style1385417012733 2" xfId="2247"/>
    <cellStyle name="style1385417012784" xfId="2248"/>
    <cellStyle name="style1385417012784 2" xfId="2249"/>
    <cellStyle name="style1385417012918" xfId="2250"/>
    <cellStyle name="style1385417012918 2" xfId="2251"/>
    <cellStyle name="style1385417012961" xfId="2252"/>
    <cellStyle name="style1385417012961 2" xfId="2253"/>
    <cellStyle name="style1385417013038" xfId="2254"/>
    <cellStyle name="style1385417013038 2" xfId="2255"/>
    <cellStyle name="style1385417013116" xfId="2256"/>
    <cellStyle name="style1385417013116 2" xfId="2257"/>
    <cellStyle name="style1385417013158" xfId="2258"/>
    <cellStyle name="style1385417013158 2" xfId="2259"/>
    <cellStyle name="style1385417013255" xfId="2260"/>
    <cellStyle name="style1385417013255 2" xfId="2261"/>
    <cellStyle name="style1385417013915" xfId="2262"/>
    <cellStyle name="style1385417013915 2" xfId="2263"/>
    <cellStyle name="style1385417014060" xfId="2264"/>
    <cellStyle name="style1385417014060 2" xfId="2265"/>
    <cellStyle name="style1385417014164" xfId="2266"/>
    <cellStyle name="style1385417014164 2" xfId="2267"/>
    <cellStyle name="style1385417014197" xfId="2268"/>
    <cellStyle name="style1385417014197 2" xfId="2269"/>
    <cellStyle name="style1385417014231" xfId="2270"/>
    <cellStyle name="style1385417014231 2" xfId="2271"/>
    <cellStyle name="style1385417014281" xfId="2272"/>
    <cellStyle name="style1385417014281 2" xfId="2273"/>
    <cellStyle name="style1385417014318" xfId="2274"/>
    <cellStyle name="style1385417014318 2" xfId="2275"/>
    <cellStyle name="style1385417014350" xfId="2276"/>
    <cellStyle name="style1385417014350 2" xfId="2277"/>
    <cellStyle name="style1385417014391" xfId="2278"/>
    <cellStyle name="style1385417014391 2" xfId="2279"/>
    <cellStyle name="style1385417014424" xfId="2280"/>
    <cellStyle name="style1385417014424 2" xfId="2281"/>
    <cellStyle name="style1385417014560" xfId="2282"/>
    <cellStyle name="style1385417014560 2" xfId="2283"/>
    <cellStyle name="style1385417014593" xfId="2284"/>
    <cellStyle name="style1385417014593 2" xfId="2285"/>
    <cellStyle name="style1385417014626" xfId="2286"/>
    <cellStyle name="style1385417014626 2" xfId="2287"/>
    <cellStyle name="style1385417014720" xfId="2288"/>
    <cellStyle name="style1385417014720 2" xfId="2289"/>
    <cellStyle name="style1385417014802" xfId="2290"/>
    <cellStyle name="style1385417014802 2" xfId="2291"/>
    <cellStyle name="style1385417014893" xfId="2292"/>
    <cellStyle name="style1385417014893 2" xfId="2293"/>
    <cellStyle name="style1385417051748" xfId="2294"/>
    <cellStyle name="style1385417051748 2" xfId="2295"/>
    <cellStyle name="style1385417051800" xfId="2296"/>
    <cellStyle name="style1385417051800 2" xfId="2297"/>
    <cellStyle name="style1385417051834" xfId="2298"/>
    <cellStyle name="style1385417051834 2" xfId="2299"/>
    <cellStyle name="style1385417051874" xfId="2300"/>
    <cellStyle name="style1385417051874 2" xfId="2301"/>
    <cellStyle name="style1385417051946" xfId="2302"/>
    <cellStyle name="style1385417051946 2" xfId="2303"/>
    <cellStyle name="style1385417051978" xfId="2304"/>
    <cellStyle name="style1385417051978 2" xfId="2305"/>
    <cellStyle name="style1385417052080" xfId="2306"/>
    <cellStyle name="style1385417052080 2" xfId="2307"/>
    <cellStyle name="style1385417052173" xfId="2308"/>
    <cellStyle name="style1385417052173 2" xfId="2309"/>
    <cellStyle name="style1385417052784" xfId="2310"/>
    <cellStyle name="style1385417052784 2" xfId="2311"/>
    <cellStyle name="style1385417052917" xfId="2312"/>
    <cellStyle name="style1385417052917 2" xfId="2313"/>
    <cellStyle name="style1385417052966" xfId="2314"/>
    <cellStyle name="style1385417052966 2" xfId="2315"/>
    <cellStyle name="style1385417052998" xfId="2316"/>
    <cellStyle name="style1385417052998 2" xfId="2317"/>
    <cellStyle name="style1385417053030" xfId="2318"/>
    <cellStyle name="style1385417053030 2" xfId="2319"/>
    <cellStyle name="style1385417053125" xfId="2320"/>
    <cellStyle name="style1385417053125 2" xfId="2321"/>
    <cellStyle name="style1385417053160" xfId="2322"/>
    <cellStyle name="style1385417053160 2" xfId="2323"/>
    <cellStyle name="style1385417053191" xfId="2324"/>
    <cellStyle name="style1385417053191 2" xfId="2325"/>
    <cellStyle name="style1385417053232" xfId="2326"/>
    <cellStyle name="style1385417053232 2" xfId="2327"/>
    <cellStyle name="style1385417053263" xfId="2328"/>
    <cellStyle name="style1385417053263 2" xfId="2329"/>
    <cellStyle name="style1385417053351" xfId="2330"/>
    <cellStyle name="style1385417053351 2" xfId="2331"/>
    <cellStyle name="style1385417053418" xfId="2332"/>
    <cellStyle name="style1385417053418 2" xfId="2333"/>
    <cellStyle name="style1385417053512" xfId="2334"/>
    <cellStyle name="style1385417053512 2" xfId="2335"/>
    <cellStyle name="style1385417053660" xfId="2336"/>
    <cellStyle name="style1385417053660 2" xfId="2337"/>
    <cellStyle name="style1386186017485" xfId="2338"/>
    <cellStyle name="style1386186017485 2" xfId="2339"/>
    <cellStyle name="style1386186017594" xfId="2340"/>
    <cellStyle name="style1386186017594 2" xfId="2341"/>
    <cellStyle name="style1386186017649" xfId="2342"/>
    <cellStyle name="style1386186017649 2" xfId="2343"/>
    <cellStyle name="style1386186017705" xfId="2344"/>
    <cellStyle name="style1386186017705 2" xfId="2345"/>
    <cellStyle name="style1386186017752" xfId="2346"/>
    <cellStyle name="style1386186017752 2" xfId="2347"/>
    <cellStyle name="style1386186017810" xfId="2348"/>
    <cellStyle name="style1386186017810 2" xfId="2349"/>
    <cellStyle name="style1386186017923" xfId="2350"/>
    <cellStyle name="style1386186017923 2" xfId="2351"/>
    <cellStyle name="style1386186017984" xfId="2352"/>
    <cellStyle name="style1386186017984 2" xfId="2353"/>
    <cellStyle name="style1386186018027" xfId="2354"/>
    <cellStyle name="style1386186018027 2" xfId="2355"/>
    <cellStyle name="style1386186018070" xfId="2356"/>
    <cellStyle name="style1386186018070 2" xfId="2357"/>
    <cellStyle name="style1386186018111" xfId="2358"/>
    <cellStyle name="style1386186018111 2" xfId="2359"/>
    <cellStyle name="style1386186018163" xfId="2360"/>
    <cellStyle name="style1386186018163 2" xfId="2361"/>
    <cellStyle name="style1386186018205" xfId="2362"/>
    <cellStyle name="style1386186018205 2" xfId="2363"/>
    <cellStyle name="style1387738024817" xfId="2364"/>
    <cellStyle name="style1387738024992" xfId="2365"/>
    <cellStyle name="style1387738025055" xfId="2366"/>
    <cellStyle name="style1387738025113" xfId="2367"/>
    <cellStyle name="style1387738025488" xfId="2368"/>
    <cellStyle name="style1387738025530" xfId="2369"/>
    <cellStyle name="style1387738025748" xfId="2370"/>
    <cellStyle name="style1387738025786" xfId="2371"/>
    <cellStyle name="style1387738025835" xfId="2372"/>
    <cellStyle name="style1387738025883" xfId="2373"/>
    <cellStyle name="style1387738026028" xfId="2374"/>
    <cellStyle name="style1387738026065" xfId="2375"/>
    <cellStyle name="style1387738026104" xfId="2376"/>
    <cellStyle name="style1387738026145" xfId="2377"/>
    <cellStyle name="style1387738026184" xfId="2378"/>
    <cellStyle name="style1387738026221" xfId="2379"/>
    <cellStyle name="style1387738026539" xfId="2380"/>
    <cellStyle name="style1387738026576" xfId="2381"/>
    <cellStyle name="Sub-titles" xfId="2382"/>
    <cellStyle name="Sub-titles Cols" xfId="2383"/>
    <cellStyle name="Sub-titles rows" xfId="2384"/>
    <cellStyle name="Syöttö" xfId="2385"/>
    <cellStyle name="Table No." xfId="2386"/>
    <cellStyle name="Table Title" xfId="2387"/>
    <cellStyle name="Tarkistussolu" xfId="2388"/>
    <cellStyle name="temp" xfId="2389"/>
    <cellStyle name="tête chapitre" xfId="2390"/>
    <cellStyle name="TEXT" xfId="2391"/>
    <cellStyle name="Title 2" xfId="2392"/>
    <cellStyle name="Title 3" xfId="2393"/>
    <cellStyle name="Title 4" xfId="2394"/>
    <cellStyle name="Title 5" xfId="2395"/>
    <cellStyle name="title1" xfId="2396"/>
    <cellStyle name="Titles" xfId="2397"/>
    <cellStyle name="titre" xfId="2398"/>
    <cellStyle name="Total 2" xfId="2399"/>
    <cellStyle name="Total 3" xfId="2400"/>
    <cellStyle name="Total 4" xfId="2401"/>
    <cellStyle name="Total 5" xfId="2402"/>
    <cellStyle name="Tulostus" xfId="2403"/>
    <cellStyle name="Tusental (0)_Blad2" xfId="2404"/>
    <cellStyle name="Tusental 2" xfId="2405"/>
    <cellStyle name="Tusental_Blad2" xfId="2406"/>
    <cellStyle name="Valuta (0)_Blad2" xfId="2407"/>
    <cellStyle name="Valuta_Blad2" xfId="2408"/>
    <cellStyle name="Varoitusteksti" xfId="2409"/>
    <cellStyle name="Währung [0]_DIAGRAM" xfId="2410"/>
    <cellStyle name="Währung_DIAGRAM" xfId="2411"/>
    <cellStyle name="Warning Text 2" xfId="2412"/>
    <cellStyle name="Warning Text 3" xfId="2413"/>
    <cellStyle name="Warning Text 4" xfId="2414"/>
    <cellStyle name="Warning Text 5" xfId="2415"/>
    <cellStyle name="Wrapped" xfId="2416"/>
    <cellStyle name="アクセント 1" xfId="2417"/>
    <cellStyle name="アクセント 2" xfId="2418"/>
    <cellStyle name="アクセント 3" xfId="2419"/>
    <cellStyle name="アクセント 4" xfId="2420"/>
    <cellStyle name="アクセント 5" xfId="2421"/>
    <cellStyle name="アクセント 6" xfId="2422"/>
    <cellStyle name="タイトル" xfId="2423"/>
    <cellStyle name="チェック セル" xfId="2424"/>
    <cellStyle name="どちらでもない" xfId="2425"/>
    <cellStyle name="メモ" xfId="2426"/>
    <cellStyle name="リンク セル" xfId="2427"/>
    <cellStyle name="표준_T_A8(통계청_검증결과)" xfId="2428"/>
    <cellStyle name="入力" xfId="2429"/>
    <cellStyle name="出力" xfId="2430"/>
    <cellStyle name="悪い" xfId="2431"/>
    <cellStyle name="良い" xfId="2432"/>
    <cellStyle name="見出し 1" xfId="2433"/>
    <cellStyle name="見出し 2" xfId="2434"/>
    <cellStyle name="見出し 3" xfId="2435"/>
    <cellStyle name="見出し 4" xfId="2436"/>
    <cellStyle name="計算" xfId="2437"/>
    <cellStyle name="説明文" xfId="2438"/>
    <cellStyle name="警告文" xfId="2439"/>
    <cellStyle name="集計" xfId="2440"/>
  </cellStyles>
  <dxfs count="1">
    <dxf>
      <fill>
        <patternFill>
          <bgColor them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3.xml"/><Relationship Id="rId39" Type="http://schemas.openxmlformats.org/officeDocument/2006/relationships/externalLink" Target="externalLinks/externalLink1.xml"/><Relationship Id="rId21" Type="http://schemas.openxmlformats.org/officeDocument/2006/relationships/chartsheet" Target="chartsheets/sheet3.xml"/><Relationship Id="rId34" Type="http://schemas.openxmlformats.org/officeDocument/2006/relationships/worksheet" Target="worksheets/sheet31.xml"/><Relationship Id="rId42" Type="http://schemas.openxmlformats.org/officeDocument/2006/relationships/externalLink" Target="externalLinks/externalLink4.xml"/><Relationship Id="rId47" Type="http://schemas.openxmlformats.org/officeDocument/2006/relationships/customXml" Target="../customXml/item1.xml"/><Relationship Id="rId50"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6.xml"/><Relationship Id="rId11" Type="http://schemas.openxmlformats.org/officeDocument/2006/relationships/worksheet" Target="worksheets/sheet11.xml"/><Relationship Id="rId24" Type="http://schemas.openxmlformats.org/officeDocument/2006/relationships/worksheet" Target="worksheets/sheet21.xml"/><Relationship Id="rId32" Type="http://schemas.openxmlformats.org/officeDocument/2006/relationships/worksheet" Target="worksheets/sheet29.xml"/><Relationship Id="rId37" Type="http://schemas.openxmlformats.org/officeDocument/2006/relationships/worksheet" Target="worksheets/sheet34.xml"/><Relationship Id="rId40" Type="http://schemas.openxmlformats.org/officeDocument/2006/relationships/externalLink" Target="externalLinks/externalLink2.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0.xml"/><Relationship Id="rId28" Type="http://schemas.openxmlformats.org/officeDocument/2006/relationships/worksheet" Target="worksheets/sheet25.xml"/><Relationship Id="rId36" Type="http://schemas.openxmlformats.org/officeDocument/2006/relationships/worksheet" Target="worksheets/sheet33.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chartsheet" Target="chartsheets/sheet1.xml"/><Relationship Id="rId31" Type="http://schemas.openxmlformats.org/officeDocument/2006/relationships/worksheet" Target="worksheets/sheet28.xml"/><Relationship Id="rId44" Type="http://schemas.openxmlformats.org/officeDocument/2006/relationships/styles" Target="styles.xml"/><Relationship Id="rId52"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19.xml"/><Relationship Id="rId27" Type="http://schemas.openxmlformats.org/officeDocument/2006/relationships/worksheet" Target="worksheets/sheet24.xml"/><Relationship Id="rId30" Type="http://schemas.openxmlformats.org/officeDocument/2006/relationships/worksheet" Target="worksheets/sheet27.xml"/><Relationship Id="rId35" Type="http://schemas.openxmlformats.org/officeDocument/2006/relationships/worksheet" Target="worksheets/sheet32.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customXml" Target="../customXml/item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2.xml"/><Relationship Id="rId33" Type="http://schemas.openxmlformats.org/officeDocument/2006/relationships/worksheet" Target="worksheets/sheet30.xml"/><Relationship Id="rId38" Type="http://schemas.openxmlformats.org/officeDocument/2006/relationships/worksheet" Target="worksheets/sheet35.xml"/><Relationship Id="rId46" Type="http://schemas.openxmlformats.org/officeDocument/2006/relationships/calcChain" Target="calcChain.xml"/><Relationship Id="rId20" Type="http://schemas.openxmlformats.org/officeDocument/2006/relationships/chartsheet" Target="chartsheets/sheet2.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t" anchorCtr="0"/>
          <a:lstStyle/>
          <a:p>
            <a:pPr>
              <a:defRPr sz="1200">
                <a:latin typeface="Times New Roman" panose="02020603050405020304" pitchFamily="18" charset="0"/>
                <a:cs typeface="Times New Roman" panose="02020603050405020304" pitchFamily="18" charset="0"/>
              </a:defRPr>
            </a:pPr>
            <a:r>
              <a:rPr lang="en-US" sz="1200">
                <a:latin typeface="Times New Roman" panose="02020603050405020304" pitchFamily="18" charset="0"/>
                <a:cs typeface="Times New Roman" panose="02020603050405020304" pitchFamily="18" charset="0"/>
              </a:rPr>
              <a:t>a. Quintile 1</a:t>
            </a:r>
          </a:p>
        </c:rich>
      </c:tx>
      <c:overlay val="0"/>
    </c:title>
    <c:autoTitleDeleted val="0"/>
    <c:plotArea>
      <c:layout/>
      <c:areaChart>
        <c:grouping val="standard"/>
        <c:varyColors val="0"/>
        <c:ser>
          <c:idx val="0"/>
          <c:order val="0"/>
          <c:tx>
            <c:strRef>
              <c:f>'F3.1'!$E$45</c:f>
              <c:strCache>
                <c:ptCount val="1"/>
                <c:pt idx="0">
                  <c:v>Home</c:v>
                </c:pt>
              </c:strCache>
            </c:strRef>
          </c:tx>
          <c:spPr>
            <a:pattFill prst="ltVert">
              <a:fgClr>
                <a:srgbClr val="E6AF00"/>
              </a:fgClr>
              <a:bgClr>
                <a:schemeClr val="bg1"/>
              </a:bgClr>
            </a:pattFill>
            <a:ln>
              <a:solidFill>
                <a:srgbClr val="E6AF00"/>
              </a:solidFill>
            </a:ln>
          </c:spPr>
          <c:cat>
            <c:numRef>
              <c:f>'F3.1'!$B$46:$B$86</c:f>
              <c:numCache>
                <c:formatCode>General</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cat>
          <c:val>
            <c:numRef>
              <c:f>'F3.1'!$E$46:$E$86</c:f>
              <c:numCache>
                <c:formatCode>General</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0-FF04-41E9-AD93-4BB99277A01C}"/>
            </c:ext>
          </c:extLst>
        </c:ser>
        <c:ser>
          <c:idx val="1"/>
          <c:order val="1"/>
          <c:tx>
            <c:strRef>
              <c:f>'F3.1'!$F$45</c:f>
              <c:strCache>
                <c:ptCount val="1"/>
                <c:pt idx="0">
                  <c:v>Home - Unemployed</c:v>
                </c:pt>
              </c:strCache>
            </c:strRef>
          </c:tx>
          <c:spPr>
            <a:solidFill>
              <a:schemeClr val="tx1">
                <a:lumMod val="65000"/>
                <a:lumOff val="35000"/>
              </a:schemeClr>
            </a:solidFill>
            <a:ln w="25400">
              <a:noFill/>
            </a:ln>
          </c:spPr>
          <c:cat>
            <c:numRef>
              <c:f>'F3.1'!$B$46:$B$86</c:f>
              <c:numCache>
                <c:formatCode>General</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cat>
          <c:val>
            <c:numRef>
              <c:f>'F3.1'!$F$46:$F$86</c:f>
              <c:numCache>
                <c:formatCode>General</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1-FF04-41E9-AD93-4BB99277A01C}"/>
            </c:ext>
          </c:extLst>
        </c:ser>
        <c:ser>
          <c:idx val="2"/>
          <c:order val="2"/>
          <c:tx>
            <c:strRef>
              <c:f>'F3.1'!$G$45</c:f>
              <c:strCache>
                <c:ptCount val="1"/>
                <c:pt idx="0">
                  <c:v>Work</c:v>
                </c:pt>
              </c:strCache>
            </c:strRef>
          </c:tx>
          <c:spPr>
            <a:solidFill>
              <a:schemeClr val="accent1">
                <a:lumMod val="60000"/>
                <a:lumOff val="40000"/>
              </a:schemeClr>
            </a:solidFill>
            <a:ln w="25400">
              <a:noFill/>
            </a:ln>
          </c:spPr>
          <c:cat>
            <c:numRef>
              <c:f>'F3.1'!$B$46:$B$86</c:f>
              <c:numCache>
                <c:formatCode>General</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cat>
          <c:val>
            <c:numRef>
              <c:f>'F3.1'!$G$46:$G$86</c:f>
              <c:numCache>
                <c:formatCode>General</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2-FF04-41E9-AD93-4BB99277A01C}"/>
            </c:ext>
          </c:extLst>
        </c:ser>
        <c:ser>
          <c:idx val="3"/>
          <c:order val="3"/>
          <c:tx>
            <c:strRef>
              <c:f>'F3.1'!$H$45</c:f>
              <c:strCache>
                <c:ptCount val="1"/>
                <c:pt idx="0">
                  <c:v>Private education</c:v>
                </c:pt>
              </c:strCache>
            </c:strRef>
          </c:tx>
          <c:spPr>
            <a:solidFill>
              <a:schemeClr val="bg1">
                <a:lumMod val="65000"/>
              </a:schemeClr>
            </a:solidFill>
            <a:ln w="25400">
              <a:noFill/>
            </a:ln>
          </c:spPr>
          <c:cat>
            <c:numRef>
              <c:f>'F3.1'!$B$46:$B$86</c:f>
              <c:numCache>
                <c:formatCode>General</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cat>
          <c:val>
            <c:numRef>
              <c:f>'F3.1'!$H$46:$H$86</c:f>
              <c:numCache>
                <c:formatCode>General</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3-FF04-41E9-AD93-4BB99277A01C}"/>
            </c:ext>
          </c:extLst>
        </c:ser>
        <c:ser>
          <c:idx val="4"/>
          <c:order val="4"/>
          <c:tx>
            <c:strRef>
              <c:f>'F3.1'!$I$45</c:f>
              <c:strCache>
                <c:ptCount val="1"/>
                <c:pt idx="0">
                  <c:v>Public education</c:v>
                </c:pt>
              </c:strCache>
            </c:strRef>
          </c:tx>
          <c:spPr>
            <a:solidFill>
              <a:schemeClr val="tx2"/>
            </a:solidFill>
            <a:ln w="25400">
              <a:noFill/>
            </a:ln>
          </c:spPr>
          <c:cat>
            <c:numRef>
              <c:f>'F3.1'!$B$46:$B$86</c:f>
              <c:numCache>
                <c:formatCode>General</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cat>
          <c:val>
            <c:numRef>
              <c:f>'F3.1'!$I$46:$I$86</c:f>
              <c:numCache>
                <c:formatCode>General</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4-FF04-41E9-AD93-4BB99277A01C}"/>
            </c:ext>
          </c:extLst>
        </c:ser>
        <c:dLbls>
          <c:showLegendKey val="0"/>
          <c:showVal val="0"/>
          <c:showCatName val="0"/>
          <c:showSerName val="0"/>
          <c:showPercent val="0"/>
          <c:showBubbleSize val="0"/>
        </c:dLbls>
        <c:axId val="259727360"/>
        <c:axId val="259729280"/>
      </c:areaChart>
      <c:catAx>
        <c:axId val="259727360"/>
        <c:scaling>
          <c:orientation val="minMax"/>
        </c:scaling>
        <c:delete val="0"/>
        <c:axPos val="b"/>
        <c:title>
          <c:tx>
            <c:rich>
              <a:bodyPr/>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Age</a:t>
                </a:r>
              </a:p>
            </c:rich>
          </c:tx>
          <c:overlay val="0"/>
        </c:title>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59729280"/>
        <c:crosses val="autoZero"/>
        <c:auto val="1"/>
        <c:lblAlgn val="ctr"/>
        <c:lblOffset val="100"/>
        <c:tickLblSkip val="5"/>
        <c:noMultiLvlLbl val="0"/>
      </c:catAx>
      <c:valAx>
        <c:axId val="259729280"/>
        <c:scaling>
          <c:orientation val="minMax"/>
          <c:max val="1"/>
        </c:scaling>
        <c:delete val="0"/>
        <c:axPos val="l"/>
        <c:title>
          <c:tx>
            <c:rich>
              <a:bodyPr rot="-5400000" vert="horz"/>
              <a:lstStyle/>
              <a:p>
                <a:pPr>
                  <a:defRPr sz="1200">
                    <a:latin typeface="Times New Roman" panose="02020603050405020304" pitchFamily="18" charset="0"/>
                    <a:cs typeface="Times New Roman" panose="02020603050405020304" pitchFamily="18" charset="0"/>
                  </a:defRPr>
                </a:pPr>
                <a:r>
                  <a:rPr lang="en-US" sz="1200">
                    <a:latin typeface="Times New Roman" panose="02020603050405020304" pitchFamily="18" charset="0"/>
                    <a:cs typeface="Times New Roman" panose="02020603050405020304" pitchFamily="18" charset="0"/>
                  </a:rPr>
                  <a:t>Share of population</a:t>
                </a:r>
              </a:p>
            </c:rich>
          </c:tx>
          <c:overlay val="0"/>
        </c:title>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59727360"/>
        <c:crosses val="autoZero"/>
        <c:crossBetween val="midCat"/>
        <c:majorUnit val="0.2"/>
      </c:valAx>
    </c:plotArea>
    <c:legend>
      <c:legendPos val="b"/>
      <c:layout>
        <c:manualLayout>
          <c:xMode val="edge"/>
          <c:yMode val="edge"/>
          <c:x val="8.6483315286443763E-2"/>
          <c:y val="0.82614776964358716"/>
          <c:w val="0.89076004132211539"/>
          <c:h val="0.14817004304294148"/>
        </c:manualLayout>
      </c:layout>
      <c:overlay val="0"/>
      <c:txPr>
        <a:bodyPr/>
        <a:lstStyle/>
        <a:p>
          <a:pPr>
            <a:defRPr sz="1100">
              <a:latin typeface="Times New Roman" panose="02020603050405020304" pitchFamily="18" charset="0"/>
              <a:cs typeface="Times New Roman" panose="02020603050405020304" pitchFamily="18" charset="0"/>
            </a:defRPr>
          </a:pPr>
          <a:endParaRPr lang="en-US"/>
        </a:p>
      </c:txPr>
    </c:legend>
    <c:plotVisOnly val="1"/>
    <c:dispBlanksAs val="zero"/>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kern="1200" baseline="0">
                <a:solidFill>
                  <a:srgbClr val="000000"/>
                </a:solidFill>
                <a:effectLst/>
                <a:latin typeface="Times New Roman"/>
                <a:cs typeface="Times New Roman"/>
              </a:rPr>
              <a:t>B. Premium to year of schooling by gender </a:t>
            </a:r>
            <a:endParaRPr lang="en-US" sz="1200">
              <a:effectLst/>
            </a:endParaRPr>
          </a:p>
        </c:rich>
      </c:tx>
      <c:overlay val="0"/>
    </c:title>
    <c:autoTitleDeleted val="0"/>
    <c:plotArea>
      <c:layout/>
      <c:areaChart>
        <c:grouping val="standard"/>
        <c:varyColors val="0"/>
        <c:ser>
          <c:idx val="0"/>
          <c:order val="0"/>
          <c:tx>
            <c:strRef>
              <c:f>'F4.1'!$K$57</c:f>
              <c:strCache>
                <c:ptCount val="1"/>
                <c:pt idx="0">
                  <c:v>max95</c:v>
                </c:pt>
              </c:strCache>
            </c:strRef>
          </c:tx>
          <c:spPr>
            <a:solidFill>
              <a:schemeClr val="accent2">
                <a:lumMod val="40000"/>
                <a:lumOff val="60000"/>
              </a:schemeClr>
            </a:solidFill>
          </c:spPr>
          <c:cat>
            <c:numRef>
              <c:f>'F4.1'!$D$58:$D$77</c:f>
              <c:numCache>
                <c:formatCode>General</c:formatCode>
                <c:ptCount val="2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numCache>
            </c:numRef>
          </c:cat>
          <c:val>
            <c:numRef>
              <c:f>'F4.1'!$K$58:$K$77</c:f>
              <c:numCache>
                <c:formatCode>General</c:formatCode>
                <c:ptCount val="20"/>
                <c:pt idx="0">
                  <c:v>0.14326306999999999</c:v>
                </c:pt>
                <c:pt idx="1">
                  <c:v>0.15077454000000001</c:v>
                </c:pt>
                <c:pt idx="2">
                  <c:v>0.14339695999999999</c:v>
                </c:pt>
                <c:pt idx="3">
                  <c:v>0.14546875000000001</c:v>
                </c:pt>
                <c:pt idx="4">
                  <c:v>0.14679629999999999</c:v>
                </c:pt>
                <c:pt idx="5">
                  <c:v>0.14162680999999999</c:v>
                </c:pt>
                <c:pt idx="6">
                  <c:v>0.15015899999999999</c:v>
                </c:pt>
                <c:pt idx="7">
                  <c:v>0.15932995999999999</c:v>
                </c:pt>
                <c:pt idx="8">
                  <c:v>0.15498050999999999</c:v>
                </c:pt>
                <c:pt idx="9">
                  <c:v>0.16639958999999999</c:v>
                </c:pt>
                <c:pt idx="10">
                  <c:v>0.16459858999999999</c:v>
                </c:pt>
                <c:pt idx="11">
                  <c:v>0.16775819</c:v>
                </c:pt>
                <c:pt idx="12">
                  <c:v>0.15646283</c:v>
                </c:pt>
                <c:pt idx="13">
                  <c:v>0.15637403</c:v>
                </c:pt>
                <c:pt idx="14">
                  <c:v>0.1571475</c:v>
                </c:pt>
                <c:pt idx="15">
                  <c:v>0.15140957999999999</c:v>
                </c:pt>
                <c:pt idx="16">
                  <c:v>0.14604867999999999</c:v>
                </c:pt>
                <c:pt idx="17">
                  <c:v>0.14858901999999999</c:v>
                </c:pt>
                <c:pt idx="18">
                  <c:v>0.15409054999999999</c:v>
                </c:pt>
                <c:pt idx="19">
                  <c:v>0.14833679</c:v>
                </c:pt>
              </c:numCache>
            </c:numRef>
          </c:val>
          <c:extLst>
            <c:ext xmlns:c16="http://schemas.microsoft.com/office/drawing/2014/chart" uri="{C3380CC4-5D6E-409C-BE32-E72D297353CC}">
              <c16:uniqueId val="{00000000-A09C-4880-B3A7-B7203E534181}"/>
            </c:ext>
          </c:extLst>
        </c:ser>
        <c:ser>
          <c:idx val="2"/>
          <c:order val="2"/>
          <c:tx>
            <c:strRef>
              <c:f>'F4.1'!$M$57</c:f>
              <c:strCache>
                <c:ptCount val="1"/>
                <c:pt idx="0">
                  <c:v>min95</c:v>
                </c:pt>
              </c:strCache>
            </c:strRef>
          </c:tx>
          <c:spPr>
            <a:solidFill>
              <a:schemeClr val="bg1"/>
            </a:solidFill>
            <a:ln>
              <a:solidFill>
                <a:schemeClr val="bg1"/>
              </a:solidFill>
            </a:ln>
          </c:spPr>
          <c:cat>
            <c:numRef>
              <c:f>'F4.1'!$D$58:$D$77</c:f>
              <c:numCache>
                <c:formatCode>General</c:formatCode>
                <c:ptCount val="2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numCache>
            </c:numRef>
          </c:cat>
          <c:val>
            <c:numRef>
              <c:f>'F4.1'!$M$58:$M$77</c:f>
              <c:numCache>
                <c:formatCode>General</c:formatCode>
                <c:ptCount val="20"/>
                <c:pt idx="0">
                  <c:v>0.13261792999999999</c:v>
                </c:pt>
                <c:pt idx="1">
                  <c:v>0.13955901000000001</c:v>
                </c:pt>
                <c:pt idx="2">
                  <c:v>0.13321463</c:v>
                </c:pt>
                <c:pt idx="3">
                  <c:v>0.13436769000000001</c:v>
                </c:pt>
                <c:pt idx="4">
                  <c:v>0.13588926000000001</c:v>
                </c:pt>
                <c:pt idx="5">
                  <c:v>0.13057256</c:v>
                </c:pt>
                <c:pt idx="6">
                  <c:v>0.1394425</c:v>
                </c:pt>
                <c:pt idx="7">
                  <c:v>0.14810237000000001</c:v>
                </c:pt>
                <c:pt idx="8">
                  <c:v>0.14417685</c:v>
                </c:pt>
                <c:pt idx="9">
                  <c:v>0.15555200999999999</c:v>
                </c:pt>
                <c:pt idx="10">
                  <c:v>0.15304348000000001</c:v>
                </c:pt>
                <c:pt idx="11">
                  <c:v>0.15599203</c:v>
                </c:pt>
                <c:pt idx="12">
                  <c:v>0.14581076000000001</c:v>
                </c:pt>
                <c:pt idx="13">
                  <c:v>0.14493302</c:v>
                </c:pt>
                <c:pt idx="14">
                  <c:v>0.14627799999999999</c:v>
                </c:pt>
                <c:pt idx="15">
                  <c:v>0.13992894</c:v>
                </c:pt>
                <c:pt idx="16">
                  <c:v>0.13461571</c:v>
                </c:pt>
                <c:pt idx="17">
                  <c:v>0.13754008000000001</c:v>
                </c:pt>
                <c:pt idx="18">
                  <c:v>0.14241715999999999</c:v>
                </c:pt>
                <c:pt idx="19">
                  <c:v>0.13757783000000001</c:v>
                </c:pt>
              </c:numCache>
            </c:numRef>
          </c:val>
          <c:extLst>
            <c:ext xmlns:c16="http://schemas.microsoft.com/office/drawing/2014/chart" uri="{C3380CC4-5D6E-409C-BE32-E72D297353CC}">
              <c16:uniqueId val="{00000001-A09C-4880-B3A7-B7203E534181}"/>
            </c:ext>
          </c:extLst>
        </c:ser>
        <c:ser>
          <c:idx val="3"/>
          <c:order val="3"/>
          <c:tx>
            <c:strRef>
              <c:f>'F4.1'!$H$57</c:f>
              <c:strCache>
                <c:ptCount val="1"/>
                <c:pt idx="0">
                  <c:v>max95</c:v>
                </c:pt>
              </c:strCache>
            </c:strRef>
          </c:tx>
          <c:spPr>
            <a:solidFill>
              <a:schemeClr val="accent1">
                <a:lumMod val="60000"/>
                <a:lumOff val="40000"/>
              </a:schemeClr>
            </a:solidFill>
            <a:ln w="25400">
              <a:noFill/>
            </a:ln>
          </c:spPr>
          <c:cat>
            <c:numRef>
              <c:f>'F4.1'!$D$58:$D$77</c:f>
              <c:numCache>
                <c:formatCode>General</c:formatCode>
                <c:ptCount val="2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numCache>
            </c:numRef>
          </c:cat>
          <c:val>
            <c:numRef>
              <c:f>'F4.1'!$H$58:$H$77</c:f>
              <c:numCache>
                <c:formatCode>General</c:formatCode>
                <c:ptCount val="20"/>
                <c:pt idx="0">
                  <c:v>0.10157135</c:v>
                </c:pt>
                <c:pt idx="1">
                  <c:v>0.12044802</c:v>
                </c:pt>
                <c:pt idx="2">
                  <c:v>0.12154007999999999</c:v>
                </c:pt>
                <c:pt idx="3">
                  <c:v>0.12236319</c:v>
                </c:pt>
                <c:pt idx="4">
                  <c:v>0.12232187</c:v>
                </c:pt>
                <c:pt idx="5">
                  <c:v>0.12059699</c:v>
                </c:pt>
                <c:pt idx="6">
                  <c:v>0.12119344999999999</c:v>
                </c:pt>
                <c:pt idx="7">
                  <c:v>0.12948745</c:v>
                </c:pt>
                <c:pt idx="8">
                  <c:v>0.12202882</c:v>
                </c:pt>
                <c:pt idx="9">
                  <c:v>0.12292338999999999</c:v>
                </c:pt>
                <c:pt idx="10">
                  <c:v>0.12163188</c:v>
                </c:pt>
                <c:pt idx="11">
                  <c:v>0.12312774999999999</c:v>
                </c:pt>
                <c:pt idx="12">
                  <c:v>0.11182801000000001</c:v>
                </c:pt>
                <c:pt idx="13">
                  <c:v>0.11463225</c:v>
                </c:pt>
                <c:pt idx="14">
                  <c:v>0.1142947</c:v>
                </c:pt>
                <c:pt idx="15">
                  <c:v>0.11691261999999999</c:v>
                </c:pt>
                <c:pt idx="16">
                  <c:v>0.10796910999999999</c:v>
                </c:pt>
                <c:pt idx="17">
                  <c:v>0.10777866</c:v>
                </c:pt>
                <c:pt idx="18">
                  <c:v>0.10530644</c:v>
                </c:pt>
                <c:pt idx="19">
                  <c:v>0.10206156</c:v>
                </c:pt>
              </c:numCache>
            </c:numRef>
          </c:val>
          <c:extLst>
            <c:ext xmlns:c16="http://schemas.microsoft.com/office/drawing/2014/chart" uri="{C3380CC4-5D6E-409C-BE32-E72D297353CC}">
              <c16:uniqueId val="{00000002-A09C-4880-B3A7-B7203E534181}"/>
            </c:ext>
          </c:extLst>
        </c:ser>
        <c:ser>
          <c:idx val="5"/>
          <c:order val="5"/>
          <c:tx>
            <c:strRef>
              <c:f>'F4.1'!$J$57</c:f>
              <c:strCache>
                <c:ptCount val="1"/>
                <c:pt idx="0">
                  <c:v>min95</c:v>
                </c:pt>
              </c:strCache>
            </c:strRef>
          </c:tx>
          <c:spPr>
            <a:solidFill>
              <a:schemeClr val="bg1"/>
            </a:solidFill>
            <a:ln w="25400">
              <a:solidFill>
                <a:schemeClr val="bg1"/>
              </a:solidFill>
            </a:ln>
          </c:spPr>
          <c:cat>
            <c:numRef>
              <c:f>'F4.1'!$D$58:$D$77</c:f>
              <c:numCache>
                <c:formatCode>General</c:formatCode>
                <c:ptCount val="2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numCache>
            </c:numRef>
          </c:cat>
          <c:val>
            <c:numRef>
              <c:f>'F4.1'!$J$58:$J$77</c:f>
              <c:numCache>
                <c:formatCode>General</c:formatCode>
                <c:ptCount val="20"/>
                <c:pt idx="0">
                  <c:v>9.3934610000000002E-2</c:v>
                </c:pt>
                <c:pt idx="1">
                  <c:v>0.11206637</c:v>
                </c:pt>
                <c:pt idx="2">
                  <c:v>0.11294171</c:v>
                </c:pt>
                <c:pt idx="3">
                  <c:v>0.11366072000000001</c:v>
                </c:pt>
                <c:pt idx="4">
                  <c:v>0.11434213</c:v>
                </c:pt>
                <c:pt idx="5">
                  <c:v>0.11223572</c:v>
                </c:pt>
                <c:pt idx="6">
                  <c:v>0.11325374000000001</c:v>
                </c:pt>
                <c:pt idx="7">
                  <c:v>0.12152296999999999</c:v>
                </c:pt>
                <c:pt idx="8">
                  <c:v>0.11428033999999999</c:v>
                </c:pt>
                <c:pt idx="9">
                  <c:v>0.11458512</c:v>
                </c:pt>
                <c:pt idx="10">
                  <c:v>0.11321402</c:v>
                </c:pt>
                <c:pt idx="11">
                  <c:v>0.11427331</c:v>
                </c:pt>
                <c:pt idx="12">
                  <c:v>0.10405726</c:v>
                </c:pt>
                <c:pt idx="13">
                  <c:v>0.10594806</c:v>
                </c:pt>
                <c:pt idx="14">
                  <c:v>0.10603946</c:v>
                </c:pt>
                <c:pt idx="15">
                  <c:v>0.10840163</c:v>
                </c:pt>
                <c:pt idx="16">
                  <c:v>9.9373100000000006E-2</c:v>
                </c:pt>
                <c:pt idx="17">
                  <c:v>9.9707589999999999E-2</c:v>
                </c:pt>
                <c:pt idx="18">
                  <c:v>9.6992449999999994E-2</c:v>
                </c:pt>
                <c:pt idx="19">
                  <c:v>9.2899040000000002E-2</c:v>
                </c:pt>
              </c:numCache>
            </c:numRef>
          </c:val>
          <c:extLst>
            <c:ext xmlns:c16="http://schemas.microsoft.com/office/drawing/2014/chart" uri="{C3380CC4-5D6E-409C-BE32-E72D297353CC}">
              <c16:uniqueId val="{00000003-A09C-4880-B3A7-B7203E534181}"/>
            </c:ext>
          </c:extLst>
        </c:ser>
        <c:dLbls>
          <c:showLegendKey val="0"/>
          <c:showVal val="0"/>
          <c:showCatName val="0"/>
          <c:showSerName val="0"/>
          <c:showPercent val="0"/>
          <c:showBubbleSize val="0"/>
        </c:dLbls>
        <c:axId val="255859328"/>
        <c:axId val="255865216"/>
      </c:areaChart>
      <c:lineChart>
        <c:grouping val="standard"/>
        <c:varyColors val="0"/>
        <c:ser>
          <c:idx val="1"/>
          <c:order val="1"/>
          <c:tx>
            <c:v>Female</c:v>
          </c:tx>
          <c:spPr>
            <a:ln w="15875">
              <a:solidFill>
                <a:srgbClr val="C00000"/>
              </a:solidFill>
            </a:ln>
          </c:spPr>
          <c:marker>
            <c:symbol val="none"/>
          </c:marker>
          <c:cat>
            <c:numRef>
              <c:f>'F4.1'!$A$454:$A$473</c:f>
              <c:numCache>
                <c:formatCode>General</c:formatCode>
                <c:ptCount val="20"/>
              </c:numCache>
            </c:numRef>
          </c:cat>
          <c:val>
            <c:numRef>
              <c:f>'F4.1'!$L$58:$L$77</c:f>
              <c:numCache>
                <c:formatCode>General</c:formatCode>
                <c:ptCount val="20"/>
                <c:pt idx="0">
                  <c:v>0.13794049999999999</c:v>
                </c:pt>
                <c:pt idx="1">
                  <c:v>0.14516677</c:v>
                </c:pt>
                <c:pt idx="2">
                  <c:v>0.13830580000000001</c:v>
                </c:pt>
                <c:pt idx="3">
                  <c:v>0.13991822000000001</c:v>
                </c:pt>
                <c:pt idx="4">
                  <c:v>0.14134278</c:v>
                </c:pt>
                <c:pt idx="5">
                  <c:v>0.13609968</c:v>
                </c:pt>
                <c:pt idx="6">
                  <c:v>0.14480075000000001</c:v>
                </c:pt>
                <c:pt idx="7">
                  <c:v>0.15371615999999999</c:v>
                </c:pt>
                <c:pt idx="8">
                  <c:v>0.14957867999999999</c:v>
                </c:pt>
                <c:pt idx="9">
                  <c:v>0.1609758</c:v>
                </c:pt>
                <c:pt idx="10">
                  <c:v>0.15882103</c:v>
                </c:pt>
                <c:pt idx="11">
                  <c:v>0.16187510999999999</c:v>
                </c:pt>
                <c:pt idx="12">
                  <c:v>0.15113679999999999</c:v>
                </c:pt>
                <c:pt idx="13">
                  <c:v>0.15065353000000001</c:v>
                </c:pt>
                <c:pt idx="14">
                  <c:v>0.15171275000000001</c:v>
                </c:pt>
                <c:pt idx="15">
                  <c:v>0.14566925999999999</c:v>
                </c:pt>
                <c:pt idx="16">
                  <c:v>0.14033219999999999</c:v>
                </c:pt>
                <c:pt idx="17">
                  <c:v>0.14306455000000001</c:v>
                </c:pt>
                <c:pt idx="18">
                  <c:v>0.14825384999999999</c:v>
                </c:pt>
                <c:pt idx="19">
                  <c:v>0.14295731</c:v>
                </c:pt>
              </c:numCache>
            </c:numRef>
          </c:val>
          <c:smooth val="0"/>
          <c:extLst>
            <c:ext xmlns:c16="http://schemas.microsoft.com/office/drawing/2014/chart" uri="{C3380CC4-5D6E-409C-BE32-E72D297353CC}">
              <c16:uniqueId val="{00000004-A09C-4880-B3A7-B7203E534181}"/>
            </c:ext>
          </c:extLst>
        </c:ser>
        <c:ser>
          <c:idx val="4"/>
          <c:order val="4"/>
          <c:tx>
            <c:v>Male</c:v>
          </c:tx>
          <c:spPr>
            <a:ln w="15875">
              <a:solidFill>
                <a:schemeClr val="tx2"/>
              </a:solidFill>
            </a:ln>
          </c:spPr>
          <c:marker>
            <c:symbol val="none"/>
          </c:marker>
          <c:cat>
            <c:numRef>
              <c:f>'F4.1'!$A$454:$A$473</c:f>
              <c:numCache>
                <c:formatCode>General</c:formatCode>
                <c:ptCount val="20"/>
              </c:numCache>
            </c:numRef>
          </c:cat>
          <c:val>
            <c:numRef>
              <c:f>'F4.1'!$I$58:$I$77</c:f>
              <c:numCache>
                <c:formatCode>General</c:formatCode>
                <c:ptCount val="20"/>
                <c:pt idx="0">
                  <c:v>9.7752980000000003E-2</c:v>
                </c:pt>
                <c:pt idx="1">
                  <c:v>0.11625719</c:v>
                </c:pt>
                <c:pt idx="2">
                  <c:v>0.1172409</c:v>
                </c:pt>
                <c:pt idx="3">
                  <c:v>0.11801196</c:v>
                </c:pt>
                <c:pt idx="4">
                  <c:v>0.11833200000000001</c:v>
                </c:pt>
                <c:pt idx="5">
                  <c:v>0.11641636</c:v>
                </c:pt>
                <c:pt idx="6">
                  <c:v>0.1172236</c:v>
                </c:pt>
                <c:pt idx="7">
                  <c:v>0.12550521000000001</c:v>
                </c:pt>
                <c:pt idx="8">
                  <c:v>0.11815458</c:v>
                </c:pt>
                <c:pt idx="9">
                  <c:v>0.11875426</c:v>
                </c:pt>
                <c:pt idx="10">
                  <c:v>0.11742295</c:v>
                </c:pt>
                <c:pt idx="11">
                  <c:v>0.11870053</c:v>
                </c:pt>
                <c:pt idx="12">
                  <c:v>0.10794263</c:v>
                </c:pt>
                <c:pt idx="13">
                  <c:v>0.11029016</c:v>
                </c:pt>
                <c:pt idx="14">
                  <c:v>0.11016708</c:v>
                </c:pt>
                <c:pt idx="15">
                  <c:v>0.11265712</c:v>
                </c:pt>
                <c:pt idx="16">
                  <c:v>0.1036711</c:v>
                </c:pt>
                <c:pt idx="17">
                  <c:v>0.10374313</c:v>
                </c:pt>
                <c:pt idx="18">
                  <c:v>0.10114945</c:v>
                </c:pt>
                <c:pt idx="19">
                  <c:v>9.7480300000000006E-2</c:v>
                </c:pt>
              </c:numCache>
            </c:numRef>
          </c:val>
          <c:smooth val="0"/>
          <c:extLst>
            <c:ext xmlns:c16="http://schemas.microsoft.com/office/drawing/2014/chart" uri="{C3380CC4-5D6E-409C-BE32-E72D297353CC}">
              <c16:uniqueId val="{00000005-A09C-4880-B3A7-B7203E534181}"/>
            </c:ext>
          </c:extLst>
        </c:ser>
        <c:dLbls>
          <c:showLegendKey val="0"/>
          <c:showVal val="0"/>
          <c:showCatName val="0"/>
          <c:showSerName val="0"/>
          <c:showPercent val="0"/>
          <c:showBubbleSize val="0"/>
        </c:dLbls>
        <c:marker val="1"/>
        <c:smooth val="0"/>
        <c:axId val="255859328"/>
        <c:axId val="255865216"/>
      </c:lineChart>
      <c:catAx>
        <c:axId val="255859328"/>
        <c:scaling>
          <c:orientation val="minMax"/>
        </c:scaling>
        <c:delete val="0"/>
        <c:axPos val="b"/>
        <c:numFmt formatCode="General" sourceLinked="1"/>
        <c:majorTickMark val="out"/>
        <c:minorTickMark val="none"/>
        <c:tickLblPos val="nextTo"/>
        <c:txPr>
          <a:bodyPr/>
          <a:lstStyle/>
          <a:p>
            <a:pPr>
              <a:defRPr sz="1100">
                <a:latin typeface="Times New Roman" panose="02020603050405020304" pitchFamily="18" charset="0"/>
                <a:cs typeface="Times New Roman" panose="02020603050405020304" pitchFamily="18" charset="0"/>
              </a:defRPr>
            </a:pPr>
            <a:endParaRPr lang="en-US"/>
          </a:p>
        </c:txPr>
        <c:crossAx val="255865216"/>
        <c:crosses val="autoZero"/>
        <c:auto val="1"/>
        <c:lblAlgn val="ctr"/>
        <c:lblOffset val="100"/>
        <c:noMultiLvlLbl val="0"/>
      </c:catAx>
      <c:valAx>
        <c:axId val="255865216"/>
        <c:scaling>
          <c:orientation val="minMax"/>
          <c:max val="0.16000000000000003"/>
          <c:min val="0"/>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Premium (%)</a:t>
                </a:r>
              </a:p>
            </c:rich>
          </c:tx>
          <c:overlay val="0"/>
        </c:title>
        <c:numFmt formatCode="General" sourceLinked="1"/>
        <c:majorTickMark val="out"/>
        <c:minorTickMark val="none"/>
        <c:tickLblPos val="nextTo"/>
        <c:txPr>
          <a:bodyPr/>
          <a:lstStyle/>
          <a:p>
            <a:pPr>
              <a:defRPr sz="1100">
                <a:latin typeface="Times New Roman" panose="02020603050405020304" pitchFamily="18" charset="0"/>
                <a:cs typeface="Times New Roman" panose="02020603050405020304" pitchFamily="18" charset="0"/>
              </a:defRPr>
            </a:pPr>
            <a:endParaRPr lang="en-US"/>
          </a:p>
        </c:txPr>
        <c:crossAx val="255859328"/>
        <c:crosses val="autoZero"/>
        <c:crossBetween val="between"/>
      </c:valAx>
    </c:plotArea>
    <c:legend>
      <c:legendPos val="b"/>
      <c:legendEntry>
        <c:idx val="0"/>
        <c:delete val="1"/>
      </c:legendEntry>
      <c:legendEntry>
        <c:idx val="1"/>
        <c:delete val="1"/>
      </c:legendEntry>
      <c:legendEntry>
        <c:idx val="2"/>
        <c:delete val="1"/>
      </c:legendEntry>
      <c:legendEntry>
        <c:idx val="3"/>
        <c:delete val="1"/>
      </c:legendEntry>
      <c:overlay val="0"/>
    </c:legend>
    <c:plotVisOnly val="1"/>
    <c:dispBlanksAs val="zero"/>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Times New Roman" panose="02020603050405020304" pitchFamily="18" charset="0"/>
                <a:cs typeface="Times New Roman" panose="02020603050405020304" pitchFamily="18" charset="0"/>
              </a:defRPr>
            </a:pPr>
            <a:r>
              <a:rPr lang="en-US" sz="1200">
                <a:latin typeface="Times New Roman" panose="02020603050405020304" pitchFamily="18" charset="0"/>
                <a:cs typeface="Times New Roman" panose="02020603050405020304" pitchFamily="18" charset="0"/>
              </a:rPr>
              <a:t>C. Change in premium to a year of education (2003/2010) </a:t>
            </a:r>
          </a:p>
        </c:rich>
      </c:tx>
      <c:overlay val="0"/>
    </c:title>
    <c:autoTitleDeleted val="0"/>
    <c:plotArea>
      <c:layout>
        <c:manualLayout>
          <c:layoutTarget val="inner"/>
          <c:xMode val="edge"/>
          <c:yMode val="edge"/>
          <c:x val="0.28870729741459483"/>
          <c:y val="0.11585255100429745"/>
          <c:w val="0.66437679542025752"/>
          <c:h val="0.68550179575269488"/>
        </c:manualLayout>
      </c:layout>
      <c:barChart>
        <c:barDir val="bar"/>
        <c:grouping val="clustered"/>
        <c:varyColors val="0"/>
        <c:ser>
          <c:idx val="0"/>
          <c:order val="0"/>
          <c:tx>
            <c:strRef>
              <c:f>'F4.1'!$D$430</c:f>
              <c:strCache>
                <c:ptCount val="1"/>
                <c:pt idx="0">
                  <c:v>chg_ret</c:v>
                </c:pt>
              </c:strCache>
            </c:strRef>
          </c:tx>
          <c:spPr>
            <a:solidFill>
              <a:schemeClr val="tx2"/>
            </a:solidFill>
          </c:spPr>
          <c:invertIfNegative val="0"/>
          <c:dPt>
            <c:idx val="12"/>
            <c:invertIfNegative val="0"/>
            <c:bubble3D val="0"/>
            <c:spPr>
              <a:solidFill>
                <a:srgbClr val="C00000"/>
              </a:solidFill>
            </c:spPr>
            <c:extLst>
              <c:ext xmlns:c16="http://schemas.microsoft.com/office/drawing/2014/chart" uri="{C3380CC4-5D6E-409C-BE32-E72D297353CC}">
                <c16:uniqueId val="{00000001-F13F-478C-BE55-B13BB9ADD639}"/>
              </c:ext>
            </c:extLst>
          </c:dPt>
          <c:dLbls>
            <c:spPr>
              <a:noFill/>
              <a:ln>
                <a:noFill/>
              </a:ln>
              <a:effectLst/>
            </c:spPr>
            <c:txPr>
              <a:bodyPr/>
              <a:lstStyle/>
              <a:p>
                <a:pPr>
                  <a:defRPr sz="1050">
                    <a:latin typeface="Times New Roman" panose="02020603050405020304" pitchFamily="18"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'F4.1'!$C$431:$C$448</c:f>
              <c:strCache>
                <c:ptCount val="18"/>
                <c:pt idx="0">
                  <c:v>Costa Rica</c:v>
                </c:pt>
                <c:pt idx="1">
                  <c:v>Chile</c:v>
                </c:pt>
                <c:pt idx="2">
                  <c:v>El Salvador</c:v>
                </c:pt>
                <c:pt idx="3">
                  <c:v>Colombia</c:v>
                </c:pt>
                <c:pt idx="4">
                  <c:v>Panama</c:v>
                </c:pt>
                <c:pt idx="5">
                  <c:v>Ecuador</c:v>
                </c:pt>
                <c:pt idx="6">
                  <c:v>Uruguay</c:v>
                </c:pt>
                <c:pt idx="7">
                  <c:v>Mexico</c:v>
                </c:pt>
                <c:pt idx="8">
                  <c:v>Argentina</c:v>
                </c:pt>
                <c:pt idx="9">
                  <c:v>Rep. Dominicana</c:v>
                </c:pt>
                <c:pt idx="10">
                  <c:v>Guatemala</c:v>
                </c:pt>
                <c:pt idx="11">
                  <c:v>Paraguay</c:v>
                </c:pt>
                <c:pt idx="12">
                  <c:v>Latin Am. &amp; Caribbean</c:v>
                </c:pt>
                <c:pt idx="13">
                  <c:v>Brazil</c:v>
                </c:pt>
                <c:pt idx="14">
                  <c:v>Venezuela</c:v>
                </c:pt>
                <c:pt idx="15">
                  <c:v>Honduras</c:v>
                </c:pt>
                <c:pt idx="16">
                  <c:v>Peru</c:v>
                </c:pt>
                <c:pt idx="17">
                  <c:v>Bolivia</c:v>
                </c:pt>
              </c:strCache>
            </c:strRef>
          </c:cat>
          <c:val>
            <c:numRef>
              <c:f>'F4.1'!$D$431:$D$448</c:f>
              <c:numCache>
                <c:formatCode>0.0</c:formatCode>
                <c:ptCount val="18"/>
                <c:pt idx="0">
                  <c:v>0.42203859999999999</c:v>
                </c:pt>
                <c:pt idx="1">
                  <c:v>4.6932300000000003E-2</c:v>
                </c:pt>
                <c:pt idx="2">
                  <c:v>-0.13176959999999999</c:v>
                </c:pt>
                <c:pt idx="3">
                  <c:v>-0.24516750000000001</c:v>
                </c:pt>
                <c:pt idx="4">
                  <c:v>-0.27872989999999997</c:v>
                </c:pt>
                <c:pt idx="5">
                  <c:v>-0.29630329999999999</c:v>
                </c:pt>
                <c:pt idx="6">
                  <c:v>-0.32595410000000002</c:v>
                </c:pt>
                <c:pt idx="7">
                  <c:v>-0.36363109999999998</c:v>
                </c:pt>
                <c:pt idx="8">
                  <c:v>-0.64704700000000004</c:v>
                </c:pt>
                <c:pt idx="9">
                  <c:v>-0.70772299999999999</c:v>
                </c:pt>
                <c:pt idx="10">
                  <c:v>-1.00142</c:v>
                </c:pt>
                <c:pt idx="11">
                  <c:v>-1.0653250000000001</c:v>
                </c:pt>
                <c:pt idx="12">
                  <c:v>-1.2492319999999999</c:v>
                </c:pt>
                <c:pt idx="13">
                  <c:v>-2.0262359999999999</c:v>
                </c:pt>
                <c:pt idx="14">
                  <c:v>-2.8211810000000002</c:v>
                </c:pt>
                <c:pt idx="15">
                  <c:v>-3.4702440000000001</c:v>
                </c:pt>
                <c:pt idx="16">
                  <c:v>-3.551329</c:v>
                </c:pt>
                <c:pt idx="17">
                  <c:v>-4.7738490000000002</c:v>
                </c:pt>
              </c:numCache>
            </c:numRef>
          </c:val>
          <c:extLst>
            <c:ext xmlns:c16="http://schemas.microsoft.com/office/drawing/2014/chart" uri="{C3380CC4-5D6E-409C-BE32-E72D297353CC}">
              <c16:uniqueId val="{00000002-F13F-478C-BE55-B13BB9ADD639}"/>
            </c:ext>
          </c:extLst>
        </c:ser>
        <c:dLbls>
          <c:showLegendKey val="0"/>
          <c:showVal val="0"/>
          <c:showCatName val="0"/>
          <c:showSerName val="0"/>
          <c:showPercent val="0"/>
          <c:showBubbleSize val="0"/>
        </c:dLbls>
        <c:gapWidth val="65"/>
        <c:axId val="255910272"/>
        <c:axId val="255911808"/>
      </c:barChart>
      <c:catAx>
        <c:axId val="255910272"/>
        <c:scaling>
          <c:orientation val="minMax"/>
        </c:scaling>
        <c:delete val="0"/>
        <c:axPos val="l"/>
        <c:numFmt formatCode="General" sourceLinked="0"/>
        <c:majorTickMark val="out"/>
        <c:minorTickMark val="none"/>
        <c:tickLblPos val="low"/>
        <c:txPr>
          <a:bodyPr/>
          <a:lstStyle/>
          <a:p>
            <a:pPr>
              <a:defRPr sz="1000">
                <a:latin typeface="Times New Roman" panose="02020603050405020304" pitchFamily="18" charset="0"/>
                <a:cs typeface="Times New Roman" panose="02020603050405020304" pitchFamily="18" charset="0"/>
              </a:defRPr>
            </a:pPr>
            <a:endParaRPr lang="en-US"/>
          </a:p>
        </c:txPr>
        <c:crossAx val="255911808"/>
        <c:crosses val="autoZero"/>
        <c:auto val="1"/>
        <c:lblAlgn val="ctr"/>
        <c:lblOffset val="100"/>
        <c:noMultiLvlLbl val="0"/>
      </c:catAx>
      <c:valAx>
        <c:axId val="255911808"/>
        <c:scaling>
          <c:orientation val="minMax"/>
        </c:scaling>
        <c:delete val="0"/>
        <c:axPos val="b"/>
        <c:numFmt formatCode="0.0" sourceLinked="1"/>
        <c:majorTickMark val="out"/>
        <c:minorTickMark val="none"/>
        <c:tickLblPos val="nextTo"/>
        <c:txPr>
          <a:bodyPr/>
          <a:lstStyle/>
          <a:p>
            <a:pPr>
              <a:defRPr sz="1100">
                <a:latin typeface="Times New Roman" panose="02020603050405020304" pitchFamily="18" charset="0"/>
                <a:cs typeface="Times New Roman" panose="02020603050405020304" pitchFamily="18" charset="0"/>
              </a:defRPr>
            </a:pPr>
            <a:endParaRPr lang="en-US"/>
          </a:p>
        </c:txPr>
        <c:crossAx val="255910272"/>
        <c:crossesAt val="1"/>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i="0">
                <a:latin typeface="Times New Roman" panose="02020603050405020304" pitchFamily="18" charset="0"/>
                <a:cs typeface="Times New Roman" panose="02020603050405020304" pitchFamily="18" charset="0"/>
              </a:defRPr>
            </a:pPr>
            <a:r>
              <a:rPr lang="en-US" sz="1200" b="1" i="0" u="none" strike="noStrike" baseline="0">
                <a:effectLst/>
                <a:latin typeface="Times New Roman" panose="02020603050405020304" pitchFamily="18" charset="0"/>
                <a:cs typeface="Times New Roman" panose="02020603050405020304" pitchFamily="18" charset="0"/>
              </a:rPr>
              <a:t>A. Premium to tertiary and secondary</a:t>
            </a:r>
            <a:endParaRPr lang="en-US" sz="1200" i="0">
              <a:latin typeface="Times New Roman" panose="02020603050405020304" pitchFamily="18" charset="0"/>
              <a:cs typeface="Times New Roman" panose="02020603050405020304" pitchFamily="18" charset="0"/>
            </a:endParaRPr>
          </a:p>
        </c:rich>
      </c:tx>
      <c:overlay val="0"/>
    </c:title>
    <c:autoTitleDeleted val="0"/>
    <c:plotArea>
      <c:layout>
        <c:manualLayout>
          <c:layoutTarget val="inner"/>
          <c:xMode val="edge"/>
          <c:yMode val="edge"/>
          <c:x val="0.13125504695017248"/>
          <c:y val="0.11396383526938994"/>
          <c:w val="0.83993028376364531"/>
          <c:h val="0.68752176193639725"/>
        </c:manualLayout>
      </c:layout>
      <c:lineChart>
        <c:grouping val="standard"/>
        <c:varyColors val="0"/>
        <c:ser>
          <c:idx val="3"/>
          <c:order val="0"/>
          <c:tx>
            <c:strRef>
              <c:f>'F4.2'!$F$36</c:f>
              <c:strCache>
                <c:ptCount val="1"/>
                <c:pt idx="0">
                  <c:v>Secondary over primary</c:v>
                </c:pt>
              </c:strCache>
            </c:strRef>
          </c:tx>
          <c:spPr>
            <a:ln w="19050">
              <a:solidFill>
                <a:schemeClr val="tx2"/>
              </a:solidFill>
            </a:ln>
          </c:spPr>
          <c:marker>
            <c:symbol val="none"/>
          </c:marker>
          <c:cat>
            <c:numRef>
              <c:f>'F4.2'!$D$37:$D$56</c:f>
              <c:numCache>
                <c:formatCode>General</c:formatCode>
                <c:ptCount val="2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numCache>
            </c:numRef>
          </c:cat>
          <c:val>
            <c:numRef>
              <c:f>'F4.2'!$F$37:$F$56</c:f>
              <c:numCache>
                <c:formatCode>General</c:formatCode>
                <c:ptCount val="20"/>
                <c:pt idx="0">
                  <c:v>0.66891036000000004</c:v>
                </c:pt>
                <c:pt idx="1">
                  <c:v>0.79046357</c:v>
                </c:pt>
                <c:pt idx="2">
                  <c:v>0.79456769999999999</c:v>
                </c:pt>
                <c:pt idx="3">
                  <c:v>0.78807976000000002</c:v>
                </c:pt>
                <c:pt idx="4">
                  <c:v>0.78162313000000005</c:v>
                </c:pt>
                <c:pt idx="5">
                  <c:v>0.71342622</c:v>
                </c:pt>
                <c:pt idx="6">
                  <c:v>0.72920339000000001</c:v>
                </c:pt>
                <c:pt idx="7">
                  <c:v>0.77933838</c:v>
                </c:pt>
                <c:pt idx="8">
                  <c:v>0.78628851</c:v>
                </c:pt>
                <c:pt idx="9">
                  <c:v>0.79297607000000003</c:v>
                </c:pt>
                <c:pt idx="10">
                  <c:v>0.81117360000000005</c:v>
                </c:pt>
                <c:pt idx="11">
                  <c:v>0.81180750000000002</c:v>
                </c:pt>
                <c:pt idx="12">
                  <c:v>0.79986464000000002</c:v>
                </c:pt>
                <c:pt idx="13">
                  <c:v>0.78115288999999999</c:v>
                </c:pt>
                <c:pt idx="14">
                  <c:v>0.77102099000000002</c:v>
                </c:pt>
                <c:pt idx="15">
                  <c:v>0.77032560999999999</c:v>
                </c:pt>
                <c:pt idx="16">
                  <c:v>0.69129715999999997</c:v>
                </c:pt>
                <c:pt idx="17">
                  <c:v>0.73506488000000003</c:v>
                </c:pt>
                <c:pt idx="18">
                  <c:v>0.72859569999999996</c:v>
                </c:pt>
                <c:pt idx="19">
                  <c:v>0.69266079999999997</c:v>
                </c:pt>
              </c:numCache>
            </c:numRef>
          </c:val>
          <c:smooth val="0"/>
          <c:extLst>
            <c:ext xmlns:c16="http://schemas.microsoft.com/office/drawing/2014/chart" uri="{C3380CC4-5D6E-409C-BE32-E72D297353CC}">
              <c16:uniqueId val="{00000000-C679-4813-804A-138CB3325B81}"/>
            </c:ext>
          </c:extLst>
        </c:ser>
        <c:ser>
          <c:idx val="2"/>
          <c:order val="1"/>
          <c:tx>
            <c:strRef>
              <c:f>'F4.2'!$E$36</c:f>
              <c:strCache>
                <c:ptCount val="1"/>
                <c:pt idx="0">
                  <c:v>Tertiary over secondary</c:v>
                </c:pt>
              </c:strCache>
            </c:strRef>
          </c:tx>
          <c:spPr>
            <a:ln w="19050">
              <a:solidFill>
                <a:schemeClr val="tx1"/>
              </a:solidFill>
              <a:prstDash val="dash"/>
            </a:ln>
          </c:spPr>
          <c:marker>
            <c:symbol val="none"/>
          </c:marker>
          <c:cat>
            <c:numRef>
              <c:f>'F4.2'!$D$37:$D$56</c:f>
              <c:numCache>
                <c:formatCode>General</c:formatCode>
                <c:ptCount val="2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numCache>
            </c:numRef>
          </c:cat>
          <c:val>
            <c:numRef>
              <c:f>'F4.2'!$E$37:$E$56</c:f>
              <c:numCache>
                <c:formatCode>General</c:formatCode>
                <c:ptCount val="20"/>
                <c:pt idx="0">
                  <c:v>0.70033886999999995</c:v>
                </c:pt>
                <c:pt idx="1">
                  <c:v>0.67485744000000003</c:v>
                </c:pt>
                <c:pt idx="2">
                  <c:v>0.69531810999999999</c:v>
                </c:pt>
                <c:pt idx="3">
                  <c:v>0.69870703000000001</c:v>
                </c:pt>
                <c:pt idx="4">
                  <c:v>0.69676287999999997</c:v>
                </c:pt>
                <c:pt idx="5">
                  <c:v>0.72931566999999997</c:v>
                </c:pt>
                <c:pt idx="6">
                  <c:v>0.73603445000000001</c:v>
                </c:pt>
                <c:pt idx="7">
                  <c:v>0.79107269000000002</c:v>
                </c:pt>
                <c:pt idx="8">
                  <c:v>0.72475639999999997</c:v>
                </c:pt>
                <c:pt idx="9">
                  <c:v>0.78323544</c:v>
                </c:pt>
                <c:pt idx="10">
                  <c:v>0.72693129000000001</c:v>
                </c:pt>
                <c:pt idx="11">
                  <c:v>0.77731238000000002</c:v>
                </c:pt>
                <c:pt idx="12">
                  <c:v>0.70919200000000004</c:v>
                </c:pt>
                <c:pt idx="13">
                  <c:v>0.71765122000000003</c:v>
                </c:pt>
                <c:pt idx="14">
                  <c:v>0.70653096000000004</c:v>
                </c:pt>
                <c:pt idx="15">
                  <c:v>0.69075262000000004</c:v>
                </c:pt>
                <c:pt idx="16">
                  <c:v>0.64842964000000003</c:v>
                </c:pt>
                <c:pt idx="17">
                  <c:v>0.6708404</c:v>
                </c:pt>
                <c:pt idx="18">
                  <c:v>0.70107790999999997</c:v>
                </c:pt>
                <c:pt idx="19">
                  <c:v>0.66300791999999997</c:v>
                </c:pt>
              </c:numCache>
            </c:numRef>
          </c:val>
          <c:smooth val="0"/>
          <c:extLst>
            <c:ext xmlns:c16="http://schemas.microsoft.com/office/drawing/2014/chart" uri="{C3380CC4-5D6E-409C-BE32-E72D297353CC}">
              <c16:uniqueId val="{00000001-C679-4813-804A-138CB3325B81}"/>
            </c:ext>
          </c:extLst>
        </c:ser>
        <c:dLbls>
          <c:showLegendKey val="0"/>
          <c:showVal val="0"/>
          <c:showCatName val="0"/>
          <c:showSerName val="0"/>
          <c:showPercent val="0"/>
          <c:showBubbleSize val="0"/>
        </c:dLbls>
        <c:smooth val="0"/>
        <c:axId val="263011712"/>
        <c:axId val="263017600"/>
      </c:lineChart>
      <c:catAx>
        <c:axId val="263011712"/>
        <c:scaling>
          <c:orientation val="minMax"/>
        </c:scaling>
        <c:delete val="0"/>
        <c:axPos val="b"/>
        <c:numFmt formatCode="General" sourceLinked="1"/>
        <c:majorTickMark val="out"/>
        <c:minorTickMark val="none"/>
        <c:tickLblPos val="nextTo"/>
        <c:txPr>
          <a:bodyPr/>
          <a:lstStyle/>
          <a:p>
            <a:pPr>
              <a:defRPr sz="1100">
                <a:latin typeface="Times New Roman" panose="02020603050405020304" pitchFamily="18" charset="0"/>
                <a:cs typeface="Times New Roman" panose="02020603050405020304" pitchFamily="18" charset="0"/>
              </a:defRPr>
            </a:pPr>
            <a:endParaRPr lang="en-US"/>
          </a:p>
        </c:txPr>
        <c:crossAx val="263017600"/>
        <c:crosses val="autoZero"/>
        <c:auto val="1"/>
        <c:lblAlgn val="ctr"/>
        <c:lblOffset val="100"/>
        <c:noMultiLvlLbl val="0"/>
      </c:catAx>
      <c:valAx>
        <c:axId val="263017600"/>
        <c:scaling>
          <c:orientation val="minMax"/>
          <c:max val="1.1000000000000001"/>
          <c:min val="0.2"/>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Premium (%)</a:t>
                </a:r>
              </a:p>
            </c:rich>
          </c:tx>
          <c:overlay val="0"/>
        </c:title>
        <c:numFmt formatCode="General" sourceLinked="1"/>
        <c:majorTickMark val="out"/>
        <c:minorTickMark val="none"/>
        <c:tickLblPos val="nextTo"/>
        <c:txPr>
          <a:bodyPr/>
          <a:lstStyle/>
          <a:p>
            <a:pPr>
              <a:defRPr sz="1100">
                <a:latin typeface="Times New Roman" panose="02020603050405020304" pitchFamily="18" charset="0"/>
                <a:cs typeface="Times New Roman" panose="02020603050405020304" pitchFamily="18" charset="0"/>
              </a:defRPr>
            </a:pPr>
            <a:endParaRPr lang="en-US"/>
          </a:p>
        </c:txPr>
        <c:crossAx val="263011712"/>
        <c:crosses val="autoZero"/>
        <c:crossBetween val="between"/>
      </c:valAx>
    </c:plotArea>
    <c:legend>
      <c:legendPos val="b"/>
      <c:overlay val="0"/>
      <c:txPr>
        <a:bodyPr/>
        <a:lstStyle/>
        <a:p>
          <a:pPr>
            <a:defRPr sz="1100">
              <a:latin typeface="Times New Roman" panose="02020603050405020304" pitchFamily="18" charset="0"/>
              <a:cs typeface="Times New Roman" panose="02020603050405020304" pitchFamily="18" charset="0"/>
            </a:defRPr>
          </a:pPr>
          <a:endParaRPr lang="en-US"/>
        </a:p>
      </c:txPr>
    </c:legend>
    <c:plotVisOnly val="1"/>
    <c:dispBlanksAs val="zero"/>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kern="1200" baseline="0">
                <a:solidFill>
                  <a:srgbClr val="000000"/>
                </a:solidFill>
                <a:effectLst/>
                <a:latin typeface="Times New Roman"/>
                <a:cs typeface="Times New Roman"/>
              </a:rPr>
              <a:t>B. Premium to each year of education</a:t>
            </a:r>
            <a:endParaRPr lang="en-US" sz="1200">
              <a:effectLst/>
            </a:endParaRPr>
          </a:p>
        </c:rich>
      </c:tx>
      <c:overlay val="0"/>
    </c:title>
    <c:autoTitleDeleted val="0"/>
    <c:plotArea>
      <c:layout>
        <c:manualLayout>
          <c:layoutTarget val="inner"/>
          <c:xMode val="edge"/>
          <c:yMode val="edge"/>
          <c:x val="7.7337909385205128E-2"/>
          <c:y val="0.11646547332131364"/>
          <c:w val="0.89392807198437296"/>
          <c:h val="0.6914498327715054"/>
        </c:manualLayout>
      </c:layout>
      <c:lineChart>
        <c:grouping val="standard"/>
        <c:varyColors val="0"/>
        <c:ser>
          <c:idx val="0"/>
          <c:order val="0"/>
          <c:tx>
            <c:strRef>
              <c:f>'F4.2'!$M$36</c:f>
              <c:strCache>
                <c:ptCount val="1"/>
                <c:pt idx="0">
                  <c:v>1995</c:v>
                </c:pt>
              </c:strCache>
            </c:strRef>
          </c:tx>
          <c:spPr>
            <a:ln w="19050">
              <a:solidFill>
                <a:schemeClr val="tx2"/>
              </a:solidFill>
              <a:prstDash val="dash"/>
            </a:ln>
          </c:spPr>
          <c:marker>
            <c:symbol val="circle"/>
            <c:size val="5"/>
            <c:spPr>
              <a:solidFill>
                <a:schemeClr val="tx2"/>
              </a:solidFill>
              <a:ln>
                <a:solidFill>
                  <a:schemeClr val="tx2"/>
                </a:solidFill>
              </a:ln>
            </c:spPr>
          </c:marker>
          <c:dPt>
            <c:idx val="18"/>
            <c:marker>
              <c:symbol val="none"/>
            </c:marker>
            <c:bubble3D val="0"/>
            <c:spPr>
              <a:ln w="19050">
                <a:noFill/>
                <a:prstDash val="dash"/>
              </a:ln>
            </c:spPr>
            <c:extLst>
              <c:ext xmlns:c16="http://schemas.microsoft.com/office/drawing/2014/chart" uri="{C3380CC4-5D6E-409C-BE32-E72D297353CC}">
                <c16:uniqueId val="{00000001-4690-4602-961D-A15851F30D3C}"/>
              </c:ext>
            </c:extLst>
          </c:dPt>
          <c:dPt>
            <c:idx val="19"/>
            <c:marker>
              <c:symbol val="none"/>
            </c:marker>
            <c:bubble3D val="0"/>
            <c:spPr>
              <a:ln w="19050">
                <a:noFill/>
                <a:prstDash val="dash"/>
              </a:ln>
            </c:spPr>
            <c:extLst>
              <c:ext xmlns:c16="http://schemas.microsoft.com/office/drawing/2014/chart" uri="{C3380CC4-5D6E-409C-BE32-E72D297353CC}">
                <c16:uniqueId val="{00000003-4690-4602-961D-A15851F30D3C}"/>
              </c:ext>
            </c:extLst>
          </c:dPt>
          <c:dPt>
            <c:idx val="20"/>
            <c:marker>
              <c:symbol val="none"/>
            </c:marker>
            <c:bubble3D val="0"/>
            <c:spPr>
              <a:ln w="19050">
                <a:noFill/>
                <a:prstDash val="dash"/>
              </a:ln>
            </c:spPr>
            <c:extLst>
              <c:ext xmlns:c16="http://schemas.microsoft.com/office/drawing/2014/chart" uri="{C3380CC4-5D6E-409C-BE32-E72D297353CC}">
                <c16:uniqueId val="{00000001-0DFE-46DF-89D4-F570F0B5EAEA}"/>
              </c:ext>
            </c:extLst>
          </c:dPt>
          <c:cat>
            <c:numRef>
              <c:f>'F4.2'!$L$37:$L$57</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'F4.2'!$M$37:$M$57</c:f>
              <c:numCache>
                <c:formatCode>General</c:formatCode>
                <c:ptCount val="21"/>
                <c:pt idx="0">
                  <c:v>0</c:v>
                </c:pt>
                <c:pt idx="1">
                  <c:v>4.9562549999999997E-2</c:v>
                </c:pt>
                <c:pt idx="2">
                  <c:v>0.19565852</c:v>
                </c:pt>
                <c:pt idx="3">
                  <c:v>0.17258407000000001</c:v>
                </c:pt>
                <c:pt idx="4">
                  <c:v>0.22223378999999999</c:v>
                </c:pt>
                <c:pt idx="5">
                  <c:v>0.30348776</c:v>
                </c:pt>
                <c:pt idx="6">
                  <c:v>0.45128096000000001</c:v>
                </c:pt>
                <c:pt idx="7">
                  <c:v>0.59170058999999997</c:v>
                </c:pt>
                <c:pt idx="8">
                  <c:v>0.72525452999999995</c:v>
                </c:pt>
                <c:pt idx="9">
                  <c:v>0.75849116999999999</c:v>
                </c:pt>
                <c:pt idx="10">
                  <c:v>0.79363446999999998</c:v>
                </c:pt>
                <c:pt idx="11">
                  <c:v>0.87534080000000003</c:v>
                </c:pt>
                <c:pt idx="12">
                  <c:v>1.1205628999999999</c:v>
                </c:pt>
                <c:pt idx="13">
                  <c:v>1.2499726</c:v>
                </c:pt>
                <c:pt idx="14">
                  <c:v>1.3591575</c:v>
                </c:pt>
                <c:pt idx="15">
                  <c:v>1.4876486</c:v>
                </c:pt>
                <c:pt idx="16">
                  <c:v>1.7260386999999999</c:v>
                </c:pt>
                <c:pt idx="17">
                  <c:v>1.8127726</c:v>
                </c:pt>
                <c:pt idx="18">
                  <c:v>1.8425594999999999</c:v>
                </c:pt>
                <c:pt idx="19">
                  <c:v>2.1488656000000002</c:v>
                </c:pt>
                <c:pt idx="20">
                  <c:v>1.9464892</c:v>
                </c:pt>
              </c:numCache>
            </c:numRef>
          </c:val>
          <c:smooth val="0"/>
          <c:extLst>
            <c:ext xmlns:c16="http://schemas.microsoft.com/office/drawing/2014/chart" uri="{C3380CC4-5D6E-409C-BE32-E72D297353CC}">
              <c16:uniqueId val="{00000002-0DFE-46DF-89D4-F570F0B5EAEA}"/>
            </c:ext>
          </c:extLst>
        </c:ser>
        <c:ser>
          <c:idx val="1"/>
          <c:order val="1"/>
          <c:tx>
            <c:strRef>
              <c:f>'F4.2'!$N$36</c:f>
              <c:strCache>
                <c:ptCount val="1"/>
                <c:pt idx="0">
                  <c:v>2004</c:v>
                </c:pt>
              </c:strCache>
            </c:strRef>
          </c:tx>
          <c:spPr>
            <a:ln w="19050">
              <a:solidFill>
                <a:srgbClr val="C00000"/>
              </a:solidFill>
              <a:prstDash val="dash"/>
            </a:ln>
          </c:spPr>
          <c:marker>
            <c:symbol val="triangle"/>
            <c:size val="5"/>
            <c:spPr>
              <a:solidFill>
                <a:srgbClr val="C00000"/>
              </a:solidFill>
            </c:spPr>
          </c:marker>
          <c:dPt>
            <c:idx val="19"/>
            <c:marker>
              <c:symbol val="none"/>
            </c:marker>
            <c:bubble3D val="0"/>
            <c:spPr>
              <a:ln w="19050">
                <a:noFill/>
                <a:prstDash val="dash"/>
              </a:ln>
            </c:spPr>
            <c:extLst>
              <c:ext xmlns:c16="http://schemas.microsoft.com/office/drawing/2014/chart" uri="{C3380CC4-5D6E-409C-BE32-E72D297353CC}">
                <c16:uniqueId val="{00000007-4690-4602-961D-A15851F30D3C}"/>
              </c:ext>
            </c:extLst>
          </c:dPt>
          <c:dPt>
            <c:idx val="20"/>
            <c:marker>
              <c:symbol val="none"/>
            </c:marker>
            <c:bubble3D val="0"/>
            <c:spPr>
              <a:ln w="19050">
                <a:noFill/>
                <a:prstDash val="dash"/>
              </a:ln>
            </c:spPr>
            <c:extLst>
              <c:ext xmlns:c16="http://schemas.microsoft.com/office/drawing/2014/chart" uri="{C3380CC4-5D6E-409C-BE32-E72D297353CC}">
                <c16:uniqueId val="{00000004-0DFE-46DF-89D4-F570F0B5EAEA}"/>
              </c:ext>
            </c:extLst>
          </c:dPt>
          <c:cat>
            <c:numRef>
              <c:f>'F4.2'!$L$37:$L$57</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'F4.2'!$N$37:$N$57</c:f>
              <c:numCache>
                <c:formatCode>General</c:formatCode>
                <c:ptCount val="21"/>
                <c:pt idx="0">
                  <c:v>0</c:v>
                </c:pt>
                <c:pt idx="1">
                  <c:v>0.19586925999999999</c:v>
                </c:pt>
                <c:pt idx="2">
                  <c:v>0.17263054999999999</c:v>
                </c:pt>
                <c:pt idx="3">
                  <c:v>0.37044292000000001</c:v>
                </c:pt>
                <c:pt idx="4">
                  <c:v>0.41166276000000002</c:v>
                </c:pt>
                <c:pt idx="5">
                  <c:v>0.46898747000000002</c:v>
                </c:pt>
                <c:pt idx="6">
                  <c:v>0.72394312000000005</c:v>
                </c:pt>
                <c:pt idx="7">
                  <c:v>0.91406659999999995</c:v>
                </c:pt>
                <c:pt idx="8">
                  <c:v>1.0569042</c:v>
                </c:pt>
                <c:pt idx="9">
                  <c:v>1.1525458</c:v>
                </c:pt>
                <c:pt idx="10">
                  <c:v>1.0433956</c:v>
                </c:pt>
                <c:pt idx="11">
                  <c:v>1.2322447000000001</c:v>
                </c:pt>
                <c:pt idx="12">
                  <c:v>1.5169948</c:v>
                </c:pt>
                <c:pt idx="13">
                  <c:v>1.7173518000000001</c:v>
                </c:pt>
                <c:pt idx="14">
                  <c:v>1.8249523000000001</c:v>
                </c:pt>
                <c:pt idx="15">
                  <c:v>1.903618</c:v>
                </c:pt>
                <c:pt idx="16">
                  <c:v>2.0159981999999999</c:v>
                </c:pt>
                <c:pt idx="17">
                  <c:v>2.2979433999999999</c:v>
                </c:pt>
                <c:pt idx="18">
                  <c:v>2.3716727999999998</c:v>
                </c:pt>
                <c:pt idx="19">
                  <c:v>2.6063139999999998</c:v>
                </c:pt>
                <c:pt idx="20">
                  <c:v>2.6952972000000002</c:v>
                </c:pt>
              </c:numCache>
            </c:numRef>
          </c:val>
          <c:smooth val="0"/>
          <c:extLst>
            <c:ext xmlns:c16="http://schemas.microsoft.com/office/drawing/2014/chart" uri="{C3380CC4-5D6E-409C-BE32-E72D297353CC}">
              <c16:uniqueId val="{00000005-0DFE-46DF-89D4-F570F0B5EAEA}"/>
            </c:ext>
          </c:extLst>
        </c:ser>
        <c:ser>
          <c:idx val="2"/>
          <c:order val="2"/>
          <c:tx>
            <c:strRef>
              <c:f>'F4.2'!$O$36</c:f>
              <c:strCache>
                <c:ptCount val="1"/>
                <c:pt idx="0">
                  <c:v>2013</c:v>
                </c:pt>
              </c:strCache>
            </c:strRef>
          </c:tx>
          <c:spPr>
            <a:ln w="19050">
              <a:solidFill>
                <a:schemeClr val="bg2">
                  <a:lumMod val="50000"/>
                </a:schemeClr>
              </a:solidFill>
              <a:prstDash val="dashDot"/>
            </a:ln>
          </c:spPr>
          <c:marker>
            <c:symbol val="square"/>
            <c:size val="5"/>
            <c:spPr>
              <a:solidFill>
                <a:schemeClr val="bg2">
                  <a:lumMod val="50000"/>
                </a:schemeClr>
              </a:solidFill>
            </c:spPr>
          </c:marker>
          <c:dPt>
            <c:idx val="19"/>
            <c:marker>
              <c:symbol val="none"/>
            </c:marker>
            <c:bubble3D val="0"/>
            <c:spPr>
              <a:ln w="19050">
                <a:noFill/>
                <a:prstDash val="dashDot"/>
              </a:ln>
            </c:spPr>
            <c:extLst>
              <c:ext xmlns:c16="http://schemas.microsoft.com/office/drawing/2014/chart" uri="{C3380CC4-5D6E-409C-BE32-E72D297353CC}">
                <c16:uniqueId val="{0000000B-4690-4602-961D-A15851F30D3C}"/>
              </c:ext>
            </c:extLst>
          </c:dPt>
          <c:dPt>
            <c:idx val="20"/>
            <c:marker>
              <c:symbol val="none"/>
            </c:marker>
            <c:bubble3D val="0"/>
            <c:spPr>
              <a:ln w="19050">
                <a:solidFill>
                  <a:schemeClr val="bg1"/>
                </a:solidFill>
                <a:prstDash val="dashDot"/>
              </a:ln>
            </c:spPr>
            <c:extLst>
              <c:ext xmlns:c16="http://schemas.microsoft.com/office/drawing/2014/chart" uri="{C3380CC4-5D6E-409C-BE32-E72D297353CC}">
                <c16:uniqueId val="{00000007-0DFE-46DF-89D4-F570F0B5EAEA}"/>
              </c:ext>
            </c:extLst>
          </c:dPt>
          <c:cat>
            <c:numRef>
              <c:f>'F4.2'!$L$37:$L$57</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'F4.2'!$O$37:$O$57</c:f>
              <c:numCache>
                <c:formatCode>General</c:formatCode>
                <c:ptCount val="21"/>
                <c:pt idx="0">
                  <c:v>0</c:v>
                </c:pt>
                <c:pt idx="1">
                  <c:v>0.13941761999999999</c:v>
                </c:pt>
                <c:pt idx="2">
                  <c:v>0.26619439</c:v>
                </c:pt>
                <c:pt idx="3">
                  <c:v>0.44732265999999998</c:v>
                </c:pt>
                <c:pt idx="4">
                  <c:v>0.50881317000000004</c:v>
                </c:pt>
                <c:pt idx="5">
                  <c:v>0.43418119999999999</c:v>
                </c:pt>
                <c:pt idx="6">
                  <c:v>0.60692385000000004</c:v>
                </c:pt>
                <c:pt idx="7">
                  <c:v>0.83944406999999999</c:v>
                </c:pt>
                <c:pt idx="8">
                  <c:v>0.87596784999999999</c:v>
                </c:pt>
                <c:pt idx="9">
                  <c:v>1.0696715000000001</c:v>
                </c:pt>
                <c:pt idx="10">
                  <c:v>1.0226252</c:v>
                </c:pt>
                <c:pt idx="11">
                  <c:v>1.0665899000000001</c:v>
                </c:pt>
                <c:pt idx="12">
                  <c:v>1.3331298</c:v>
                </c:pt>
                <c:pt idx="13">
                  <c:v>1.4887102000000001</c:v>
                </c:pt>
                <c:pt idx="14">
                  <c:v>1.5423617999999999</c:v>
                </c:pt>
                <c:pt idx="15">
                  <c:v>1.6250169999999999</c:v>
                </c:pt>
                <c:pt idx="16">
                  <c:v>1.7063675</c:v>
                </c:pt>
                <c:pt idx="17">
                  <c:v>1.9407922</c:v>
                </c:pt>
                <c:pt idx="18">
                  <c:v>2.1630649000000002</c:v>
                </c:pt>
                <c:pt idx="19">
                  <c:v>2.4466204999999999</c:v>
                </c:pt>
                <c:pt idx="20">
                  <c:v>2.9782787000000002</c:v>
                </c:pt>
              </c:numCache>
            </c:numRef>
          </c:val>
          <c:smooth val="0"/>
          <c:extLst>
            <c:ext xmlns:c16="http://schemas.microsoft.com/office/drawing/2014/chart" uri="{C3380CC4-5D6E-409C-BE32-E72D297353CC}">
              <c16:uniqueId val="{00000008-0DFE-46DF-89D4-F570F0B5EAEA}"/>
            </c:ext>
          </c:extLst>
        </c:ser>
        <c:dLbls>
          <c:showLegendKey val="0"/>
          <c:showVal val="0"/>
          <c:showCatName val="0"/>
          <c:showSerName val="0"/>
          <c:showPercent val="0"/>
          <c:showBubbleSize val="0"/>
        </c:dLbls>
        <c:marker val="1"/>
        <c:smooth val="0"/>
        <c:axId val="262933120"/>
        <c:axId val="262951296"/>
      </c:lineChart>
      <c:catAx>
        <c:axId val="262933120"/>
        <c:scaling>
          <c:orientation val="minMax"/>
        </c:scaling>
        <c:delete val="0"/>
        <c:axPos val="b"/>
        <c:numFmt formatCode="General" sourceLinked="1"/>
        <c:majorTickMark val="out"/>
        <c:minorTickMark val="none"/>
        <c:tickLblPos val="nextTo"/>
        <c:txPr>
          <a:bodyPr/>
          <a:lstStyle/>
          <a:p>
            <a:pPr>
              <a:defRPr sz="1100">
                <a:latin typeface="Times New Roman" panose="02020603050405020304" pitchFamily="18" charset="0"/>
                <a:cs typeface="Times New Roman" panose="02020603050405020304" pitchFamily="18" charset="0"/>
              </a:defRPr>
            </a:pPr>
            <a:endParaRPr lang="en-US"/>
          </a:p>
        </c:txPr>
        <c:crossAx val="262951296"/>
        <c:crosses val="autoZero"/>
        <c:auto val="1"/>
        <c:lblAlgn val="ctr"/>
        <c:lblOffset val="100"/>
        <c:tickLblSkip val="5"/>
        <c:tickMarkSkip val="1"/>
        <c:noMultiLvlLbl val="0"/>
      </c:catAx>
      <c:valAx>
        <c:axId val="262951296"/>
        <c:scaling>
          <c:orientation val="minMax"/>
          <c:max val="2.5"/>
          <c:min val="0"/>
        </c:scaling>
        <c:delete val="0"/>
        <c:axPos val="l"/>
        <c:numFmt formatCode="General" sourceLinked="1"/>
        <c:majorTickMark val="out"/>
        <c:minorTickMark val="none"/>
        <c:tickLblPos val="nextTo"/>
        <c:txPr>
          <a:bodyPr/>
          <a:lstStyle/>
          <a:p>
            <a:pPr>
              <a:defRPr sz="1100">
                <a:latin typeface="Times New Roman" panose="02020603050405020304" pitchFamily="18" charset="0"/>
                <a:cs typeface="Times New Roman" panose="02020603050405020304" pitchFamily="18" charset="0"/>
              </a:defRPr>
            </a:pPr>
            <a:endParaRPr lang="en-US"/>
          </a:p>
        </c:txPr>
        <c:crossAx val="262933120"/>
        <c:crosses val="autoZero"/>
        <c:crossBetween val="between"/>
      </c:valAx>
    </c:plotArea>
    <c:legend>
      <c:legendPos val="b"/>
      <c:layout>
        <c:manualLayout>
          <c:xMode val="edge"/>
          <c:yMode val="edge"/>
          <c:x val="0.25653410966604573"/>
          <c:y val="0.92261478315730561"/>
          <c:w val="0.49370268374088538"/>
          <c:h val="5.8697861534278542E-2"/>
        </c:manualLayout>
      </c:layout>
      <c:overlay val="0"/>
      <c:txPr>
        <a:bodyPr/>
        <a:lstStyle/>
        <a:p>
          <a:pPr>
            <a:defRPr sz="1050">
              <a:latin typeface="Times New Roman" panose="02020603050405020304" pitchFamily="18" charset="0"/>
              <a:cs typeface="Times New Roman" panose="02020603050405020304" pitchFamily="18" charset="0"/>
            </a:defRPr>
          </a:pPr>
          <a:endParaRPr lang="en-US"/>
        </a:p>
      </c:txPr>
    </c:legend>
    <c:plotVisOnly val="1"/>
    <c:dispBlanksAs val="zero"/>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i="0">
                <a:latin typeface="Times New Roman" panose="02020603050405020304" pitchFamily="18" charset="0"/>
                <a:cs typeface="Times New Roman" panose="02020603050405020304" pitchFamily="18" charset="0"/>
              </a:defRPr>
            </a:pPr>
            <a:r>
              <a:rPr lang="en-US" sz="1200" b="1" i="0" u="none" strike="noStrike" baseline="0">
                <a:effectLst/>
                <a:latin typeface="Times New Roman" panose="02020603050405020304" pitchFamily="18" charset="0"/>
                <a:cs typeface="Times New Roman" panose="02020603050405020304" pitchFamily="18" charset="0"/>
              </a:rPr>
              <a:t>A. Returns to a year of schooling by region</a:t>
            </a:r>
            <a:endParaRPr lang="en-US" sz="1200" i="0">
              <a:latin typeface="Times New Roman" panose="02020603050405020304" pitchFamily="18" charset="0"/>
              <a:cs typeface="Times New Roman" panose="02020603050405020304" pitchFamily="18" charset="0"/>
            </a:endParaRPr>
          </a:p>
        </c:rich>
      </c:tx>
      <c:overlay val="0"/>
    </c:title>
    <c:autoTitleDeleted val="0"/>
    <c:plotArea>
      <c:layout>
        <c:manualLayout>
          <c:layoutTarget val="inner"/>
          <c:xMode val="edge"/>
          <c:yMode val="edge"/>
          <c:x val="0.13125504695017248"/>
          <c:y val="0.11396383526938994"/>
          <c:w val="0.83993028376364531"/>
          <c:h val="0.68752176193639725"/>
        </c:manualLayout>
      </c:layout>
      <c:barChart>
        <c:barDir val="bar"/>
        <c:grouping val="clustered"/>
        <c:varyColors val="0"/>
        <c:ser>
          <c:idx val="3"/>
          <c:order val="0"/>
          <c:tx>
            <c:strRef>
              <c:f>'F4.3'!$C$35</c:f>
              <c:strCache>
                <c:ptCount val="1"/>
                <c:pt idx="0">
                  <c:v>a</c:v>
                </c:pt>
              </c:strCache>
            </c:strRef>
          </c:tx>
          <c:spPr>
            <a:solidFill>
              <a:schemeClr val="tx2"/>
            </a:solidFill>
            <a:ln w="19050">
              <a:solidFill>
                <a:schemeClr val="tx2"/>
              </a:solidFill>
            </a:ln>
          </c:spPr>
          <c:invertIfNegative val="0"/>
          <c:dPt>
            <c:idx val="4"/>
            <c:invertIfNegative val="0"/>
            <c:bubble3D val="0"/>
            <c:spPr>
              <a:solidFill>
                <a:srgbClr val="C00000"/>
              </a:solidFill>
              <a:ln w="19050">
                <a:solidFill>
                  <a:srgbClr val="C00000"/>
                </a:solidFill>
              </a:ln>
            </c:spPr>
            <c:extLst>
              <c:ext xmlns:c16="http://schemas.microsoft.com/office/drawing/2014/chart" uri="{C3380CC4-5D6E-409C-BE32-E72D297353CC}">
                <c16:uniqueId val="{00000001-DCB0-4C71-B672-4245CA7007B0}"/>
              </c:ext>
            </c:extLst>
          </c:dPt>
          <c:dPt>
            <c:idx val="5"/>
            <c:invertIfNegative val="0"/>
            <c:bubble3D val="0"/>
            <c:spPr>
              <a:solidFill>
                <a:schemeClr val="bg2">
                  <a:lumMod val="50000"/>
                </a:schemeClr>
              </a:solidFill>
              <a:ln w="19050">
                <a:solidFill>
                  <a:schemeClr val="tx2"/>
                </a:solidFill>
              </a:ln>
            </c:spPr>
            <c:extLst>
              <c:ext xmlns:c16="http://schemas.microsoft.com/office/drawing/2014/chart" uri="{C3380CC4-5D6E-409C-BE32-E72D297353CC}">
                <c16:uniqueId val="{00000003-5113-4F07-B37C-13864EB404CC}"/>
              </c:ext>
            </c:extLst>
          </c:dPt>
          <c:dLbls>
            <c:numFmt formatCode="#,##0.0" sourceLinked="0"/>
            <c:spPr>
              <a:noFill/>
              <a:ln>
                <a:noFill/>
              </a:ln>
              <a:effectLst/>
            </c:spPr>
            <c:txPr>
              <a:bodyPr/>
              <a:lstStyle/>
              <a:p>
                <a:pPr>
                  <a:defRPr sz="1100">
                    <a:latin typeface="Times New Roman" panose="02020603050405020304" pitchFamily="18"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'F4.3'!$B$36:$B$43</c:f>
              <c:strCache>
                <c:ptCount val="8"/>
                <c:pt idx="0">
                  <c:v>Middle East &amp; North Africa</c:v>
                </c:pt>
                <c:pt idx="1">
                  <c:v>South Asia</c:v>
                </c:pt>
                <c:pt idx="2">
                  <c:v>Europe &amp; Central Asia</c:v>
                </c:pt>
                <c:pt idx="3">
                  <c:v>East Asia Pacific</c:v>
                </c:pt>
                <c:pt idx="4">
                  <c:v>Panama</c:v>
                </c:pt>
                <c:pt idx="5">
                  <c:v>Latin America</c:v>
                </c:pt>
                <c:pt idx="6">
                  <c:v>OECD</c:v>
                </c:pt>
                <c:pt idx="7">
                  <c:v>Sub-Saharan Africa</c:v>
                </c:pt>
              </c:strCache>
            </c:strRef>
          </c:cat>
          <c:val>
            <c:numRef>
              <c:f>'F4.3'!$C$36:$C$43</c:f>
              <c:numCache>
                <c:formatCode>0.00</c:formatCode>
                <c:ptCount val="8"/>
                <c:pt idx="0">
                  <c:v>6.2125000000000004</c:v>
                </c:pt>
                <c:pt idx="1">
                  <c:v>7.67143</c:v>
                </c:pt>
                <c:pt idx="2">
                  <c:v>8.3000000000000007</c:v>
                </c:pt>
                <c:pt idx="3">
                  <c:v>9.4076900000000006</c:v>
                </c:pt>
                <c:pt idx="4">
                  <c:v>10</c:v>
                </c:pt>
                <c:pt idx="5">
                  <c:v>9.6</c:v>
                </c:pt>
                <c:pt idx="6">
                  <c:v>9.7793100000000006</c:v>
                </c:pt>
                <c:pt idx="7">
                  <c:v>12.363</c:v>
                </c:pt>
              </c:numCache>
            </c:numRef>
          </c:val>
          <c:extLst>
            <c:ext xmlns:c16="http://schemas.microsoft.com/office/drawing/2014/chart" uri="{C3380CC4-5D6E-409C-BE32-E72D297353CC}">
              <c16:uniqueId val="{00000002-DCB0-4C71-B672-4245CA7007B0}"/>
            </c:ext>
          </c:extLst>
        </c:ser>
        <c:dLbls>
          <c:showLegendKey val="0"/>
          <c:showVal val="0"/>
          <c:showCatName val="0"/>
          <c:showSerName val="0"/>
          <c:showPercent val="0"/>
          <c:showBubbleSize val="0"/>
        </c:dLbls>
        <c:gapWidth val="150"/>
        <c:axId val="263160192"/>
        <c:axId val="263161728"/>
      </c:barChart>
      <c:catAx>
        <c:axId val="263160192"/>
        <c:scaling>
          <c:orientation val="minMax"/>
        </c:scaling>
        <c:delete val="0"/>
        <c:axPos val="l"/>
        <c:numFmt formatCode="General" sourceLinked="1"/>
        <c:majorTickMark val="out"/>
        <c:minorTickMark val="none"/>
        <c:tickLblPos val="nextTo"/>
        <c:txPr>
          <a:bodyPr/>
          <a:lstStyle/>
          <a:p>
            <a:pPr>
              <a:defRPr sz="1100">
                <a:latin typeface="Times New Roman" panose="02020603050405020304" pitchFamily="18" charset="0"/>
                <a:cs typeface="Times New Roman" panose="02020603050405020304" pitchFamily="18" charset="0"/>
              </a:defRPr>
            </a:pPr>
            <a:endParaRPr lang="en-US"/>
          </a:p>
        </c:txPr>
        <c:crossAx val="263161728"/>
        <c:crosses val="autoZero"/>
        <c:auto val="1"/>
        <c:lblAlgn val="ctr"/>
        <c:lblOffset val="100"/>
        <c:noMultiLvlLbl val="0"/>
      </c:catAx>
      <c:valAx>
        <c:axId val="263161728"/>
        <c:scaling>
          <c:orientation val="minMax"/>
        </c:scaling>
        <c:delete val="0"/>
        <c:axPos val="b"/>
        <c:title>
          <c:tx>
            <c:rich>
              <a:bodyPr/>
              <a:lstStyle/>
              <a:p>
                <a:pPr>
                  <a:defRPr sz="1100" b="0">
                    <a:latin typeface="Times New Roman" panose="02020603050405020304" pitchFamily="18" charset="0"/>
                    <a:cs typeface="Times New Roman" panose="02020603050405020304" pitchFamily="18" charset="0"/>
                  </a:defRPr>
                </a:pPr>
                <a:r>
                  <a:rPr lang="en-US" sz="1100" b="0">
                    <a:latin typeface="Times New Roman" panose="02020603050405020304" pitchFamily="18" charset="0"/>
                    <a:cs typeface="Times New Roman" panose="02020603050405020304" pitchFamily="18" charset="0"/>
                  </a:rPr>
                  <a:t>Returns to one year of schooling (%)</a:t>
                </a:r>
              </a:p>
            </c:rich>
          </c:tx>
          <c:overlay val="0"/>
        </c:title>
        <c:numFmt formatCode="0" sourceLinked="0"/>
        <c:majorTickMark val="out"/>
        <c:minorTickMark val="none"/>
        <c:tickLblPos val="nextTo"/>
        <c:txPr>
          <a:bodyPr/>
          <a:lstStyle/>
          <a:p>
            <a:pPr>
              <a:defRPr sz="1100">
                <a:latin typeface="Times New Roman" panose="02020603050405020304" pitchFamily="18" charset="0"/>
                <a:cs typeface="Times New Roman" panose="02020603050405020304" pitchFamily="18" charset="0"/>
              </a:defRPr>
            </a:pPr>
            <a:endParaRPr lang="en-US"/>
          </a:p>
        </c:txPr>
        <c:crossAx val="263160192"/>
        <c:crosses val="autoZero"/>
        <c:crossBetween val="between"/>
      </c:valAx>
    </c:plotArea>
    <c:plotVisOnly val="1"/>
    <c:dispBlanksAs val="zero"/>
    <c:showDLblsOverMax val="0"/>
  </c:chart>
  <c:spPr>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kern="1200" baseline="0">
                <a:solidFill>
                  <a:srgbClr val="000000"/>
                </a:solidFill>
                <a:effectLst/>
                <a:latin typeface="Times New Roman"/>
                <a:cs typeface="Times New Roman"/>
              </a:rPr>
              <a:t>B. Returns to tertiary education by region</a:t>
            </a:r>
            <a:endParaRPr lang="en-US" sz="1200">
              <a:effectLst/>
            </a:endParaRPr>
          </a:p>
        </c:rich>
      </c:tx>
      <c:overlay val="0"/>
    </c:title>
    <c:autoTitleDeleted val="0"/>
    <c:plotArea>
      <c:layout>
        <c:manualLayout>
          <c:layoutTarget val="inner"/>
          <c:xMode val="edge"/>
          <c:yMode val="edge"/>
          <c:x val="7.7337909385205128E-2"/>
          <c:y val="0.11646547332131364"/>
          <c:w val="0.89392807198437296"/>
          <c:h val="0.68474485445709476"/>
        </c:manualLayout>
      </c:layout>
      <c:barChart>
        <c:barDir val="bar"/>
        <c:grouping val="clustered"/>
        <c:varyColors val="0"/>
        <c:ser>
          <c:idx val="0"/>
          <c:order val="0"/>
          <c:tx>
            <c:strRef>
              <c:f>'F4.3'!$G$35</c:f>
              <c:strCache>
                <c:ptCount val="1"/>
                <c:pt idx="0">
                  <c:v>e</c:v>
                </c:pt>
              </c:strCache>
            </c:strRef>
          </c:tx>
          <c:spPr>
            <a:solidFill>
              <a:schemeClr val="tx2"/>
            </a:solidFill>
            <a:ln w="19050">
              <a:solidFill>
                <a:schemeClr val="tx2"/>
              </a:solidFill>
              <a:prstDash val="solid"/>
            </a:ln>
          </c:spPr>
          <c:invertIfNegative val="0"/>
          <c:dPt>
            <c:idx val="4"/>
            <c:invertIfNegative val="0"/>
            <c:bubble3D val="0"/>
            <c:spPr>
              <a:solidFill>
                <a:srgbClr val="C00000"/>
              </a:solidFill>
              <a:ln w="19050">
                <a:solidFill>
                  <a:srgbClr val="C00000"/>
                </a:solidFill>
                <a:prstDash val="solid"/>
              </a:ln>
            </c:spPr>
            <c:extLst>
              <c:ext xmlns:c16="http://schemas.microsoft.com/office/drawing/2014/chart" uri="{C3380CC4-5D6E-409C-BE32-E72D297353CC}">
                <c16:uniqueId val="{00000001-BBFA-40AD-B8FA-73EFDE7788CC}"/>
              </c:ext>
            </c:extLst>
          </c:dPt>
          <c:dPt>
            <c:idx val="5"/>
            <c:invertIfNegative val="0"/>
            <c:bubble3D val="0"/>
            <c:spPr>
              <a:solidFill>
                <a:schemeClr val="bg2">
                  <a:lumMod val="50000"/>
                </a:schemeClr>
              </a:solidFill>
              <a:ln w="19050">
                <a:solidFill>
                  <a:schemeClr val="tx2"/>
                </a:solidFill>
                <a:prstDash val="solid"/>
              </a:ln>
            </c:spPr>
            <c:extLst>
              <c:ext xmlns:c16="http://schemas.microsoft.com/office/drawing/2014/chart" uri="{C3380CC4-5D6E-409C-BE32-E72D297353CC}">
                <c16:uniqueId val="{00000003-BBFA-40AD-B8FA-73EFDE7788CC}"/>
              </c:ext>
            </c:extLst>
          </c:dPt>
          <c:dPt>
            <c:idx val="20"/>
            <c:invertIfNegative val="0"/>
            <c:bubble3D val="0"/>
            <c:extLst>
              <c:ext xmlns:c16="http://schemas.microsoft.com/office/drawing/2014/chart" uri="{C3380CC4-5D6E-409C-BE32-E72D297353CC}">
                <c16:uniqueId val="{00000000-AA14-4D96-9494-503571A57D2F}"/>
              </c:ext>
            </c:extLst>
          </c:dPt>
          <c:dLbls>
            <c:numFmt formatCode="#,##0.0" sourceLinked="0"/>
            <c:spPr>
              <a:noFill/>
              <a:ln>
                <a:noFill/>
              </a:ln>
              <a:effectLst/>
            </c:spPr>
            <c:txPr>
              <a:bodyPr/>
              <a:lstStyle/>
              <a:p>
                <a:pPr>
                  <a:defRPr sz="1100">
                    <a:latin typeface="Times New Roman" panose="02020603050405020304" pitchFamily="18"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'F4.3'!$F$36:$F$43</c:f>
              <c:strCache>
                <c:ptCount val="8"/>
                <c:pt idx="0">
                  <c:v>Middle East &amp; North Africa</c:v>
                </c:pt>
                <c:pt idx="1">
                  <c:v>OECD</c:v>
                </c:pt>
                <c:pt idx="2">
                  <c:v>Europe &amp; Central Asia</c:v>
                </c:pt>
                <c:pt idx="3">
                  <c:v>East Asia Pacific</c:v>
                </c:pt>
                <c:pt idx="4">
                  <c:v>Panama</c:v>
                </c:pt>
                <c:pt idx="5">
                  <c:v>Latin America</c:v>
                </c:pt>
                <c:pt idx="6">
                  <c:v>South Asia</c:v>
                </c:pt>
                <c:pt idx="7">
                  <c:v>Sub-Saharan Africa</c:v>
                </c:pt>
              </c:strCache>
            </c:strRef>
          </c:cat>
          <c:val>
            <c:numRef>
              <c:f>'F4.3'!$G$36:$G$43</c:f>
              <c:numCache>
                <c:formatCode>General</c:formatCode>
                <c:ptCount val="8"/>
                <c:pt idx="0">
                  <c:v>9.1</c:v>
                </c:pt>
                <c:pt idx="1">
                  <c:v>10.8185</c:v>
                </c:pt>
                <c:pt idx="2">
                  <c:v>11.3188</c:v>
                </c:pt>
                <c:pt idx="3">
                  <c:v>14.7583</c:v>
                </c:pt>
                <c:pt idx="4">
                  <c:v>16.2</c:v>
                </c:pt>
                <c:pt idx="5">
                  <c:v>16.600000000000001</c:v>
                </c:pt>
                <c:pt idx="6">
                  <c:v>17.36</c:v>
                </c:pt>
                <c:pt idx="7">
                  <c:v>21.695699999999999</c:v>
                </c:pt>
              </c:numCache>
            </c:numRef>
          </c:val>
          <c:extLst>
            <c:ext xmlns:c16="http://schemas.microsoft.com/office/drawing/2014/chart" uri="{C3380CC4-5D6E-409C-BE32-E72D297353CC}">
              <c16:uniqueId val="{00000001-AA14-4D96-9494-503571A57D2F}"/>
            </c:ext>
          </c:extLst>
        </c:ser>
        <c:dLbls>
          <c:dLblPos val="outEnd"/>
          <c:showLegendKey val="0"/>
          <c:showVal val="1"/>
          <c:showCatName val="0"/>
          <c:showSerName val="0"/>
          <c:showPercent val="0"/>
          <c:showBubbleSize val="0"/>
        </c:dLbls>
        <c:gapWidth val="150"/>
        <c:axId val="263186304"/>
        <c:axId val="264513024"/>
      </c:barChart>
      <c:catAx>
        <c:axId val="263186304"/>
        <c:scaling>
          <c:orientation val="minMax"/>
        </c:scaling>
        <c:delete val="0"/>
        <c:axPos val="l"/>
        <c:numFmt formatCode="General" sourceLinked="1"/>
        <c:majorTickMark val="out"/>
        <c:minorTickMark val="none"/>
        <c:tickLblPos val="nextTo"/>
        <c:txPr>
          <a:bodyPr/>
          <a:lstStyle/>
          <a:p>
            <a:pPr>
              <a:defRPr sz="1100">
                <a:latin typeface="Times New Roman" panose="02020603050405020304" pitchFamily="18" charset="0"/>
                <a:cs typeface="Times New Roman" panose="02020603050405020304" pitchFamily="18" charset="0"/>
              </a:defRPr>
            </a:pPr>
            <a:endParaRPr lang="en-US"/>
          </a:p>
        </c:txPr>
        <c:crossAx val="264513024"/>
        <c:crosses val="autoZero"/>
        <c:auto val="1"/>
        <c:lblAlgn val="ctr"/>
        <c:lblOffset val="100"/>
        <c:noMultiLvlLbl val="0"/>
      </c:catAx>
      <c:valAx>
        <c:axId val="264513024"/>
        <c:scaling>
          <c:orientation val="minMax"/>
        </c:scaling>
        <c:delete val="0"/>
        <c:axPos val="b"/>
        <c:title>
          <c:tx>
            <c:rich>
              <a:bodyPr/>
              <a:lstStyle/>
              <a:p>
                <a:pPr>
                  <a:defRPr sz="1100" b="0">
                    <a:latin typeface="Times New Roman" panose="02020603050405020304" pitchFamily="18" charset="0"/>
                    <a:cs typeface="Times New Roman" panose="02020603050405020304" pitchFamily="18" charset="0"/>
                  </a:defRPr>
                </a:pPr>
                <a:r>
                  <a:rPr lang="en-US" sz="1100" b="0">
                    <a:latin typeface="Times New Roman" panose="02020603050405020304" pitchFamily="18" charset="0"/>
                    <a:cs typeface="Times New Roman" panose="02020603050405020304" pitchFamily="18" charset="0"/>
                  </a:rPr>
                  <a:t>Returns to tertiary (%)</a:t>
                </a:r>
              </a:p>
            </c:rich>
          </c:tx>
          <c:overlay val="0"/>
        </c:title>
        <c:numFmt formatCode="General" sourceLinked="1"/>
        <c:majorTickMark val="out"/>
        <c:minorTickMark val="none"/>
        <c:tickLblPos val="nextTo"/>
        <c:txPr>
          <a:bodyPr/>
          <a:lstStyle/>
          <a:p>
            <a:pPr>
              <a:defRPr sz="1100">
                <a:latin typeface="Times New Roman" panose="02020603050405020304" pitchFamily="18" charset="0"/>
                <a:cs typeface="Times New Roman" panose="02020603050405020304" pitchFamily="18" charset="0"/>
              </a:defRPr>
            </a:pPr>
            <a:endParaRPr lang="en-US"/>
          </a:p>
        </c:txPr>
        <c:crossAx val="263186304"/>
        <c:crosses val="autoZero"/>
        <c:crossBetween val="between"/>
      </c:valAx>
    </c:plotArea>
    <c:plotVisOnly val="1"/>
    <c:dispBlanksAs val="zero"/>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Times New Roman" panose="02020603050405020304" pitchFamily="18" charset="0"/>
                <a:cs typeface="Times New Roman" panose="02020603050405020304" pitchFamily="18" charset="0"/>
              </a:defRPr>
            </a:pPr>
            <a:r>
              <a:rPr lang="en-US" sz="1200">
                <a:latin typeface="Times New Roman" panose="02020603050405020304" pitchFamily="18" charset="0"/>
                <a:cs typeface="Times New Roman" panose="02020603050405020304" pitchFamily="18" charset="0"/>
              </a:rPr>
              <a:t>A. Argentina</a:t>
            </a:r>
          </a:p>
        </c:rich>
      </c:tx>
      <c:overlay val="0"/>
    </c:title>
    <c:autoTitleDeleted val="0"/>
    <c:plotArea>
      <c:layout/>
      <c:lineChart>
        <c:grouping val="standard"/>
        <c:varyColors val="0"/>
        <c:ser>
          <c:idx val="1"/>
          <c:order val="0"/>
          <c:tx>
            <c:strRef>
              <c:f>'F4.5'!$D$42</c:f>
              <c:strCache>
                <c:ptCount val="1"/>
                <c:pt idx="0">
                  <c:v>Observed</c:v>
                </c:pt>
              </c:strCache>
            </c:strRef>
          </c:tx>
          <c:spPr>
            <a:ln>
              <a:solidFill>
                <a:schemeClr val="tx2"/>
              </a:solidFill>
            </a:ln>
          </c:spPr>
          <c:marker>
            <c:symbol val="none"/>
          </c:marker>
          <c:cat>
            <c:numRef>
              <c:f>'F4.5'!$C$43:$C$66</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'F4.5'!$D$43:$D$66</c:f>
              <c:numCache>
                <c:formatCode>General</c:formatCode>
                <c:ptCount val="24"/>
                <c:pt idx="5" formatCode="0.000">
                  <c:v>1.0931329999999999</c:v>
                </c:pt>
                <c:pt idx="6" formatCode="0.000">
                  <c:v>1.104176</c:v>
                </c:pt>
                <c:pt idx="7" formatCode="0.000">
                  <c:v>1.1526810000000001</c:v>
                </c:pt>
                <c:pt idx="8" formatCode="0.000">
                  <c:v>1.2173659999999999</c:v>
                </c:pt>
                <c:pt idx="9" formatCode="0.000">
                  <c:v>1.1751670000000001</c:v>
                </c:pt>
                <c:pt idx="10" formatCode="0.000">
                  <c:v>1.226918</c:v>
                </c:pt>
                <c:pt idx="11" formatCode="0.000">
                  <c:v>1.248734</c:v>
                </c:pt>
                <c:pt idx="12" formatCode="0.000">
                  <c:v>1.2758320000000001</c:v>
                </c:pt>
                <c:pt idx="13" formatCode="0.000">
                  <c:v>1.079216</c:v>
                </c:pt>
                <c:pt idx="14" formatCode="0.000">
                  <c:v>1.038046</c:v>
                </c:pt>
                <c:pt idx="15" formatCode="0.000">
                  <c:v>1.027784</c:v>
                </c:pt>
                <c:pt idx="16" formatCode="0.000">
                  <c:v>1.009638</c:v>
                </c:pt>
                <c:pt idx="17" formatCode="0.000">
                  <c:v>0.97319659999999997</c:v>
                </c:pt>
                <c:pt idx="18" formatCode="0.000">
                  <c:v>0.88483049999999996</c:v>
                </c:pt>
                <c:pt idx="19" formatCode="0.000">
                  <c:v>0.90030259999999995</c:v>
                </c:pt>
                <c:pt idx="20" formatCode="0.000">
                  <c:v>0.90970839999999997</c:v>
                </c:pt>
                <c:pt idx="21" formatCode="0.000">
                  <c:v>0.87527949999999999</c:v>
                </c:pt>
                <c:pt idx="22" formatCode="0.000">
                  <c:v>0.80575940000000001</c:v>
                </c:pt>
                <c:pt idx="23" formatCode="0.000">
                  <c:v>0.85280029999999996</c:v>
                </c:pt>
              </c:numCache>
            </c:numRef>
          </c:val>
          <c:smooth val="0"/>
          <c:extLst>
            <c:ext xmlns:c16="http://schemas.microsoft.com/office/drawing/2014/chart" uri="{C3380CC4-5D6E-409C-BE32-E72D297353CC}">
              <c16:uniqueId val="{00000000-5AE9-43AC-AF88-8243B4C3BE80}"/>
            </c:ext>
          </c:extLst>
        </c:ser>
        <c:ser>
          <c:idx val="2"/>
          <c:order val="1"/>
          <c:tx>
            <c:strRef>
              <c:f>'F4.5'!$E$42</c:f>
              <c:strCache>
                <c:ptCount val="1"/>
                <c:pt idx="0">
                  <c:v>Predicted. Full Model</c:v>
                </c:pt>
              </c:strCache>
            </c:strRef>
          </c:tx>
          <c:spPr>
            <a:ln w="31750">
              <a:solidFill>
                <a:schemeClr val="bg2">
                  <a:lumMod val="50000"/>
                </a:schemeClr>
              </a:solidFill>
              <a:prstDash val="dash"/>
            </a:ln>
          </c:spPr>
          <c:marker>
            <c:symbol val="none"/>
          </c:marker>
          <c:cat>
            <c:numRef>
              <c:f>'F4.5'!$C$43:$C$66</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'F4.5'!$E$43:$E$66</c:f>
              <c:numCache>
                <c:formatCode>General</c:formatCode>
                <c:ptCount val="24"/>
                <c:pt idx="5" formatCode="0.000">
                  <c:v>1.1676230000000001</c:v>
                </c:pt>
                <c:pt idx="6" formatCode="0.000">
                  <c:v>1.2091179999999999</c:v>
                </c:pt>
                <c:pt idx="7" formatCode="0.000">
                  <c:v>1.214888</c:v>
                </c:pt>
                <c:pt idx="8" formatCode="0.000">
                  <c:v>1.2110369999999999</c:v>
                </c:pt>
                <c:pt idx="9" formatCode="0.000">
                  <c:v>1.202774</c:v>
                </c:pt>
                <c:pt idx="10" formatCode="0.000">
                  <c:v>1.1981250000000001</c:v>
                </c:pt>
                <c:pt idx="11" formatCode="0.000">
                  <c:v>1.1818090000000001</c:v>
                </c:pt>
                <c:pt idx="12" formatCode="0.000">
                  <c:v>1.1541060000000001</c:v>
                </c:pt>
                <c:pt idx="13" formatCode="0.000">
                  <c:v>1.122566</c:v>
                </c:pt>
                <c:pt idx="14" formatCode="0.000">
                  <c:v>1.1037589999999999</c:v>
                </c:pt>
                <c:pt idx="15" formatCode="0.000">
                  <c:v>1.051909</c:v>
                </c:pt>
                <c:pt idx="16" formatCode="0.000">
                  <c:v>1.012286</c:v>
                </c:pt>
                <c:pt idx="17" formatCode="0.000">
                  <c:v>0.97458929999999999</c:v>
                </c:pt>
                <c:pt idx="18" formatCode="0.000">
                  <c:v>0.94226549999999998</c:v>
                </c:pt>
                <c:pt idx="19" formatCode="0.000">
                  <c:v>0.90943030000000002</c:v>
                </c:pt>
                <c:pt idx="20" formatCode="0.000">
                  <c:v>0.88270300000000002</c:v>
                </c:pt>
                <c:pt idx="21" formatCode="0.000">
                  <c:v>0.86211870000000002</c:v>
                </c:pt>
                <c:pt idx="22" formatCode="0.000">
                  <c:v>0.87646469999999999</c:v>
                </c:pt>
                <c:pt idx="23" formatCode="0.000">
                  <c:v>0.85029860000000002</c:v>
                </c:pt>
              </c:numCache>
            </c:numRef>
          </c:val>
          <c:smooth val="0"/>
          <c:extLst>
            <c:ext xmlns:c16="http://schemas.microsoft.com/office/drawing/2014/chart" uri="{C3380CC4-5D6E-409C-BE32-E72D297353CC}">
              <c16:uniqueId val="{00000001-5AE9-43AC-AF88-8243B4C3BE80}"/>
            </c:ext>
          </c:extLst>
        </c:ser>
        <c:ser>
          <c:idx val="3"/>
          <c:order val="2"/>
          <c:tx>
            <c:strRef>
              <c:f>'F4.5'!$F$42</c:f>
              <c:strCache>
                <c:ptCount val="1"/>
                <c:pt idx="0">
                  <c:v>Predicted. Supply Changes Only</c:v>
                </c:pt>
              </c:strCache>
            </c:strRef>
          </c:tx>
          <c:spPr>
            <a:ln w="41275">
              <a:solidFill>
                <a:schemeClr val="bg2">
                  <a:lumMod val="50000"/>
                </a:schemeClr>
              </a:solidFill>
              <a:prstDash val="sysDot"/>
            </a:ln>
          </c:spPr>
          <c:marker>
            <c:symbol val="none"/>
          </c:marker>
          <c:cat>
            <c:numRef>
              <c:f>'F4.5'!$C$43:$C$66</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'F4.5'!$F$43:$F$66</c:f>
              <c:numCache>
                <c:formatCode>General</c:formatCode>
                <c:ptCount val="24"/>
                <c:pt idx="5" formatCode="0.000">
                  <c:v>1.1676230000000001</c:v>
                </c:pt>
                <c:pt idx="6" formatCode="0.000">
                  <c:v>1.1505840000000001</c:v>
                </c:pt>
                <c:pt idx="7" formatCode="0.000">
                  <c:v>1.112913</c:v>
                </c:pt>
                <c:pt idx="8" formatCode="0.000">
                  <c:v>1.079196</c:v>
                </c:pt>
                <c:pt idx="9" formatCode="0.000">
                  <c:v>1.0531280000000001</c:v>
                </c:pt>
                <c:pt idx="10" formatCode="0.000">
                  <c:v>1.041215</c:v>
                </c:pt>
                <c:pt idx="11" formatCode="0.000">
                  <c:v>1.026662</c:v>
                </c:pt>
                <c:pt idx="12" formatCode="0.000">
                  <c:v>1.00823</c:v>
                </c:pt>
                <c:pt idx="13" formatCode="0.000">
                  <c:v>0.9919519</c:v>
                </c:pt>
                <c:pt idx="14" formatCode="0.000">
                  <c:v>0.99288310000000002</c:v>
                </c:pt>
                <c:pt idx="15" formatCode="0.000">
                  <c:v>0.96372809999999998</c:v>
                </c:pt>
                <c:pt idx="16" formatCode="0.000">
                  <c:v>0.94824220000000004</c:v>
                </c:pt>
                <c:pt idx="17" formatCode="0.000">
                  <c:v>0.93460650000000001</c:v>
                </c:pt>
                <c:pt idx="18" formatCode="0.000">
                  <c:v>0.92475099999999999</c:v>
                </c:pt>
                <c:pt idx="19" formatCode="0.000">
                  <c:v>0.91127469999999999</c:v>
                </c:pt>
                <c:pt idx="20" formatCode="0.000">
                  <c:v>0.89927999999999997</c:v>
                </c:pt>
                <c:pt idx="21" formatCode="0.000">
                  <c:v>0.88728479999999998</c:v>
                </c:pt>
                <c:pt idx="22" formatCode="0.000">
                  <c:v>0.90256009999999998</c:v>
                </c:pt>
                <c:pt idx="23" formatCode="0.000">
                  <c:v>0.86814619999999998</c:v>
                </c:pt>
              </c:numCache>
            </c:numRef>
          </c:val>
          <c:smooth val="0"/>
          <c:extLst>
            <c:ext xmlns:c16="http://schemas.microsoft.com/office/drawing/2014/chart" uri="{C3380CC4-5D6E-409C-BE32-E72D297353CC}">
              <c16:uniqueId val="{00000002-5AE9-43AC-AF88-8243B4C3BE80}"/>
            </c:ext>
          </c:extLst>
        </c:ser>
        <c:dLbls>
          <c:showLegendKey val="0"/>
          <c:showVal val="0"/>
          <c:showCatName val="0"/>
          <c:showSerName val="0"/>
          <c:showPercent val="0"/>
          <c:showBubbleSize val="0"/>
        </c:dLbls>
        <c:smooth val="0"/>
        <c:axId val="264580096"/>
        <c:axId val="264581888"/>
      </c:lineChart>
      <c:catAx>
        <c:axId val="264580096"/>
        <c:scaling>
          <c:orientation val="minMax"/>
        </c:scaling>
        <c:delete val="0"/>
        <c:axPos val="b"/>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4581888"/>
        <c:crosses val="autoZero"/>
        <c:auto val="1"/>
        <c:lblAlgn val="ctr"/>
        <c:lblOffset val="100"/>
        <c:noMultiLvlLbl val="0"/>
      </c:catAx>
      <c:valAx>
        <c:axId val="264581888"/>
        <c:scaling>
          <c:orientation val="minMax"/>
          <c:max val="1.4"/>
          <c:min val="0.70000000000000007"/>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Log Skilled/Unskilled Wage Ratio</a:t>
                </a:r>
              </a:p>
            </c:rich>
          </c:tx>
          <c:overlay val="0"/>
        </c:title>
        <c:numFmt formatCode="General" sourceLinked="1"/>
        <c:majorTickMark val="out"/>
        <c:minorTickMark val="none"/>
        <c:tickLblPos val="nextTo"/>
        <c:txPr>
          <a:bodyPr/>
          <a:lstStyle/>
          <a:p>
            <a:pPr>
              <a:defRPr sz="1100">
                <a:latin typeface="Times New Roman" panose="02020603050405020304" pitchFamily="18" charset="0"/>
                <a:cs typeface="Times New Roman" panose="02020603050405020304" pitchFamily="18" charset="0"/>
              </a:defRPr>
            </a:pPr>
            <a:endParaRPr lang="en-US"/>
          </a:p>
        </c:txPr>
        <c:crossAx val="264580096"/>
        <c:crossesAt val="1"/>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Times New Roman" panose="02020603050405020304" pitchFamily="18" charset="0"/>
                <a:cs typeface="Times New Roman" panose="02020603050405020304" pitchFamily="18" charset="0"/>
              </a:defRPr>
            </a:pPr>
            <a:r>
              <a:rPr lang="en-US" sz="1200">
                <a:latin typeface="Times New Roman" panose="02020603050405020304" pitchFamily="18" charset="0"/>
                <a:cs typeface="Times New Roman" panose="02020603050405020304" pitchFamily="18" charset="0"/>
              </a:rPr>
              <a:t>C. Chile</a:t>
            </a:r>
          </a:p>
        </c:rich>
      </c:tx>
      <c:layout>
        <c:manualLayout>
          <c:xMode val="edge"/>
          <c:yMode val="edge"/>
          <c:x val="0.23423074042191033"/>
          <c:y val="1.5992001480834152E-2"/>
        </c:manualLayout>
      </c:layout>
      <c:overlay val="0"/>
    </c:title>
    <c:autoTitleDeleted val="0"/>
    <c:plotArea>
      <c:layout>
        <c:manualLayout>
          <c:layoutTarget val="inner"/>
          <c:xMode val="edge"/>
          <c:yMode val="edge"/>
          <c:x val="5.8418033466096246E-2"/>
          <c:y val="0.11230383039915784"/>
          <c:w val="0.42684578985248445"/>
          <c:h val="0.72778433967514833"/>
        </c:manualLayout>
      </c:layout>
      <c:lineChart>
        <c:grouping val="standard"/>
        <c:varyColors val="0"/>
        <c:ser>
          <c:idx val="1"/>
          <c:order val="0"/>
          <c:tx>
            <c:strRef>
              <c:f>'F4.5'!$D$42</c:f>
              <c:strCache>
                <c:ptCount val="1"/>
                <c:pt idx="0">
                  <c:v>Observed</c:v>
                </c:pt>
              </c:strCache>
            </c:strRef>
          </c:tx>
          <c:spPr>
            <a:ln>
              <a:solidFill>
                <a:schemeClr val="tx2"/>
              </a:solidFill>
            </a:ln>
          </c:spPr>
          <c:marker>
            <c:symbol val="none"/>
          </c:marker>
          <c:cat>
            <c:numRef>
              <c:f>'F4.5'!$C$67:$C$90</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'F4.5'!$D$91:$D$114</c:f>
              <c:numCache>
                <c:formatCode>0.000</c:formatCode>
                <c:ptCount val="24"/>
                <c:pt idx="0">
                  <c:v>1.384619</c:v>
                </c:pt>
                <c:pt idx="1">
                  <c:v>1.41551125</c:v>
                </c:pt>
                <c:pt idx="2">
                  <c:v>1.4464035</c:v>
                </c:pt>
                <c:pt idx="3">
                  <c:v>1.4772957499999999</c:v>
                </c:pt>
                <c:pt idx="4">
                  <c:v>1.5081880000000001</c:v>
                </c:pt>
                <c:pt idx="5">
                  <c:v>1.5474265</c:v>
                </c:pt>
                <c:pt idx="6">
                  <c:v>1.586665</c:v>
                </c:pt>
                <c:pt idx="7">
                  <c:v>1.5637675</c:v>
                </c:pt>
                <c:pt idx="8">
                  <c:v>1.54087</c:v>
                </c:pt>
                <c:pt idx="9">
                  <c:v>1.5643535</c:v>
                </c:pt>
                <c:pt idx="10">
                  <c:v>1.5878369999999999</c:v>
                </c:pt>
                <c:pt idx="11">
                  <c:v>1.5615176666666666</c:v>
                </c:pt>
                <c:pt idx="12">
                  <c:v>1.5351983333333332</c:v>
                </c:pt>
                <c:pt idx="13">
                  <c:v>1.5088790000000001</c:v>
                </c:pt>
                <c:pt idx="14">
                  <c:v>1.4828316666666668</c:v>
                </c:pt>
                <c:pt idx="15">
                  <c:v>1.4567843333333335</c:v>
                </c:pt>
                <c:pt idx="16">
                  <c:v>1.4307369999999999</c:v>
                </c:pt>
                <c:pt idx="17">
                  <c:v>1.4361166666666667</c:v>
                </c:pt>
                <c:pt idx="18">
                  <c:v>1.4414963333333335</c:v>
                </c:pt>
                <c:pt idx="19">
                  <c:v>1.4468760000000001</c:v>
                </c:pt>
                <c:pt idx="20">
                  <c:v>1.4060345000000001</c:v>
                </c:pt>
                <c:pt idx="21">
                  <c:v>1.3651930000000001</c:v>
                </c:pt>
                <c:pt idx="22">
                  <c:v>1.3374744999999999</c:v>
                </c:pt>
                <c:pt idx="23">
                  <c:v>1.3097559999999999</c:v>
                </c:pt>
              </c:numCache>
            </c:numRef>
          </c:val>
          <c:smooth val="0"/>
          <c:extLst>
            <c:ext xmlns:c16="http://schemas.microsoft.com/office/drawing/2014/chart" uri="{C3380CC4-5D6E-409C-BE32-E72D297353CC}">
              <c16:uniqueId val="{00000000-F725-49A3-B902-8A10BF3B08EC}"/>
            </c:ext>
          </c:extLst>
        </c:ser>
        <c:ser>
          <c:idx val="2"/>
          <c:order val="1"/>
          <c:tx>
            <c:strRef>
              <c:f>'F4.5'!$E$42</c:f>
              <c:strCache>
                <c:ptCount val="1"/>
                <c:pt idx="0">
                  <c:v>Predicted. Full Model</c:v>
                </c:pt>
              </c:strCache>
            </c:strRef>
          </c:tx>
          <c:spPr>
            <a:ln w="31750">
              <a:solidFill>
                <a:schemeClr val="bg2">
                  <a:lumMod val="50000"/>
                </a:schemeClr>
              </a:solidFill>
              <a:prstDash val="dash"/>
            </a:ln>
          </c:spPr>
          <c:marker>
            <c:symbol val="none"/>
          </c:marker>
          <c:cat>
            <c:numRef>
              <c:f>'F4.5'!$C$67:$C$90</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'F4.5'!$E$91:$E$114</c:f>
              <c:numCache>
                <c:formatCode>0.000</c:formatCode>
                <c:ptCount val="24"/>
                <c:pt idx="0">
                  <c:v>1.325088</c:v>
                </c:pt>
                <c:pt idx="1">
                  <c:v>1.36890025</c:v>
                </c:pt>
                <c:pt idx="2">
                  <c:v>1.4127125</c:v>
                </c:pt>
                <c:pt idx="3">
                  <c:v>1.45652475</c:v>
                </c:pt>
                <c:pt idx="4">
                  <c:v>1.500337</c:v>
                </c:pt>
                <c:pt idx="5">
                  <c:v>1.5354955000000001</c:v>
                </c:pt>
                <c:pt idx="6">
                  <c:v>1.570654</c:v>
                </c:pt>
                <c:pt idx="7">
                  <c:v>1.5617719999999999</c:v>
                </c:pt>
                <c:pt idx="8">
                  <c:v>1.5528900000000001</c:v>
                </c:pt>
                <c:pt idx="9">
                  <c:v>1.5536205000000001</c:v>
                </c:pt>
                <c:pt idx="10">
                  <c:v>1.554351</c:v>
                </c:pt>
                <c:pt idx="11">
                  <c:v>1.5433743333333334</c:v>
                </c:pt>
                <c:pt idx="12">
                  <c:v>1.5323976666666668</c:v>
                </c:pt>
                <c:pt idx="13">
                  <c:v>1.5214209999999999</c:v>
                </c:pt>
                <c:pt idx="14">
                  <c:v>1.5139149999999999</c:v>
                </c:pt>
                <c:pt idx="15">
                  <c:v>1.5064089999999999</c:v>
                </c:pt>
                <c:pt idx="16">
                  <c:v>1.4989030000000001</c:v>
                </c:pt>
                <c:pt idx="17">
                  <c:v>1.4673596666666668</c:v>
                </c:pt>
                <c:pt idx="18">
                  <c:v>1.4358163333333336</c:v>
                </c:pt>
                <c:pt idx="19">
                  <c:v>1.4042730000000001</c:v>
                </c:pt>
                <c:pt idx="20">
                  <c:v>1.3914200000000001</c:v>
                </c:pt>
                <c:pt idx="21">
                  <c:v>1.3785670000000001</c:v>
                </c:pt>
                <c:pt idx="22">
                  <c:v>1.3567360000000002</c:v>
                </c:pt>
                <c:pt idx="23">
                  <c:v>1.334905</c:v>
                </c:pt>
              </c:numCache>
            </c:numRef>
          </c:val>
          <c:smooth val="0"/>
          <c:extLst>
            <c:ext xmlns:c16="http://schemas.microsoft.com/office/drawing/2014/chart" uri="{C3380CC4-5D6E-409C-BE32-E72D297353CC}">
              <c16:uniqueId val="{00000001-F725-49A3-B902-8A10BF3B08EC}"/>
            </c:ext>
          </c:extLst>
        </c:ser>
        <c:ser>
          <c:idx val="3"/>
          <c:order val="2"/>
          <c:tx>
            <c:strRef>
              <c:f>'F4.5'!$F$42</c:f>
              <c:strCache>
                <c:ptCount val="1"/>
                <c:pt idx="0">
                  <c:v>Predicted. Supply Changes Only</c:v>
                </c:pt>
              </c:strCache>
            </c:strRef>
          </c:tx>
          <c:spPr>
            <a:ln w="41275">
              <a:solidFill>
                <a:schemeClr val="bg2">
                  <a:lumMod val="50000"/>
                </a:schemeClr>
              </a:solidFill>
              <a:prstDash val="sysDot"/>
            </a:ln>
          </c:spPr>
          <c:marker>
            <c:symbol val="none"/>
          </c:marker>
          <c:cat>
            <c:numRef>
              <c:f>'F4.5'!$C$67:$C$90</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'F4.5'!$F$91:$F$114</c:f>
              <c:numCache>
                <c:formatCode>0.000</c:formatCode>
                <c:ptCount val="24"/>
                <c:pt idx="0">
                  <c:v>1.325088</c:v>
                </c:pt>
                <c:pt idx="1">
                  <c:v>1.2957812500000001</c:v>
                </c:pt>
                <c:pt idx="2">
                  <c:v>1.2664745000000002</c:v>
                </c:pt>
                <c:pt idx="3">
                  <c:v>1.2371677500000002</c:v>
                </c:pt>
                <c:pt idx="4">
                  <c:v>1.2078610000000001</c:v>
                </c:pt>
                <c:pt idx="5">
                  <c:v>1.1976485000000001</c:v>
                </c:pt>
                <c:pt idx="6">
                  <c:v>1.1874359999999999</c:v>
                </c:pt>
                <c:pt idx="7">
                  <c:v>1.1486624999999999</c:v>
                </c:pt>
                <c:pt idx="8">
                  <c:v>1.1098889999999999</c:v>
                </c:pt>
                <c:pt idx="9">
                  <c:v>1.0939405</c:v>
                </c:pt>
                <c:pt idx="10">
                  <c:v>1.0779920000000001</c:v>
                </c:pt>
                <c:pt idx="11">
                  <c:v>1.0635503333333334</c:v>
                </c:pt>
                <c:pt idx="12">
                  <c:v>1.0491086666666667</c:v>
                </c:pt>
                <c:pt idx="13">
                  <c:v>1.034667</c:v>
                </c:pt>
                <c:pt idx="14">
                  <c:v>1.035021</c:v>
                </c:pt>
                <c:pt idx="15">
                  <c:v>1.0353749999999999</c:v>
                </c:pt>
                <c:pt idx="16">
                  <c:v>1.0357289999999999</c:v>
                </c:pt>
                <c:pt idx="17">
                  <c:v>1.0182752333333331</c:v>
                </c:pt>
                <c:pt idx="18">
                  <c:v>1.0008214666666664</c:v>
                </c:pt>
                <c:pt idx="19">
                  <c:v>0.98336769999999996</c:v>
                </c:pt>
                <c:pt idx="20">
                  <c:v>0.98601950000000005</c:v>
                </c:pt>
                <c:pt idx="21">
                  <c:v>0.98867130000000003</c:v>
                </c:pt>
                <c:pt idx="22">
                  <c:v>0.98083469999999995</c:v>
                </c:pt>
                <c:pt idx="23">
                  <c:v>0.97299809999999998</c:v>
                </c:pt>
              </c:numCache>
            </c:numRef>
          </c:val>
          <c:smooth val="0"/>
          <c:extLst>
            <c:ext xmlns:c16="http://schemas.microsoft.com/office/drawing/2014/chart" uri="{C3380CC4-5D6E-409C-BE32-E72D297353CC}">
              <c16:uniqueId val="{00000002-F725-49A3-B902-8A10BF3B08EC}"/>
            </c:ext>
          </c:extLst>
        </c:ser>
        <c:dLbls>
          <c:showLegendKey val="0"/>
          <c:showVal val="0"/>
          <c:showCatName val="0"/>
          <c:showSerName val="0"/>
          <c:showPercent val="0"/>
          <c:showBubbleSize val="0"/>
        </c:dLbls>
        <c:smooth val="0"/>
        <c:axId val="264621440"/>
        <c:axId val="264631424"/>
      </c:lineChart>
      <c:catAx>
        <c:axId val="264621440"/>
        <c:scaling>
          <c:orientation val="minMax"/>
        </c:scaling>
        <c:delete val="0"/>
        <c:axPos val="b"/>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4631424"/>
        <c:crosses val="autoZero"/>
        <c:auto val="1"/>
        <c:lblAlgn val="ctr"/>
        <c:lblOffset val="100"/>
        <c:noMultiLvlLbl val="0"/>
      </c:catAx>
      <c:valAx>
        <c:axId val="264631424"/>
        <c:scaling>
          <c:orientation val="minMax"/>
          <c:max val="1.8"/>
          <c:min val="0.8"/>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Log Skilled/Unskilled Wage Ratio</a:t>
                </a:r>
              </a:p>
            </c:rich>
          </c:tx>
          <c:overlay val="0"/>
        </c:title>
        <c:numFmt formatCode="0.0" sourceLinked="0"/>
        <c:majorTickMark val="out"/>
        <c:minorTickMark val="none"/>
        <c:tickLblPos val="nextTo"/>
        <c:txPr>
          <a:bodyPr/>
          <a:lstStyle/>
          <a:p>
            <a:pPr>
              <a:defRPr sz="1100">
                <a:latin typeface="Times New Roman" panose="02020603050405020304" pitchFamily="18" charset="0"/>
                <a:cs typeface="Times New Roman" panose="02020603050405020304" pitchFamily="18" charset="0"/>
              </a:defRPr>
            </a:pPr>
            <a:endParaRPr lang="en-US"/>
          </a:p>
        </c:txPr>
        <c:crossAx val="264621440"/>
        <c:crossesAt val="1"/>
        <c:crossBetween val="between"/>
        <c:majorUnit val="0.2"/>
      </c:valAx>
    </c:plotArea>
    <c:legend>
      <c:legendPos val="r"/>
      <c:layout>
        <c:manualLayout>
          <c:xMode val="edge"/>
          <c:yMode val="edge"/>
          <c:x val="0.64241606399373541"/>
          <c:y val="0.39155660098193407"/>
          <c:w val="0.2407871739363022"/>
          <c:h val="0.36481249693066903"/>
        </c:manualLayout>
      </c:layout>
      <c:overlay val="0"/>
      <c:txPr>
        <a:bodyPr/>
        <a:lstStyle/>
        <a:p>
          <a:pPr>
            <a:defRPr sz="120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Times New Roman" panose="02020603050405020304" pitchFamily="18" charset="0"/>
                <a:cs typeface="Times New Roman" panose="02020603050405020304" pitchFamily="18" charset="0"/>
              </a:defRPr>
            </a:pPr>
            <a:r>
              <a:rPr lang="en-US" sz="1200">
                <a:latin typeface="Times New Roman" panose="02020603050405020304" pitchFamily="18" charset="0"/>
                <a:cs typeface="Times New Roman" panose="02020603050405020304" pitchFamily="18" charset="0"/>
              </a:rPr>
              <a:t>B. Brazil</a:t>
            </a:r>
          </a:p>
        </c:rich>
      </c:tx>
      <c:overlay val="0"/>
    </c:title>
    <c:autoTitleDeleted val="0"/>
    <c:plotArea>
      <c:layout>
        <c:manualLayout>
          <c:layoutTarget val="inner"/>
          <c:xMode val="edge"/>
          <c:yMode val="edge"/>
          <c:x val="0.12768951985050289"/>
          <c:y val="0.13629183262040909"/>
          <c:w val="0.84695999195752592"/>
          <c:h val="0.71326372825182238"/>
        </c:manualLayout>
      </c:layout>
      <c:lineChart>
        <c:grouping val="standard"/>
        <c:varyColors val="0"/>
        <c:ser>
          <c:idx val="1"/>
          <c:order val="0"/>
          <c:tx>
            <c:strRef>
              <c:f>'F4.5'!$D$42</c:f>
              <c:strCache>
                <c:ptCount val="1"/>
                <c:pt idx="0">
                  <c:v>Observed</c:v>
                </c:pt>
              </c:strCache>
            </c:strRef>
          </c:tx>
          <c:spPr>
            <a:ln>
              <a:solidFill>
                <a:schemeClr val="tx2"/>
              </a:solidFill>
            </a:ln>
          </c:spPr>
          <c:marker>
            <c:symbol val="none"/>
          </c:marker>
          <c:cat>
            <c:numRef>
              <c:f>'F4.5'!$C$43:$C$66</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'F4.5'!$D$67:$D$90</c:f>
              <c:numCache>
                <c:formatCode>0.000</c:formatCode>
                <c:ptCount val="24"/>
                <c:pt idx="0">
                  <c:v>1.9550780000000001</c:v>
                </c:pt>
                <c:pt idx="1">
                  <c:v>1.9211316666666667</c:v>
                </c:pt>
                <c:pt idx="2">
                  <c:v>1.8871853333333335</c:v>
                </c:pt>
                <c:pt idx="3">
                  <c:v>1.8532390000000001</c:v>
                </c:pt>
                <c:pt idx="4">
                  <c:v>1.868708</c:v>
                </c:pt>
                <c:pt idx="5">
                  <c:v>1.884177</c:v>
                </c:pt>
                <c:pt idx="6">
                  <c:v>1.8243400000000001</c:v>
                </c:pt>
                <c:pt idx="7">
                  <c:v>1.8018700000000001</c:v>
                </c:pt>
                <c:pt idx="8">
                  <c:v>1.8294049999999999</c:v>
                </c:pt>
                <c:pt idx="9">
                  <c:v>1.7770589999999999</c:v>
                </c:pt>
                <c:pt idx="10">
                  <c:v>1.7818075</c:v>
                </c:pt>
                <c:pt idx="11">
                  <c:v>1.786556</c:v>
                </c:pt>
                <c:pt idx="12">
                  <c:v>1.7784660000000001</c:v>
                </c:pt>
                <c:pt idx="13">
                  <c:v>1.722874</c:v>
                </c:pt>
                <c:pt idx="14">
                  <c:v>1.6970970000000001</c:v>
                </c:pt>
                <c:pt idx="15">
                  <c:v>1.6622110000000001</c:v>
                </c:pt>
                <c:pt idx="16">
                  <c:v>1.6441779999999999</c:v>
                </c:pt>
                <c:pt idx="17">
                  <c:v>1.419073</c:v>
                </c:pt>
                <c:pt idx="18">
                  <c:v>1.3135650000000001</c:v>
                </c:pt>
                <c:pt idx="19">
                  <c:v>1.31138</c:v>
                </c:pt>
                <c:pt idx="20">
                  <c:v>1.3307315</c:v>
                </c:pt>
                <c:pt idx="21">
                  <c:v>1.3500829999999999</c:v>
                </c:pt>
                <c:pt idx="22">
                  <c:v>1.3032889999999999</c:v>
                </c:pt>
                <c:pt idx="23">
                  <c:v>1.1685779999999999</c:v>
                </c:pt>
              </c:numCache>
            </c:numRef>
          </c:val>
          <c:smooth val="0"/>
          <c:extLst>
            <c:ext xmlns:c16="http://schemas.microsoft.com/office/drawing/2014/chart" uri="{C3380CC4-5D6E-409C-BE32-E72D297353CC}">
              <c16:uniqueId val="{00000000-19AC-470B-BC45-AE1D096D0443}"/>
            </c:ext>
          </c:extLst>
        </c:ser>
        <c:ser>
          <c:idx val="2"/>
          <c:order val="1"/>
          <c:tx>
            <c:strRef>
              <c:f>'F4.5'!$E$42</c:f>
              <c:strCache>
                <c:ptCount val="1"/>
                <c:pt idx="0">
                  <c:v>Predicted. Full Model</c:v>
                </c:pt>
              </c:strCache>
            </c:strRef>
          </c:tx>
          <c:spPr>
            <a:ln w="31750">
              <a:solidFill>
                <a:schemeClr val="bg2">
                  <a:lumMod val="50000"/>
                </a:schemeClr>
              </a:solidFill>
              <a:prstDash val="dash"/>
            </a:ln>
          </c:spPr>
          <c:marker>
            <c:symbol val="none"/>
          </c:marker>
          <c:cat>
            <c:numRef>
              <c:f>'F4.5'!$C$43:$C$66</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'F4.5'!$E$67:$E$90</c:f>
              <c:numCache>
                <c:formatCode>0.000</c:formatCode>
                <c:ptCount val="24"/>
                <c:pt idx="0">
                  <c:v>1.8055619999999999</c:v>
                </c:pt>
                <c:pt idx="1">
                  <c:v>1.8347806666666666</c:v>
                </c:pt>
                <c:pt idx="2">
                  <c:v>1.8639993333333333</c:v>
                </c:pt>
                <c:pt idx="3">
                  <c:v>1.8932180000000001</c:v>
                </c:pt>
                <c:pt idx="4">
                  <c:v>1.8885805</c:v>
                </c:pt>
                <c:pt idx="5">
                  <c:v>1.8839429999999999</c:v>
                </c:pt>
                <c:pt idx="6">
                  <c:v>1.8749499999999999</c:v>
                </c:pt>
                <c:pt idx="7">
                  <c:v>1.8542240000000001</c:v>
                </c:pt>
                <c:pt idx="8">
                  <c:v>1.828838</c:v>
                </c:pt>
                <c:pt idx="9">
                  <c:v>1.8217509999999999</c:v>
                </c:pt>
                <c:pt idx="10">
                  <c:v>1.784314</c:v>
                </c:pt>
                <c:pt idx="11">
                  <c:v>1.746877</c:v>
                </c:pt>
                <c:pt idx="12">
                  <c:v>1.708896</c:v>
                </c:pt>
                <c:pt idx="13">
                  <c:v>1.673333</c:v>
                </c:pt>
                <c:pt idx="14">
                  <c:v>1.654658</c:v>
                </c:pt>
                <c:pt idx="15">
                  <c:v>1.6190290000000001</c:v>
                </c:pt>
                <c:pt idx="16">
                  <c:v>1.557868</c:v>
                </c:pt>
                <c:pt idx="17">
                  <c:v>1.43855</c:v>
                </c:pt>
                <c:pt idx="18">
                  <c:v>1.396466</c:v>
                </c:pt>
                <c:pt idx="19">
                  <c:v>1.348557</c:v>
                </c:pt>
                <c:pt idx="20">
                  <c:v>1.3464580000000002</c:v>
                </c:pt>
                <c:pt idx="21">
                  <c:v>1.3443590000000001</c:v>
                </c:pt>
                <c:pt idx="22">
                  <c:v>1.2797719999999999</c:v>
                </c:pt>
                <c:pt idx="23">
                  <c:v>1.1504190000000001</c:v>
                </c:pt>
              </c:numCache>
            </c:numRef>
          </c:val>
          <c:smooth val="0"/>
          <c:extLst>
            <c:ext xmlns:c16="http://schemas.microsoft.com/office/drawing/2014/chart" uri="{C3380CC4-5D6E-409C-BE32-E72D297353CC}">
              <c16:uniqueId val="{00000001-19AC-470B-BC45-AE1D096D0443}"/>
            </c:ext>
          </c:extLst>
        </c:ser>
        <c:ser>
          <c:idx val="3"/>
          <c:order val="2"/>
          <c:tx>
            <c:strRef>
              <c:f>'F4.5'!$F$42</c:f>
              <c:strCache>
                <c:ptCount val="1"/>
                <c:pt idx="0">
                  <c:v>Predicted. Supply Changes Only</c:v>
                </c:pt>
              </c:strCache>
            </c:strRef>
          </c:tx>
          <c:spPr>
            <a:ln w="41275">
              <a:solidFill>
                <a:schemeClr val="bg2">
                  <a:lumMod val="50000"/>
                </a:schemeClr>
              </a:solidFill>
              <a:prstDash val="sysDot"/>
            </a:ln>
          </c:spPr>
          <c:marker>
            <c:symbol val="none"/>
          </c:marker>
          <c:cat>
            <c:numRef>
              <c:f>'F4.5'!$C$43:$C$66</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'F4.5'!$F$67:$F$90</c:f>
              <c:numCache>
                <c:formatCode>0.000</c:formatCode>
                <c:ptCount val="24"/>
                <c:pt idx="0">
                  <c:v>1.8055619999999999</c:v>
                </c:pt>
                <c:pt idx="1">
                  <c:v>1.7971089999999998</c:v>
                </c:pt>
                <c:pt idx="2">
                  <c:v>1.788656</c:v>
                </c:pt>
                <c:pt idx="3">
                  <c:v>1.780203</c:v>
                </c:pt>
                <c:pt idx="4">
                  <c:v>1.7492955000000001</c:v>
                </c:pt>
                <c:pt idx="5">
                  <c:v>1.718388</c:v>
                </c:pt>
                <c:pt idx="6">
                  <c:v>1.689446</c:v>
                </c:pt>
                <c:pt idx="7">
                  <c:v>1.652752</c:v>
                </c:pt>
                <c:pt idx="8">
                  <c:v>1.615208</c:v>
                </c:pt>
                <c:pt idx="9">
                  <c:v>1.5995969999999999</c:v>
                </c:pt>
                <c:pt idx="10">
                  <c:v>1.5587424999999999</c:v>
                </c:pt>
                <c:pt idx="11">
                  <c:v>1.5178879999999999</c:v>
                </c:pt>
                <c:pt idx="12">
                  <c:v>1.481249</c:v>
                </c:pt>
                <c:pt idx="13">
                  <c:v>1.4499679999999999</c:v>
                </c:pt>
                <c:pt idx="14">
                  <c:v>1.4383429999999999</c:v>
                </c:pt>
                <c:pt idx="15">
                  <c:v>1.4123589999999999</c:v>
                </c:pt>
                <c:pt idx="16">
                  <c:v>1.3632629999999999</c:v>
                </c:pt>
                <c:pt idx="17">
                  <c:v>1.258257</c:v>
                </c:pt>
                <c:pt idx="18">
                  <c:v>1.2325600000000001</c:v>
                </c:pt>
                <c:pt idx="19">
                  <c:v>1.2029369999999999</c:v>
                </c:pt>
                <c:pt idx="20">
                  <c:v>1.2216274999999999</c:v>
                </c:pt>
                <c:pt idx="21">
                  <c:v>1.240318</c:v>
                </c:pt>
                <c:pt idx="22">
                  <c:v>1.198677</c:v>
                </c:pt>
                <c:pt idx="23">
                  <c:v>1.093475</c:v>
                </c:pt>
              </c:numCache>
            </c:numRef>
          </c:val>
          <c:smooth val="0"/>
          <c:extLst>
            <c:ext xmlns:c16="http://schemas.microsoft.com/office/drawing/2014/chart" uri="{C3380CC4-5D6E-409C-BE32-E72D297353CC}">
              <c16:uniqueId val="{00000002-19AC-470B-BC45-AE1D096D0443}"/>
            </c:ext>
          </c:extLst>
        </c:ser>
        <c:dLbls>
          <c:showLegendKey val="0"/>
          <c:showVal val="0"/>
          <c:showCatName val="0"/>
          <c:showSerName val="0"/>
          <c:showPercent val="0"/>
          <c:showBubbleSize val="0"/>
        </c:dLbls>
        <c:smooth val="0"/>
        <c:axId val="264667520"/>
        <c:axId val="264669056"/>
      </c:lineChart>
      <c:catAx>
        <c:axId val="264667520"/>
        <c:scaling>
          <c:orientation val="minMax"/>
        </c:scaling>
        <c:delete val="0"/>
        <c:axPos val="b"/>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4669056"/>
        <c:crosses val="autoZero"/>
        <c:auto val="1"/>
        <c:lblAlgn val="ctr"/>
        <c:lblOffset val="100"/>
        <c:noMultiLvlLbl val="0"/>
      </c:catAx>
      <c:valAx>
        <c:axId val="264669056"/>
        <c:scaling>
          <c:orientation val="minMax"/>
          <c:max val="2"/>
          <c:min val="0.8"/>
        </c:scaling>
        <c:delete val="0"/>
        <c:axPos val="l"/>
        <c:title>
          <c:tx>
            <c:rich>
              <a:bodyPr rot="-5400000" vert="horz"/>
              <a:lstStyle/>
              <a:p>
                <a:pPr>
                  <a:defRPr sz="1200">
                    <a:latin typeface="Times New Roman" panose="02020603050405020304" pitchFamily="18" charset="0"/>
                    <a:cs typeface="Times New Roman" panose="02020603050405020304" pitchFamily="18" charset="0"/>
                  </a:defRPr>
                </a:pPr>
                <a:r>
                  <a:rPr lang="en-US" sz="1200">
                    <a:latin typeface="Times New Roman" panose="02020603050405020304" pitchFamily="18" charset="0"/>
                    <a:cs typeface="Times New Roman" panose="02020603050405020304" pitchFamily="18" charset="0"/>
                  </a:rPr>
                  <a:t>Log Skilled/Unskilled Wage Ratio</a:t>
                </a:r>
              </a:p>
            </c:rich>
          </c:tx>
          <c:overlay val="0"/>
        </c:title>
        <c:numFmt formatCode="0.0" sourceLinked="0"/>
        <c:majorTickMark val="out"/>
        <c:minorTickMark val="none"/>
        <c:tickLblPos val="nextTo"/>
        <c:txPr>
          <a:bodyPr/>
          <a:lstStyle/>
          <a:p>
            <a:pPr>
              <a:defRPr sz="1100">
                <a:latin typeface="Times New Roman" panose="02020603050405020304" pitchFamily="18" charset="0"/>
                <a:cs typeface="Times New Roman" panose="02020603050405020304" pitchFamily="18" charset="0"/>
              </a:defRPr>
            </a:pPr>
            <a:endParaRPr lang="en-US"/>
          </a:p>
        </c:txPr>
        <c:crossAx val="264667520"/>
        <c:crossesAt val="1"/>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496928407414779E-2"/>
          <c:y val="6.8978722910631202E-2"/>
          <c:w val="0.88638423807132405"/>
          <c:h val="0.68496971160809961"/>
        </c:manualLayout>
      </c:layout>
      <c:barChart>
        <c:barDir val="col"/>
        <c:grouping val="clustered"/>
        <c:varyColors val="0"/>
        <c:ser>
          <c:idx val="0"/>
          <c:order val="0"/>
          <c:spPr>
            <a:solidFill>
              <a:schemeClr val="tx2">
                <a:lumMod val="75000"/>
              </a:schemeClr>
            </a:solidFill>
            <a:ln cmpd="sng">
              <a:solidFill>
                <a:schemeClr val="tx2">
                  <a:lumMod val="75000"/>
                </a:schemeClr>
              </a:solidFill>
            </a:ln>
          </c:spPr>
          <c:invertIfNegative val="0"/>
          <c:dPt>
            <c:idx val="1"/>
            <c:invertIfNegative val="0"/>
            <c:bubble3D val="0"/>
            <c:spPr>
              <a:solidFill>
                <a:schemeClr val="tx2">
                  <a:lumMod val="75000"/>
                </a:schemeClr>
              </a:solidFill>
              <a:ln w="3175" cmpd="sng">
                <a:solidFill>
                  <a:schemeClr val="tx2"/>
                </a:solidFill>
                <a:prstDash val="dash"/>
              </a:ln>
            </c:spPr>
            <c:extLst>
              <c:ext xmlns:c16="http://schemas.microsoft.com/office/drawing/2014/chart" uri="{C3380CC4-5D6E-409C-BE32-E72D297353CC}">
                <c16:uniqueId val="{00000001-8618-491E-8A8D-5CD801EF986B}"/>
              </c:ext>
            </c:extLst>
          </c:dPt>
          <c:dPt>
            <c:idx val="12"/>
            <c:invertIfNegative val="0"/>
            <c:bubble3D val="0"/>
            <c:spPr>
              <a:solidFill>
                <a:schemeClr val="bg2">
                  <a:lumMod val="50000"/>
                </a:schemeClr>
              </a:solidFill>
              <a:ln cmpd="sng">
                <a:solidFill>
                  <a:schemeClr val="bg2">
                    <a:lumMod val="50000"/>
                  </a:schemeClr>
                </a:solidFill>
              </a:ln>
            </c:spPr>
            <c:extLst>
              <c:ext xmlns:c16="http://schemas.microsoft.com/office/drawing/2014/chart" uri="{C3380CC4-5D6E-409C-BE32-E72D297353CC}">
                <c16:uniqueId val="{00000003-8618-491E-8A8D-5CD801EF986B}"/>
              </c:ext>
            </c:extLst>
          </c:dPt>
          <c:dPt>
            <c:idx val="17"/>
            <c:invertIfNegative val="0"/>
            <c:bubble3D val="0"/>
            <c:spPr>
              <a:solidFill>
                <a:schemeClr val="bg1">
                  <a:lumMod val="50000"/>
                </a:schemeClr>
              </a:solidFill>
              <a:ln cmpd="sng">
                <a:solidFill>
                  <a:schemeClr val="bg1">
                    <a:lumMod val="65000"/>
                  </a:schemeClr>
                </a:solidFill>
              </a:ln>
            </c:spPr>
            <c:extLst>
              <c:ext xmlns:c16="http://schemas.microsoft.com/office/drawing/2014/chart" uri="{C3380CC4-5D6E-409C-BE32-E72D297353CC}">
                <c16:uniqueId val="{00000005-8618-491E-8A8D-5CD801EF986B}"/>
              </c:ext>
            </c:extLst>
          </c:dPt>
          <c:dPt>
            <c:idx val="18"/>
            <c:invertIfNegative val="0"/>
            <c:bubble3D val="0"/>
            <c:spPr>
              <a:solidFill>
                <a:srgbClr val="C00000"/>
              </a:solidFill>
              <a:ln cmpd="sng">
                <a:solidFill>
                  <a:srgbClr val="C00000"/>
                </a:solidFill>
              </a:ln>
            </c:spPr>
            <c:extLst>
              <c:ext xmlns:c16="http://schemas.microsoft.com/office/drawing/2014/chart" uri="{C3380CC4-5D6E-409C-BE32-E72D297353CC}">
                <c16:uniqueId val="{00000007-8618-491E-8A8D-5CD801EF986B}"/>
              </c:ext>
            </c:extLst>
          </c:dPt>
          <c:dLbls>
            <c:delete val="1"/>
          </c:dLbls>
          <c:cat>
            <c:strRef>
              <c:f>'F4.8'!$I$39:$I$57</c:f>
              <c:strCache>
                <c:ptCount val="19"/>
                <c:pt idx="0">
                  <c:v>Haiti</c:v>
                </c:pt>
                <c:pt idx="1">
                  <c:v>Bolivia</c:v>
                </c:pt>
                <c:pt idx="2">
                  <c:v>Nicaragua</c:v>
                </c:pt>
                <c:pt idx="3">
                  <c:v>Honduras</c:v>
                </c:pt>
                <c:pt idx="4">
                  <c:v>Costa Rica</c:v>
                </c:pt>
                <c:pt idx="5">
                  <c:v>Paraguay</c:v>
                </c:pt>
                <c:pt idx="6">
                  <c:v>El Salvador</c:v>
                </c:pt>
                <c:pt idx="7">
                  <c:v>Guatemala</c:v>
                </c:pt>
                <c:pt idx="8">
                  <c:v>Colombia</c:v>
                </c:pt>
                <c:pt idx="9">
                  <c:v>Dominican Republic</c:v>
                </c:pt>
                <c:pt idx="10">
                  <c:v>Ecuador</c:v>
                </c:pt>
                <c:pt idx="11">
                  <c:v>Venezuela, RB</c:v>
                </c:pt>
                <c:pt idx="12">
                  <c:v>Comparison Countries</c:v>
                </c:pt>
                <c:pt idx="13">
                  <c:v>Mexico</c:v>
                </c:pt>
                <c:pt idx="14">
                  <c:v>Brazil</c:v>
                </c:pt>
                <c:pt idx="15">
                  <c:v>Uruguay</c:v>
                </c:pt>
                <c:pt idx="16">
                  <c:v>Chile</c:v>
                </c:pt>
                <c:pt idx="17">
                  <c:v>Advanced Economies</c:v>
                </c:pt>
                <c:pt idx="18">
                  <c:v>United States</c:v>
                </c:pt>
              </c:strCache>
            </c:strRef>
          </c:cat>
          <c:val>
            <c:numRef>
              <c:f>'F4.8'!$J$39:$J$57</c:f>
              <c:numCache>
                <c:formatCode>General</c:formatCode>
                <c:ptCount val="19"/>
                <c:pt idx="0">
                  <c:v>0.17064576000000001</c:v>
                </c:pt>
                <c:pt idx="1">
                  <c:v>0.28722261999999998</c:v>
                </c:pt>
                <c:pt idx="2">
                  <c:v>0.30830060999999997</c:v>
                </c:pt>
                <c:pt idx="3">
                  <c:v>0.3134287</c:v>
                </c:pt>
                <c:pt idx="4">
                  <c:v>0.32898375000000002</c:v>
                </c:pt>
                <c:pt idx="5">
                  <c:v>0.33686334000000001</c:v>
                </c:pt>
                <c:pt idx="6">
                  <c:v>0.34794198999999998</c:v>
                </c:pt>
                <c:pt idx="7">
                  <c:v>0.35965216</c:v>
                </c:pt>
                <c:pt idx="8">
                  <c:v>0.36885395999999998</c:v>
                </c:pt>
                <c:pt idx="9">
                  <c:v>0.38574016</c:v>
                </c:pt>
                <c:pt idx="10">
                  <c:v>0.38862014</c:v>
                </c:pt>
                <c:pt idx="11">
                  <c:v>0.39129436000000001</c:v>
                </c:pt>
                <c:pt idx="12">
                  <c:v>0.41721962499999998</c:v>
                </c:pt>
                <c:pt idx="13">
                  <c:v>0.43169674000000002</c:v>
                </c:pt>
                <c:pt idx="14">
                  <c:v>0.43566290000000002</c:v>
                </c:pt>
                <c:pt idx="15">
                  <c:v>0.46638560000000001</c:v>
                </c:pt>
                <c:pt idx="16">
                  <c:v>0.47342086</c:v>
                </c:pt>
                <c:pt idx="17">
                  <c:v>0.65447156880000013</c:v>
                </c:pt>
                <c:pt idx="18">
                  <c:v>0.66209017999999997</c:v>
                </c:pt>
              </c:numCache>
            </c:numRef>
          </c:val>
          <c:extLst>
            <c:ext xmlns:c16="http://schemas.microsoft.com/office/drawing/2014/chart" uri="{C3380CC4-5D6E-409C-BE32-E72D297353CC}">
              <c16:uniqueId val="{00000008-8618-491E-8A8D-5CD801EF986B}"/>
            </c:ext>
          </c:extLst>
        </c:ser>
        <c:dLbls>
          <c:dLblPos val="outEnd"/>
          <c:showLegendKey val="0"/>
          <c:showVal val="1"/>
          <c:showCatName val="0"/>
          <c:showSerName val="0"/>
          <c:showPercent val="0"/>
          <c:showBubbleSize val="0"/>
        </c:dLbls>
        <c:gapWidth val="150"/>
        <c:axId val="263774208"/>
        <c:axId val="263775744"/>
      </c:barChart>
      <c:catAx>
        <c:axId val="263774208"/>
        <c:scaling>
          <c:orientation val="minMax"/>
        </c:scaling>
        <c:delete val="0"/>
        <c:axPos val="b"/>
        <c:numFmt formatCode="General" sourceLinked="1"/>
        <c:majorTickMark val="out"/>
        <c:minorTickMark val="none"/>
        <c:tickLblPos val="nextTo"/>
        <c:txPr>
          <a:bodyPr rot="-5400000" vert="horz"/>
          <a:lstStyle/>
          <a:p>
            <a:pPr>
              <a:defRPr sz="1200">
                <a:latin typeface="Times New Roman" panose="02020603050405020304" pitchFamily="18" charset="0"/>
                <a:cs typeface="Times New Roman" panose="02020603050405020304" pitchFamily="18" charset="0"/>
              </a:defRPr>
            </a:pPr>
            <a:endParaRPr lang="en-US"/>
          </a:p>
        </c:txPr>
        <c:crossAx val="263775744"/>
        <c:crossesAt val="0"/>
        <c:auto val="1"/>
        <c:lblAlgn val="ctr"/>
        <c:lblOffset val="1000"/>
        <c:noMultiLvlLbl val="0"/>
      </c:catAx>
      <c:valAx>
        <c:axId val="263775744"/>
        <c:scaling>
          <c:orientation val="minMax"/>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Premium (%)</a:t>
                </a:r>
              </a:p>
            </c:rich>
          </c:tx>
          <c:overlay val="0"/>
        </c:title>
        <c:numFmt formatCode="0.0%" sourceLinked="0"/>
        <c:majorTickMark val="out"/>
        <c:minorTickMark val="none"/>
        <c:tickLblPos val="nextTo"/>
        <c:txPr>
          <a:bodyPr/>
          <a:lstStyle/>
          <a:p>
            <a:pPr>
              <a:defRPr sz="1100">
                <a:latin typeface="Times New Roman" panose="02020603050405020304" pitchFamily="18" charset="0"/>
                <a:cs typeface="Times New Roman" panose="02020603050405020304" pitchFamily="18" charset="0"/>
              </a:defRPr>
            </a:pPr>
            <a:endParaRPr lang="en-US"/>
          </a:p>
        </c:txPr>
        <c:crossAx val="263774208"/>
        <c:crossesAt val="1"/>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Times New Roman" panose="02020603050405020304" pitchFamily="18" charset="0"/>
                <a:cs typeface="Times New Roman" panose="02020603050405020304" pitchFamily="18" charset="0"/>
              </a:defRPr>
            </a:pPr>
            <a:r>
              <a:rPr lang="en-US" sz="1200">
                <a:latin typeface="Times New Roman" panose="02020603050405020304" pitchFamily="18" charset="0"/>
                <a:cs typeface="Times New Roman" panose="02020603050405020304" pitchFamily="18" charset="0"/>
              </a:rPr>
              <a:t>b. Quintile 5</a:t>
            </a:r>
          </a:p>
        </c:rich>
      </c:tx>
      <c:overlay val="0"/>
    </c:title>
    <c:autoTitleDeleted val="0"/>
    <c:plotArea>
      <c:layout/>
      <c:areaChart>
        <c:grouping val="standard"/>
        <c:varyColors val="0"/>
        <c:ser>
          <c:idx val="0"/>
          <c:order val="0"/>
          <c:tx>
            <c:strRef>
              <c:f>'F3.1'!$N$45</c:f>
              <c:strCache>
                <c:ptCount val="1"/>
                <c:pt idx="0">
                  <c:v>Home</c:v>
                </c:pt>
              </c:strCache>
            </c:strRef>
          </c:tx>
          <c:spPr>
            <a:pattFill prst="ltVert">
              <a:fgClr>
                <a:srgbClr val="E6AF00"/>
              </a:fgClr>
              <a:bgClr>
                <a:schemeClr val="bg1"/>
              </a:bgClr>
            </a:pattFill>
            <a:ln>
              <a:solidFill>
                <a:srgbClr val="E6AF00"/>
              </a:solidFill>
            </a:ln>
          </c:spPr>
          <c:cat>
            <c:numRef>
              <c:f>'F3.1'!$K$46:$K$86</c:f>
              <c:numCache>
                <c:formatCode>General</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cat>
          <c:val>
            <c:numRef>
              <c:f>'F3.1'!$N$46:$N$86</c:f>
              <c:numCache>
                <c:formatCode>General</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0-87C8-40A3-83BD-87B2A45117DB}"/>
            </c:ext>
          </c:extLst>
        </c:ser>
        <c:ser>
          <c:idx val="1"/>
          <c:order val="1"/>
          <c:tx>
            <c:strRef>
              <c:f>'F3.1'!$O$45</c:f>
              <c:strCache>
                <c:ptCount val="1"/>
                <c:pt idx="0">
                  <c:v>Home - Unemployed</c:v>
                </c:pt>
              </c:strCache>
            </c:strRef>
          </c:tx>
          <c:spPr>
            <a:solidFill>
              <a:schemeClr val="tx1">
                <a:lumMod val="65000"/>
                <a:lumOff val="35000"/>
              </a:schemeClr>
            </a:solidFill>
            <a:ln w="25400">
              <a:noFill/>
            </a:ln>
          </c:spPr>
          <c:cat>
            <c:numRef>
              <c:f>'F3.1'!$K$46:$K$86</c:f>
              <c:numCache>
                <c:formatCode>General</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cat>
          <c:val>
            <c:numRef>
              <c:f>'F3.1'!$O$46:$O$86</c:f>
              <c:numCache>
                <c:formatCode>General</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1-87C8-40A3-83BD-87B2A45117DB}"/>
            </c:ext>
          </c:extLst>
        </c:ser>
        <c:ser>
          <c:idx val="2"/>
          <c:order val="2"/>
          <c:tx>
            <c:strRef>
              <c:f>'F3.1'!$P$45</c:f>
              <c:strCache>
                <c:ptCount val="1"/>
                <c:pt idx="0">
                  <c:v>Work</c:v>
                </c:pt>
              </c:strCache>
            </c:strRef>
          </c:tx>
          <c:spPr>
            <a:solidFill>
              <a:schemeClr val="accent1">
                <a:lumMod val="60000"/>
                <a:lumOff val="40000"/>
              </a:schemeClr>
            </a:solidFill>
            <a:ln w="25400">
              <a:noFill/>
            </a:ln>
          </c:spPr>
          <c:cat>
            <c:numRef>
              <c:f>'F3.1'!$K$46:$K$86</c:f>
              <c:numCache>
                <c:formatCode>General</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cat>
          <c:val>
            <c:numRef>
              <c:f>'F3.1'!$P$46:$P$86</c:f>
              <c:numCache>
                <c:formatCode>General</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2-87C8-40A3-83BD-87B2A45117DB}"/>
            </c:ext>
          </c:extLst>
        </c:ser>
        <c:ser>
          <c:idx val="3"/>
          <c:order val="3"/>
          <c:tx>
            <c:strRef>
              <c:f>'F3.1'!$Q$45</c:f>
              <c:strCache>
                <c:ptCount val="1"/>
                <c:pt idx="0">
                  <c:v>Private education</c:v>
                </c:pt>
              </c:strCache>
            </c:strRef>
          </c:tx>
          <c:spPr>
            <a:solidFill>
              <a:schemeClr val="bg1">
                <a:lumMod val="65000"/>
              </a:schemeClr>
            </a:solidFill>
            <a:ln w="25400">
              <a:noFill/>
            </a:ln>
          </c:spPr>
          <c:cat>
            <c:numRef>
              <c:f>'F3.1'!$K$46:$K$86</c:f>
              <c:numCache>
                <c:formatCode>General</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cat>
          <c:val>
            <c:numRef>
              <c:f>'F3.1'!$Q$46:$Q$86</c:f>
              <c:numCache>
                <c:formatCode>General</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3-87C8-40A3-83BD-87B2A45117DB}"/>
            </c:ext>
          </c:extLst>
        </c:ser>
        <c:ser>
          <c:idx val="4"/>
          <c:order val="4"/>
          <c:tx>
            <c:strRef>
              <c:f>'F3.1'!$R$45</c:f>
              <c:strCache>
                <c:ptCount val="1"/>
                <c:pt idx="0">
                  <c:v>Public education</c:v>
                </c:pt>
              </c:strCache>
            </c:strRef>
          </c:tx>
          <c:spPr>
            <a:solidFill>
              <a:schemeClr val="tx2"/>
            </a:solidFill>
            <a:ln w="25400">
              <a:noFill/>
            </a:ln>
          </c:spPr>
          <c:cat>
            <c:numRef>
              <c:f>'F3.1'!$K$46:$K$86</c:f>
              <c:numCache>
                <c:formatCode>General</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cat>
          <c:val>
            <c:numRef>
              <c:f>'F3.1'!$R$46:$R$86</c:f>
              <c:numCache>
                <c:formatCode>General</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4-87C8-40A3-83BD-87B2A45117DB}"/>
            </c:ext>
          </c:extLst>
        </c:ser>
        <c:dLbls>
          <c:showLegendKey val="0"/>
          <c:showVal val="0"/>
          <c:showCatName val="0"/>
          <c:showSerName val="0"/>
          <c:showPercent val="0"/>
          <c:showBubbleSize val="0"/>
        </c:dLbls>
        <c:axId val="261426560"/>
        <c:axId val="261436928"/>
      </c:areaChart>
      <c:catAx>
        <c:axId val="261426560"/>
        <c:scaling>
          <c:orientation val="minMax"/>
        </c:scaling>
        <c:delete val="0"/>
        <c:axPos val="b"/>
        <c:title>
          <c:tx>
            <c:rich>
              <a:bodyPr/>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Age</a:t>
                </a:r>
              </a:p>
            </c:rich>
          </c:tx>
          <c:overlay val="0"/>
        </c:title>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1436928"/>
        <c:crosses val="autoZero"/>
        <c:auto val="1"/>
        <c:lblAlgn val="ctr"/>
        <c:lblOffset val="100"/>
        <c:tickLblSkip val="5"/>
        <c:noMultiLvlLbl val="0"/>
      </c:catAx>
      <c:valAx>
        <c:axId val="261436928"/>
        <c:scaling>
          <c:orientation val="minMax"/>
          <c:max val="1"/>
        </c:scaling>
        <c:delete val="0"/>
        <c:axPos val="l"/>
        <c:title>
          <c:tx>
            <c:rich>
              <a:bodyPr rot="-5400000" vert="horz"/>
              <a:lstStyle/>
              <a:p>
                <a:pPr>
                  <a:defRPr sz="1200">
                    <a:latin typeface="Times New Roman" panose="02020603050405020304" pitchFamily="18" charset="0"/>
                    <a:cs typeface="Times New Roman" panose="02020603050405020304" pitchFamily="18" charset="0"/>
                  </a:defRPr>
                </a:pPr>
                <a:r>
                  <a:rPr lang="en-US" sz="1200">
                    <a:latin typeface="Times New Roman" panose="02020603050405020304" pitchFamily="18" charset="0"/>
                    <a:cs typeface="Times New Roman" panose="02020603050405020304" pitchFamily="18" charset="0"/>
                  </a:rPr>
                  <a:t>Share of population</a:t>
                </a:r>
              </a:p>
            </c:rich>
          </c:tx>
          <c:overlay val="0"/>
        </c:title>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1426560"/>
        <c:crosses val="autoZero"/>
        <c:crossBetween val="midCat"/>
        <c:majorUnit val="0.2"/>
      </c:valAx>
    </c:plotArea>
    <c:legend>
      <c:legendPos val="b"/>
      <c:layout>
        <c:manualLayout>
          <c:xMode val="edge"/>
          <c:yMode val="edge"/>
          <c:x val="8.4074146981627296E-2"/>
          <c:y val="0.82586829379446536"/>
          <c:w val="0.89851837270341195"/>
          <c:h val="0.1484082335367243"/>
        </c:manualLayout>
      </c:layout>
      <c:overlay val="0"/>
      <c:txPr>
        <a:bodyPr/>
        <a:lstStyle/>
        <a:p>
          <a:pPr>
            <a:defRPr sz="1100">
              <a:latin typeface="Times New Roman" panose="02020603050405020304" pitchFamily="18" charset="0"/>
              <a:cs typeface="Times New Roman" panose="02020603050405020304" pitchFamily="18" charset="0"/>
            </a:defRPr>
          </a:pPr>
          <a:endParaRPr lang="en-US"/>
        </a:p>
      </c:txPr>
    </c:legend>
    <c:plotVisOnly val="1"/>
    <c:dispBlanksAs val="zero"/>
    <c:showDLblsOverMax val="0"/>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'F4.9'!$C$78</c:f>
              <c:strCache>
                <c:ptCount val="1"/>
                <c:pt idx="0">
                  <c:v>Small and Medium Firms</c:v>
                </c:pt>
              </c:strCache>
            </c:strRef>
          </c:tx>
          <c:spPr>
            <a:solidFill>
              <a:schemeClr val="bg1">
                <a:lumMod val="65000"/>
              </a:schemeClr>
            </a:solidFill>
          </c:spPr>
          <c:invertIfNegative val="0"/>
          <c:cat>
            <c:strRef>
              <c:f>'F4.9'!$B$79:$B$82</c:f>
              <c:strCache>
                <c:ptCount val="4"/>
                <c:pt idx="0">
                  <c:v>Colombia</c:v>
                </c:pt>
                <c:pt idx="1">
                  <c:v>Bolivia</c:v>
                </c:pt>
                <c:pt idx="2">
                  <c:v>Chile</c:v>
                </c:pt>
                <c:pt idx="3">
                  <c:v>Advanced Economies</c:v>
                </c:pt>
              </c:strCache>
            </c:strRef>
          </c:cat>
          <c:val>
            <c:numRef>
              <c:f>'F4.9'!$C$79:$C$82</c:f>
              <c:numCache>
                <c:formatCode>0.0%</c:formatCode>
                <c:ptCount val="4"/>
                <c:pt idx="0">
                  <c:v>0.29737209999999997</c:v>
                </c:pt>
                <c:pt idx="1">
                  <c:v>0.36202190000000001</c:v>
                </c:pt>
                <c:pt idx="2">
                  <c:v>0.42948717948717946</c:v>
                </c:pt>
                <c:pt idx="3">
                  <c:v>0.65197274782608694</c:v>
                </c:pt>
              </c:numCache>
            </c:numRef>
          </c:val>
          <c:extLst>
            <c:ext xmlns:c16="http://schemas.microsoft.com/office/drawing/2014/chart" uri="{C3380CC4-5D6E-409C-BE32-E72D297353CC}">
              <c16:uniqueId val="{00000000-1A3A-42ED-B780-1B9DE991113D}"/>
            </c:ext>
          </c:extLst>
        </c:ser>
        <c:ser>
          <c:idx val="1"/>
          <c:order val="1"/>
          <c:tx>
            <c:strRef>
              <c:f>'F4.9'!$D$78</c:f>
              <c:strCache>
                <c:ptCount val="1"/>
                <c:pt idx="0">
                  <c:v>Large Firms</c:v>
                </c:pt>
              </c:strCache>
            </c:strRef>
          </c:tx>
          <c:spPr>
            <a:solidFill>
              <a:schemeClr val="tx2"/>
            </a:solidFill>
          </c:spPr>
          <c:invertIfNegative val="0"/>
          <c:cat>
            <c:strRef>
              <c:f>'F4.9'!$B$79:$B$82</c:f>
              <c:strCache>
                <c:ptCount val="4"/>
                <c:pt idx="0">
                  <c:v>Colombia</c:v>
                </c:pt>
                <c:pt idx="1">
                  <c:v>Bolivia</c:v>
                </c:pt>
                <c:pt idx="2">
                  <c:v>Chile</c:v>
                </c:pt>
                <c:pt idx="3">
                  <c:v>Advanced Economies</c:v>
                </c:pt>
              </c:strCache>
            </c:strRef>
          </c:cat>
          <c:val>
            <c:numRef>
              <c:f>'F4.9'!$D$79:$D$82</c:f>
              <c:numCache>
                <c:formatCode>0.0%</c:formatCode>
                <c:ptCount val="4"/>
                <c:pt idx="0">
                  <c:v>0.64077669999999998</c:v>
                </c:pt>
                <c:pt idx="1">
                  <c:v>0.68918919999999995</c:v>
                </c:pt>
                <c:pt idx="2">
                  <c:v>0.66179775280898878</c:v>
                </c:pt>
                <c:pt idx="3">
                  <c:v>0.78560892173913055</c:v>
                </c:pt>
              </c:numCache>
            </c:numRef>
          </c:val>
          <c:extLst>
            <c:ext xmlns:c16="http://schemas.microsoft.com/office/drawing/2014/chart" uri="{C3380CC4-5D6E-409C-BE32-E72D297353CC}">
              <c16:uniqueId val="{00000001-1A3A-42ED-B780-1B9DE991113D}"/>
            </c:ext>
          </c:extLst>
        </c:ser>
        <c:dLbls>
          <c:showLegendKey val="0"/>
          <c:showVal val="0"/>
          <c:showCatName val="0"/>
          <c:showSerName val="0"/>
          <c:showPercent val="0"/>
          <c:showBubbleSize val="0"/>
        </c:dLbls>
        <c:gapWidth val="150"/>
        <c:axId val="263812224"/>
        <c:axId val="263814144"/>
      </c:barChart>
      <c:lineChart>
        <c:grouping val="standard"/>
        <c:varyColors val="0"/>
        <c:ser>
          <c:idx val="2"/>
          <c:order val="2"/>
          <c:tx>
            <c:strRef>
              <c:f>'F4.9'!$E$78</c:f>
              <c:strCache>
                <c:ptCount val="1"/>
                <c:pt idx="0">
                  <c:v>Total</c:v>
                </c:pt>
              </c:strCache>
            </c:strRef>
          </c:tx>
          <c:spPr>
            <a:ln>
              <a:noFill/>
            </a:ln>
          </c:spPr>
          <c:marker>
            <c:symbol val="diamond"/>
            <c:size val="8"/>
            <c:spPr>
              <a:solidFill>
                <a:schemeClr val="tx1"/>
              </a:solidFill>
              <a:ln>
                <a:solidFill>
                  <a:schemeClr val="tx1"/>
                </a:solidFill>
              </a:ln>
            </c:spPr>
          </c:marker>
          <c:cat>
            <c:strRef>
              <c:f>'F4.9'!$B$79:$B$82</c:f>
              <c:strCache>
                <c:ptCount val="4"/>
                <c:pt idx="0">
                  <c:v>Colombia</c:v>
                </c:pt>
                <c:pt idx="1">
                  <c:v>Bolivia</c:v>
                </c:pt>
                <c:pt idx="2">
                  <c:v>Chile</c:v>
                </c:pt>
                <c:pt idx="3">
                  <c:v>Advanced Economies</c:v>
                </c:pt>
              </c:strCache>
            </c:strRef>
          </c:cat>
          <c:val>
            <c:numRef>
              <c:f>'F4.9'!$E$79:$E$82</c:f>
              <c:numCache>
                <c:formatCode>0.0%</c:formatCode>
                <c:ptCount val="4"/>
                <c:pt idx="0">
                  <c:v>0.40019379999999999</c:v>
                </c:pt>
                <c:pt idx="1">
                  <c:v>0.43815510000000002</c:v>
                </c:pt>
                <c:pt idx="2">
                  <c:v>0.50900000000000001</c:v>
                </c:pt>
                <c:pt idx="3">
                  <c:v>0.70723034782608674</c:v>
                </c:pt>
              </c:numCache>
            </c:numRef>
          </c:val>
          <c:smooth val="0"/>
          <c:extLst>
            <c:ext xmlns:c16="http://schemas.microsoft.com/office/drawing/2014/chart" uri="{C3380CC4-5D6E-409C-BE32-E72D297353CC}">
              <c16:uniqueId val="{00000002-1A3A-42ED-B780-1B9DE991113D}"/>
            </c:ext>
          </c:extLst>
        </c:ser>
        <c:dLbls>
          <c:showLegendKey val="0"/>
          <c:showVal val="0"/>
          <c:showCatName val="0"/>
          <c:showSerName val="0"/>
          <c:showPercent val="0"/>
          <c:showBubbleSize val="0"/>
        </c:dLbls>
        <c:marker val="1"/>
        <c:smooth val="0"/>
        <c:axId val="263812224"/>
        <c:axId val="263814144"/>
      </c:lineChart>
      <c:catAx>
        <c:axId val="263812224"/>
        <c:scaling>
          <c:orientation val="minMax"/>
        </c:scaling>
        <c:delete val="0"/>
        <c:axPos val="b"/>
        <c:numFmt formatCode="General" sourceLinked="0"/>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3814144"/>
        <c:crosses val="autoZero"/>
        <c:auto val="1"/>
        <c:lblAlgn val="ctr"/>
        <c:lblOffset val="100"/>
        <c:noMultiLvlLbl val="0"/>
      </c:catAx>
      <c:valAx>
        <c:axId val="263814144"/>
        <c:scaling>
          <c:orientation val="minMax"/>
        </c:scaling>
        <c:delete val="0"/>
        <c:axPos val="l"/>
        <c:majorGridlines>
          <c:spPr>
            <a:ln>
              <a:solidFill>
                <a:schemeClr val="bg1">
                  <a:lumMod val="95000"/>
                </a:schemeClr>
              </a:solidFill>
            </a:ln>
          </c:spPr>
        </c:majorGridlines>
        <c:numFmt formatCode="0%" sourceLinked="0"/>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3812224"/>
        <c:crosses val="autoZero"/>
        <c:crossBetween val="between"/>
      </c:valAx>
    </c:plotArea>
    <c:legend>
      <c:legendPos val="b"/>
      <c:overlay val="0"/>
      <c:txPr>
        <a:bodyPr/>
        <a:lstStyle/>
        <a:p>
          <a:pPr>
            <a:defRPr sz="120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Times New Roman" panose="02020603050405020304" pitchFamily="18" charset="0"/>
                <a:cs typeface="Times New Roman" panose="02020603050405020304" pitchFamily="18" charset="0"/>
              </a:defRPr>
            </a:pPr>
            <a:r>
              <a:rPr lang="en-US" sz="1200">
                <a:latin typeface="Times New Roman" panose="02020603050405020304" pitchFamily="18" charset="0"/>
                <a:cs typeface="Times New Roman" panose="02020603050405020304" pitchFamily="18" charset="0"/>
              </a:rPr>
              <a:t>A. Percent</a:t>
            </a:r>
            <a:r>
              <a:rPr lang="en-US" sz="1200" baseline="0">
                <a:latin typeface="Times New Roman" panose="02020603050405020304" pitchFamily="18" charset="0"/>
                <a:cs typeface="Times New Roman" panose="02020603050405020304" pitchFamily="18" charset="0"/>
              </a:rPr>
              <a:t> of GDP</a:t>
            </a:r>
            <a:endParaRPr lang="en-US" sz="1200">
              <a:latin typeface="Times New Roman" panose="02020603050405020304" pitchFamily="18" charset="0"/>
              <a:cs typeface="Times New Roman" panose="02020603050405020304" pitchFamily="18" charset="0"/>
            </a:endParaRPr>
          </a:p>
        </c:rich>
      </c:tx>
      <c:overlay val="0"/>
    </c:title>
    <c:autoTitleDeleted val="0"/>
    <c:plotArea>
      <c:layout/>
      <c:scatterChart>
        <c:scatterStyle val="lineMarker"/>
        <c:varyColors val="0"/>
        <c:ser>
          <c:idx val="0"/>
          <c:order val="0"/>
          <c:spPr>
            <a:ln w="28575">
              <a:noFill/>
            </a:ln>
          </c:spPr>
          <c:marker>
            <c:symbol val="none"/>
          </c:marker>
          <c:trendline>
            <c:trendlineType val="linear"/>
            <c:dispRSqr val="0"/>
            <c:dispEq val="0"/>
          </c:trendline>
          <c:xVal>
            <c:numRef>
              <c:f>'F5.3'!$C$50:$C$262</c:f>
              <c:numCache>
                <c:formatCode>General</c:formatCode>
                <c:ptCount val="213"/>
                <c:pt idx="0">
                  <c:v>10.49169</c:v>
                </c:pt>
                <c:pt idx="2">
                  <c:v>7.5197039999999999</c:v>
                </c:pt>
                <c:pt idx="3">
                  <c:v>8.8473539999999993</c:v>
                </c:pt>
                <c:pt idx="4">
                  <c:v>9.2224699999999995</c:v>
                </c:pt>
                <c:pt idx="5">
                  <c:v>11.075390000000001</c:v>
                </c:pt>
                <c:pt idx="7">
                  <c:v>8.9488059999999994</c:v>
                </c:pt>
                <c:pt idx="9">
                  <c:v>9.9552189999999996</c:v>
                </c:pt>
                <c:pt idx="10">
                  <c:v>10.67516</c:v>
                </c:pt>
                <c:pt idx="11">
                  <c:v>10.689019999999999</c:v>
                </c:pt>
                <c:pt idx="12">
                  <c:v>9.7240680000000008</c:v>
                </c:pt>
                <c:pt idx="13">
                  <c:v>6.5991689999999998</c:v>
                </c:pt>
                <c:pt idx="14">
                  <c:v>10.61589</c:v>
                </c:pt>
                <c:pt idx="15">
                  <c:v>7.5688060000000004</c:v>
                </c:pt>
                <c:pt idx="16">
                  <c:v>7.3433270000000004</c:v>
                </c:pt>
                <c:pt idx="17">
                  <c:v>7.9993990000000004</c:v>
                </c:pt>
                <c:pt idx="18">
                  <c:v>9.7027809999999999</c:v>
                </c:pt>
                <c:pt idx="19">
                  <c:v>10.6784</c:v>
                </c:pt>
                <c:pt idx="20">
                  <c:v>10.01731</c:v>
                </c:pt>
                <c:pt idx="21">
                  <c:v>9.1797339999999998</c:v>
                </c:pt>
                <c:pt idx="22">
                  <c:v>9.7612349999999992</c:v>
                </c:pt>
                <c:pt idx="23">
                  <c:v>8.9926200000000005</c:v>
                </c:pt>
                <c:pt idx="24">
                  <c:v>10.833080000000001</c:v>
                </c:pt>
                <c:pt idx="25">
                  <c:v>8.7522640000000003</c:v>
                </c:pt>
                <c:pt idx="26">
                  <c:v>9.6265750000000008</c:v>
                </c:pt>
                <c:pt idx="27">
                  <c:v>9.6368829999999992</c:v>
                </c:pt>
                <c:pt idx="28">
                  <c:v>11.125970000000001</c:v>
                </c:pt>
                <c:pt idx="29">
                  <c:v>8.916817</c:v>
                </c:pt>
                <c:pt idx="30">
                  <c:v>9.6290630000000004</c:v>
                </c:pt>
                <c:pt idx="31">
                  <c:v>6.2982089999999999</c:v>
                </c:pt>
                <c:pt idx="32">
                  <c:v>10.66432</c:v>
                </c:pt>
                <c:pt idx="33">
                  <c:v>10.92</c:v>
                </c:pt>
                <c:pt idx="35">
                  <c:v>9.9953090000000007</c:v>
                </c:pt>
                <c:pt idx="36">
                  <c:v>9.4413870000000006</c:v>
                </c:pt>
                <c:pt idx="37">
                  <c:v>8.0418719999999997</c:v>
                </c:pt>
                <c:pt idx="38">
                  <c:v>7.9499969999999998</c:v>
                </c:pt>
                <c:pt idx="39">
                  <c:v>8.6975390000000008</c:v>
                </c:pt>
                <c:pt idx="40">
                  <c:v>9.4505490000000005</c:v>
                </c:pt>
                <c:pt idx="41">
                  <c:v>7.2178560000000003</c:v>
                </c:pt>
                <c:pt idx="42">
                  <c:v>8.7354900000000004</c:v>
                </c:pt>
                <c:pt idx="43">
                  <c:v>9.5632610000000007</c:v>
                </c:pt>
                <c:pt idx="44">
                  <c:v>9.9009979999999995</c:v>
                </c:pt>
                <c:pt idx="46">
                  <c:v>10.817819999999999</c:v>
                </c:pt>
                <c:pt idx="47">
                  <c:v>10.29055</c:v>
                </c:pt>
                <c:pt idx="48">
                  <c:v>10.263769999999999</c:v>
                </c:pt>
                <c:pt idx="49">
                  <c:v>10.68172</c:v>
                </c:pt>
                <c:pt idx="50">
                  <c:v>8.0456029999999998</c:v>
                </c:pt>
                <c:pt idx="51">
                  <c:v>9.2473679999999998</c:v>
                </c:pt>
                <c:pt idx="52">
                  <c:v>10.672599999999999</c:v>
                </c:pt>
                <c:pt idx="53">
                  <c:v>9.4456120000000006</c:v>
                </c:pt>
                <c:pt idx="54">
                  <c:v>9.5144300000000008</c:v>
                </c:pt>
                <c:pt idx="55">
                  <c:v>9.2918109999999992</c:v>
                </c:pt>
                <c:pt idx="56">
                  <c:v>9.2151859999999992</c:v>
                </c:pt>
                <c:pt idx="57">
                  <c:v>7.2521659999999999</c:v>
                </c:pt>
                <c:pt idx="58">
                  <c:v>10.365640000000001</c:v>
                </c:pt>
                <c:pt idx="59">
                  <c:v>10.188420000000001</c:v>
                </c:pt>
                <c:pt idx="60">
                  <c:v>7.2659909999999996</c:v>
                </c:pt>
                <c:pt idx="61">
                  <c:v>10.560420000000001</c:v>
                </c:pt>
                <c:pt idx="62">
                  <c:v>9.0345840000000006</c:v>
                </c:pt>
                <c:pt idx="63">
                  <c:v>10.520099999999999</c:v>
                </c:pt>
                <c:pt idx="65">
                  <c:v>8.0638159999999992</c:v>
                </c:pt>
                <c:pt idx="66">
                  <c:v>9.8275120000000005</c:v>
                </c:pt>
                <c:pt idx="67">
                  <c:v>10.54757</c:v>
                </c:pt>
                <c:pt idx="68">
                  <c:v>9.0767129999999998</c:v>
                </c:pt>
                <c:pt idx="69">
                  <c:v>8.2671930000000007</c:v>
                </c:pt>
                <c:pt idx="71">
                  <c:v>7.0605880000000001</c:v>
                </c:pt>
                <c:pt idx="72">
                  <c:v>7.3495710000000001</c:v>
                </c:pt>
                <c:pt idx="73">
                  <c:v>7.197781</c:v>
                </c:pt>
                <c:pt idx="74">
                  <c:v>10.40868</c:v>
                </c:pt>
                <c:pt idx="75">
                  <c:v>10.107189999999999</c:v>
                </c:pt>
                <c:pt idx="76">
                  <c:v>9.3803970000000003</c:v>
                </c:pt>
                <c:pt idx="78">
                  <c:v>8.8687500000000004</c:v>
                </c:pt>
                <c:pt idx="80">
                  <c:v>8.8373849999999994</c:v>
                </c:pt>
                <c:pt idx="81">
                  <c:v>10.870649999999999</c:v>
                </c:pt>
                <c:pt idx="82">
                  <c:v>8.4516930000000006</c:v>
                </c:pt>
                <c:pt idx="83">
                  <c:v>9.9051419999999997</c:v>
                </c:pt>
                <c:pt idx="84">
                  <c:v>7.4103009999999996</c:v>
                </c:pt>
                <c:pt idx="85">
                  <c:v>10.074210000000001</c:v>
                </c:pt>
                <c:pt idx="86">
                  <c:v>9.2134680000000007</c:v>
                </c:pt>
                <c:pt idx="88">
                  <c:v>8.5926150000000003</c:v>
                </c:pt>
                <c:pt idx="89">
                  <c:v>10.78692</c:v>
                </c:pt>
                <c:pt idx="90">
                  <c:v>9.7115410000000004</c:v>
                </c:pt>
                <c:pt idx="91">
                  <c:v>9.5593839999999997</c:v>
                </c:pt>
                <c:pt idx="92">
                  <c:v>10.627700000000001</c:v>
                </c:pt>
                <c:pt idx="93">
                  <c:v>10.358420000000001</c:v>
                </c:pt>
                <c:pt idx="94">
                  <c:v>10.414540000000001</c:v>
                </c:pt>
                <c:pt idx="95">
                  <c:v>9.0442330000000002</c:v>
                </c:pt>
                <c:pt idx="96">
                  <c:v>9.2342560000000002</c:v>
                </c:pt>
                <c:pt idx="97">
                  <c:v>10.47974</c:v>
                </c:pt>
                <c:pt idx="98">
                  <c:v>10.103109999999999</c:v>
                </c:pt>
                <c:pt idx="99">
                  <c:v>7.9439690000000001</c:v>
                </c:pt>
                <c:pt idx="100">
                  <c:v>8.0651530000000005</c:v>
                </c:pt>
                <c:pt idx="101">
                  <c:v>8.0432229999999993</c:v>
                </c:pt>
                <c:pt idx="102">
                  <c:v>7.4534789999999997</c:v>
                </c:pt>
                <c:pt idx="103">
                  <c:v>10.00661</c:v>
                </c:pt>
                <c:pt idx="104">
                  <c:v>10.42346</c:v>
                </c:pt>
                <c:pt idx="105">
                  <c:v>11.15451</c:v>
                </c:pt>
                <c:pt idx="106">
                  <c:v>8.5323229999999999</c:v>
                </c:pt>
                <c:pt idx="107">
                  <c:v>9.5083549999999999</c:v>
                </c:pt>
                <c:pt idx="108">
                  <c:v>6.6891699999999998</c:v>
                </c:pt>
                <c:pt idx="109">
                  <c:v>9.6077729999999999</c:v>
                </c:pt>
                <c:pt idx="110">
                  <c:v>9.2340149999999994</c:v>
                </c:pt>
                <c:pt idx="112">
                  <c:v>9.2725690000000007</c:v>
                </c:pt>
                <c:pt idx="113">
                  <c:v>7.8308270000000002</c:v>
                </c:pt>
                <c:pt idx="114">
                  <c:v>10.1576</c:v>
                </c:pt>
                <c:pt idx="115">
                  <c:v>11.422650000000001</c:v>
                </c:pt>
                <c:pt idx="116">
                  <c:v>10.000540000000001</c:v>
                </c:pt>
                <c:pt idx="118">
                  <c:v>8.8743479999999995</c:v>
                </c:pt>
                <c:pt idx="120">
                  <c:v>8.4685570000000006</c:v>
                </c:pt>
                <c:pt idx="121">
                  <c:v>7.2230509999999999</c:v>
                </c:pt>
                <c:pt idx="122">
                  <c:v>9.3887859999999996</c:v>
                </c:pt>
                <c:pt idx="123">
                  <c:v>9.6990110000000005</c:v>
                </c:pt>
                <c:pt idx="124">
                  <c:v>8.1963939999999997</c:v>
                </c:pt>
                <c:pt idx="125">
                  <c:v>9.4166629999999998</c:v>
                </c:pt>
                <c:pt idx="126">
                  <c:v>7.6905229999999998</c:v>
                </c:pt>
                <c:pt idx="127">
                  <c:v>10.268879999999999</c:v>
                </c:pt>
                <c:pt idx="129">
                  <c:v>9.584244</c:v>
                </c:pt>
                <c:pt idx="130">
                  <c:v>9.3416619999999995</c:v>
                </c:pt>
                <c:pt idx="132">
                  <c:v>6.984318</c:v>
                </c:pt>
                <c:pt idx="133">
                  <c:v>8.2143409999999992</c:v>
                </c:pt>
                <c:pt idx="134">
                  <c:v>9.7834029999999998</c:v>
                </c:pt>
                <c:pt idx="135">
                  <c:v>7.0164</c:v>
                </c:pt>
                <c:pt idx="136">
                  <c:v>10.10478</c:v>
                </c:pt>
                <c:pt idx="137">
                  <c:v>9.1581519999999994</c:v>
                </c:pt>
                <c:pt idx="139">
                  <c:v>6.8043469999999999</c:v>
                </c:pt>
                <c:pt idx="140">
                  <c:v>8.6375419999999998</c:v>
                </c:pt>
                <c:pt idx="141">
                  <c:v>8.4569010000000002</c:v>
                </c:pt>
                <c:pt idx="142">
                  <c:v>10.72902</c:v>
                </c:pt>
                <c:pt idx="143">
                  <c:v>11.06916</c:v>
                </c:pt>
                <c:pt idx="144">
                  <c:v>7.7253530000000001</c:v>
                </c:pt>
                <c:pt idx="146">
                  <c:v>10.44181</c:v>
                </c:pt>
                <c:pt idx="147">
                  <c:v>10.51473</c:v>
                </c:pt>
                <c:pt idx="148">
                  <c:v>8.4316669999999991</c:v>
                </c:pt>
                <c:pt idx="149">
                  <c:v>9.9064399999999999</c:v>
                </c:pt>
                <c:pt idx="150">
                  <c:v>9.3458550000000002</c:v>
                </c:pt>
                <c:pt idx="151">
                  <c:v>8.8021550000000008</c:v>
                </c:pt>
                <c:pt idx="152">
                  <c:v>9.4936589999999992</c:v>
                </c:pt>
                <c:pt idx="153">
                  <c:v>7.9096700000000002</c:v>
                </c:pt>
                <c:pt idx="154">
                  <c:v>10.083880000000001</c:v>
                </c:pt>
                <c:pt idx="155">
                  <c:v>10.429510000000001</c:v>
                </c:pt>
                <c:pt idx="157">
                  <c:v>10.172549999999999</c:v>
                </c:pt>
                <c:pt idx="158">
                  <c:v>9.0480129999999992</c:v>
                </c:pt>
                <c:pt idx="160">
                  <c:v>11.80893</c:v>
                </c:pt>
                <c:pt idx="161">
                  <c:v>9.8592180000000003</c:v>
                </c:pt>
                <c:pt idx="162">
                  <c:v>10.12157</c:v>
                </c:pt>
                <c:pt idx="163">
                  <c:v>7.3682650000000001</c:v>
                </c:pt>
                <c:pt idx="164">
                  <c:v>10.81213</c:v>
                </c:pt>
                <c:pt idx="165">
                  <c:v>8.2641690000000008</c:v>
                </c:pt>
                <c:pt idx="166">
                  <c:v>7.7031049999999999</c:v>
                </c:pt>
                <c:pt idx="167">
                  <c:v>11.28415</c:v>
                </c:pt>
                <c:pt idx="168">
                  <c:v>7.6170150000000003</c:v>
                </c:pt>
                <c:pt idx="169">
                  <c:v>7.5596439999999996</c:v>
                </c:pt>
                <c:pt idx="170">
                  <c:v>8.9779020000000003</c:v>
                </c:pt>
                <c:pt idx="173">
                  <c:v>9.4503369999999993</c:v>
                </c:pt>
                <c:pt idx="174">
                  <c:v>7.583062</c:v>
                </c:pt>
                <c:pt idx="175">
                  <c:v>8.0163899999999995</c:v>
                </c:pt>
                <c:pt idx="176">
                  <c:v>9.6723510000000008</c:v>
                </c:pt>
                <c:pt idx="177">
                  <c:v>10.183759999999999</c:v>
                </c:pt>
                <c:pt idx="178">
                  <c:v>10.24553</c:v>
                </c:pt>
                <c:pt idx="179">
                  <c:v>10.691409999999999</c:v>
                </c:pt>
                <c:pt idx="180">
                  <c:v>8.9759879999999992</c:v>
                </c:pt>
                <c:pt idx="182">
                  <c:v>10.134880000000001</c:v>
                </c:pt>
                <c:pt idx="185">
                  <c:v>7.6372140000000002</c:v>
                </c:pt>
                <c:pt idx="186">
                  <c:v>7.1983319999999997</c:v>
                </c:pt>
                <c:pt idx="187">
                  <c:v>9.6142020000000006</c:v>
                </c:pt>
                <c:pt idx="188">
                  <c:v>7.8505079999999996</c:v>
                </c:pt>
                <c:pt idx="189">
                  <c:v>9.5998049999999999</c:v>
                </c:pt>
                <c:pt idx="190">
                  <c:v>7.6471739999999997</c:v>
                </c:pt>
                <c:pt idx="191">
                  <c:v>8.5114800000000006</c:v>
                </c:pt>
                <c:pt idx="192">
                  <c:v>10.325390000000001</c:v>
                </c:pt>
                <c:pt idx="193">
                  <c:v>9.2825330000000008</c:v>
                </c:pt>
                <c:pt idx="194">
                  <c:v>9.8255630000000007</c:v>
                </c:pt>
                <c:pt idx="195">
                  <c:v>8.186515</c:v>
                </c:pt>
                <c:pt idx="196">
                  <c:v>7.7920220000000002</c:v>
                </c:pt>
                <c:pt idx="197">
                  <c:v>7.43215</c:v>
                </c:pt>
                <c:pt idx="198">
                  <c:v>9.0165509999999998</c:v>
                </c:pt>
                <c:pt idx="199">
                  <c:v>9.8948370000000008</c:v>
                </c:pt>
                <c:pt idx="200">
                  <c:v>10.85338</c:v>
                </c:pt>
                <c:pt idx="201">
                  <c:v>8.5786409999999993</c:v>
                </c:pt>
                <c:pt idx="202">
                  <c:v>9.2340660000000003</c:v>
                </c:pt>
                <c:pt idx="203">
                  <c:v>9.7273060000000005</c:v>
                </c:pt>
                <c:pt idx="205">
                  <c:v>8.5886220000000009</c:v>
                </c:pt>
                <c:pt idx="206">
                  <c:v>7.9694339999999997</c:v>
                </c:pt>
                <c:pt idx="207">
                  <c:v>8.6168479999999992</c:v>
                </c:pt>
                <c:pt idx="208">
                  <c:v>8.2061209999999996</c:v>
                </c:pt>
                <c:pt idx="209">
                  <c:v>9.4283699999999993</c:v>
                </c:pt>
                <c:pt idx="210">
                  <c:v>6.5666960000000003</c:v>
                </c:pt>
                <c:pt idx="211">
                  <c:v>8.1948419999999995</c:v>
                </c:pt>
                <c:pt idx="212">
                  <c:v>7.4437480000000003</c:v>
                </c:pt>
              </c:numCache>
            </c:numRef>
          </c:xVal>
          <c:yVal>
            <c:numRef>
              <c:f>'F5.3'!$E$50:$E$262</c:f>
              <c:numCache>
                <c:formatCode>General</c:formatCode>
                <c:ptCount val="213"/>
                <c:pt idx="1">
                  <c:v>0.62839999999999996</c:v>
                </c:pt>
                <c:pt idx="4">
                  <c:v>0.70164000000000004</c:v>
                </c:pt>
                <c:pt idx="5">
                  <c:v>0.7117</c:v>
                </c:pt>
                <c:pt idx="6">
                  <c:v>2.2192599999999998</c:v>
                </c:pt>
                <c:pt idx="7">
                  <c:v>1.2202200000000001</c:v>
                </c:pt>
                <c:pt idx="9">
                  <c:v>0.93852999999999998</c:v>
                </c:pt>
                <c:pt idx="10">
                  <c:v>1.74274</c:v>
                </c:pt>
                <c:pt idx="11">
                  <c:v>2.29305</c:v>
                </c:pt>
                <c:pt idx="13">
                  <c:v>1.45208</c:v>
                </c:pt>
                <c:pt idx="14">
                  <c:v>2.7552500000000002</c:v>
                </c:pt>
                <c:pt idx="15">
                  <c:v>1.15002</c:v>
                </c:pt>
                <c:pt idx="16">
                  <c:v>0.76049</c:v>
                </c:pt>
                <c:pt idx="17">
                  <c:v>0.92656000000000005</c:v>
                </c:pt>
                <c:pt idx="18">
                  <c:v>1.37968</c:v>
                </c:pt>
                <c:pt idx="23">
                  <c:v>2.3711899999999999</c:v>
                </c:pt>
                <c:pt idx="24">
                  <c:v>0.79039000000000004</c:v>
                </c:pt>
                <c:pt idx="25">
                  <c:v>2.6475399999999998</c:v>
                </c:pt>
                <c:pt idx="26">
                  <c:v>2.6388799999999999</c:v>
                </c:pt>
                <c:pt idx="27">
                  <c:v>1.5085500000000001</c:v>
                </c:pt>
                <c:pt idx="28">
                  <c:v>1.4568700000000001</c:v>
                </c:pt>
                <c:pt idx="29">
                  <c:v>3.2868400000000002</c:v>
                </c:pt>
                <c:pt idx="30">
                  <c:v>3.1495299999999999</c:v>
                </c:pt>
                <c:pt idx="31">
                  <c:v>0.28903000000000001</c:v>
                </c:pt>
                <c:pt idx="32">
                  <c:v>1.39215</c:v>
                </c:pt>
                <c:pt idx="33">
                  <c:v>1.97695</c:v>
                </c:pt>
                <c:pt idx="35">
                  <c:v>1.3513599999999999</c:v>
                </c:pt>
                <c:pt idx="37">
                  <c:v>1.7547600000000001</c:v>
                </c:pt>
                <c:pt idx="38">
                  <c:v>1.5584100000000001</c:v>
                </c:pt>
                <c:pt idx="39">
                  <c:v>3.31765</c:v>
                </c:pt>
                <c:pt idx="40">
                  <c:v>1.75136</c:v>
                </c:pt>
                <c:pt idx="41">
                  <c:v>1.41134</c:v>
                </c:pt>
                <c:pt idx="42">
                  <c:v>2.0289100000000002</c:v>
                </c:pt>
                <c:pt idx="43">
                  <c:v>2.3449800000000001</c:v>
                </c:pt>
                <c:pt idx="44">
                  <c:v>3.73665</c:v>
                </c:pt>
                <c:pt idx="45">
                  <c:v>1.6726700000000001</c:v>
                </c:pt>
                <c:pt idx="47">
                  <c:v>2.8307799999999999</c:v>
                </c:pt>
                <c:pt idx="48">
                  <c:v>1.87767</c:v>
                </c:pt>
                <c:pt idx="49">
                  <c:v>2.13178</c:v>
                </c:pt>
                <c:pt idx="50">
                  <c:v>1.6740699999999999</c:v>
                </c:pt>
                <c:pt idx="51">
                  <c:v>5.0516800000000002</c:v>
                </c:pt>
                <c:pt idx="52">
                  <c:v>2.7438199999999999</c:v>
                </c:pt>
                <c:pt idx="53">
                  <c:v>1.2907500000000001</c:v>
                </c:pt>
                <c:pt idx="55">
                  <c:v>0.74036000000000002</c:v>
                </c:pt>
                <c:pt idx="58">
                  <c:v>1.58876</c:v>
                </c:pt>
                <c:pt idx="59">
                  <c:v>1.7088300000000001</c:v>
                </c:pt>
                <c:pt idx="60">
                  <c:v>1.3184100000000001</c:v>
                </c:pt>
                <c:pt idx="61">
                  <c:v>1.0779700000000001</c:v>
                </c:pt>
                <c:pt idx="62">
                  <c:v>0.66537999999999997</c:v>
                </c:pt>
                <c:pt idx="63">
                  <c:v>2.4247000000000001</c:v>
                </c:pt>
                <c:pt idx="67">
                  <c:v>2.2823799999999999</c:v>
                </c:pt>
                <c:pt idx="68">
                  <c:v>0.63722000000000001</c:v>
                </c:pt>
                <c:pt idx="69">
                  <c:v>2.9235099999999998</c:v>
                </c:pt>
                <c:pt idx="71">
                  <c:v>0.89056000000000002</c:v>
                </c:pt>
                <c:pt idx="72">
                  <c:v>0.98243999999999998</c:v>
                </c:pt>
                <c:pt idx="73">
                  <c:v>0.71721999999999997</c:v>
                </c:pt>
                <c:pt idx="78">
                  <c:v>0.40665000000000001</c:v>
                </c:pt>
                <c:pt idx="80">
                  <c:v>1.0620400000000001</c:v>
                </c:pt>
                <c:pt idx="81">
                  <c:v>1.1185</c:v>
                </c:pt>
                <c:pt idx="82">
                  <c:v>1.4858</c:v>
                </c:pt>
                <c:pt idx="85">
                  <c:v>1.7140200000000001</c:v>
                </c:pt>
                <c:pt idx="86">
                  <c:v>0.88341999999999998</c:v>
                </c:pt>
                <c:pt idx="88">
                  <c:v>1.4817499999999999</c:v>
                </c:pt>
                <c:pt idx="89">
                  <c:v>1.93028</c:v>
                </c:pt>
                <c:pt idx="90">
                  <c:v>1.1666099999999999</c:v>
                </c:pt>
                <c:pt idx="92">
                  <c:v>2.2374499999999999</c:v>
                </c:pt>
                <c:pt idx="93">
                  <c:v>1.5070600000000001</c:v>
                </c:pt>
                <c:pt idx="94">
                  <c:v>1.75346</c:v>
                </c:pt>
                <c:pt idx="95">
                  <c:v>1.89516</c:v>
                </c:pt>
                <c:pt idx="96">
                  <c:v>1.75315</c:v>
                </c:pt>
                <c:pt idx="97">
                  <c:v>1.42258</c:v>
                </c:pt>
                <c:pt idx="98">
                  <c:v>1.90883</c:v>
                </c:pt>
                <c:pt idx="100">
                  <c:v>3.6864599999999998</c:v>
                </c:pt>
                <c:pt idx="101">
                  <c:v>0.83955999999999997</c:v>
                </c:pt>
                <c:pt idx="104">
                  <c:v>1.76772</c:v>
                </c:pt>
                <c:pt idx="105">
                  <c:v>1.9549000000000001</c:v>
                </c:pt>
                <c:pt idx="107">
                  <c:v>0.43972</c:v>
                </c:pt>
                <c:pt idx="108">
                  <c:v>0.95103000000000004</c:v>
                </c:pt>
                <c:pt idx="110">
                  <c:v>1.9531400000000001</c:v>
                </c:pt>
                <c:pt idx="111">
                  <c:v>1.2122900000000001</c:v>
                </c:pt>
                <c:pt idx="112">
                  <c:v>0.79571999999999998</c:v>
                </c:pt>
                <c:pt idx="114">
                  <c:v>1.8913599999999999</c:v>
                </c:pt>
                <c:pt idx="115">
                  <c:v>1.50773</c:v>
                </c:pt>
                <c:pt idx="116">
                  <c:v>1.6087100000000001</c:v>
                </c:pt>
                <c:pt idx="118">
                  <c:v>2.7010800000000001</c:v>
                </c:pt>
                <c:pt idx="119">
                  <c:v>0.41963</c:v>
                </c:pt>
                <c:pt idx="120">
                  <c:v>2.6749499999999999</c:v>
                </c:pt>
                <c:pt idx="121">
                  <c:v>0.52853000000000006</c:v>
                </c:pt>
                <c:pt idx="123">
                  <c:v>1.5804100000000001</c:v>
                </c:pt>
                <c:pt idx="126">
                  <c:v>1.4834700000000001</c:v>
                </c:pt>
                <c:pt idx="127">
                  <c:v>3.1476600000000001</c:v>
                </c:pt>
                <c:pt idx="130">
                  <c:v>1.4005099999999999</c:v>
                </c:pt>
                <c:pt idx="132">
                  <c:v>1.98316</c:v>
                </c:pt>
                <c:pt idx="133">
                  <c:v>0.76432999999999995</c:v>
                </c:pt>
                <c:pt idx="134">
                  <c:v>3.0716600000000001</c:v>
                </c:pt>
                <c:pt idx="135">
                  <c:v>1.69641</c:v>
                </c:pt>
                <c:pt idx="136">
                  <c:v>2.0802900000000002</c:v>
                </c:pt>
                <c:pt idx="137">
                  <c:v>1.9657899999999999</c:v>
                </c:pt>
                <c:pt idx="139">
                  <c:v>1.9737499999999999</c:v>
                </c:pt>
                <c:pt idx="141">
                  <c:v>0.59457000000000004</c:v>
                </c:pt>
                <c:pt idx="142">
                  <c:v>2.2823099999999998</c:v>
                </c:pt>
                <c:pt idx="143">
                  <c:v>2.2750599999999999</c:v>
                </c:pt>
                <c:pt idx="144">
                  <c:v>1.6640299999999999</c:v>
                </c:pt>
                <c:pt idx="146">
                  <c:v>2.46766</c:v>
                </c:pt>
                <c:pt idx="147">
                  <c:v>1.6097399999999999</c:v>
                </c:pt>
                <c:pt idx="148">
                  <c:v>0.82333000000000001</c:v>
                </c:pt>
                <c:pt idx="149">
                  <c:v>0.73863000000000001</c:v>
                </c:pt>
                <c:pt idx="150">
                  <c:v>1.1250500000000001</c:v>
                </c:pt>
                <c:pt idx="151">
                  <c:v>0.78776000000000002</c:v>
                </c:pt>
                <c:pt idx="154">
                  <c:v>1.6342300000000001</c:v>
                </c:pt>
                <c:pt idx="155">
                  <c:v>1.5039499999999999</c:v>
                </c:pt>
                <c:pt idx="157">
                  <c:v>2.2385600000000001</c:v>
                </c:pt>
                <c:pt idx="158">
                  <c:v>1.6373899999999999</c:v>
                </c:pt>
                <c:pt idx="160">
                  <c:v>0.50312000000000001</c:v>
                </c:pt>
                <c:pt idx="161">
                  <c:v>1.1212899999999999</c:v>
                </c:pt>
                <c:pt idx="163">
                  <c:v>2.09734</c:v>
                </c:pt>
                <c:pt idx="166">
                  <c:v>1.62141</c:v>
                </c:pt>
                <c:pt idx="167">
                  <c:v>0.66707000000000005</c:v>
                </c:pt>
                <c:pt idx="169">
                  <c:v>0.64549999999999996</c:v>
                </c:pt>
                <c:pt idx="170">
                  <c:v>1.0492999999999999</c:v>
                </c:pt>
                <c:pt idx="171">
                  <c:v>0.85245000000000004</c:v>
                </c:pt>
                <c:pt idx="173">
                  <c:v>1.0395700000000001</c:v>
                </c:pt>
                <c:pt idx="174">
                  <c:v>9.5089999999999994E-2</c:v>
                </c:pt>
                <c:pt idx="175">
                  <c:v>0.87649999999999995</c:v>
                </c:pt>
                <c:pt idx="177">
                  <c:v>1.7536799999999999</c:v>
                </c:pt>
                <c:pt idx="178">
                  <c:v>2.0233300000000001</c:v>
                </c:pt>
                <c:pt idx="179">
                  <c:v>2.15273</c:v>
                </c:pt>
                <c:pt idx="180">
                  <c:v>3.1703199999999998</c:v>
                </c:pt>
                <c:pt idx="182">
                  <c:v>0.58301999999999998</c:v>
                </c:pt>
                <c:pt idx="183">
                  <c:v>2.2178499999999999</c:v>
                </c:pt>
                <c:pt idx="185">
                  <c:v>0.70448</c:v>
                </c:pt>
                <c:pt idx="186">
                  <c:v>0.84648000000000001</c:v>
                </c:pt>
                <c:pt idx="187">
                  <c:v>1.23007</c:v>
                </c:pt>
                <c:pt idx="190">
                  <c:v>2.2889699999999999</c:v>
                </c:pt>
                <c:pt idx="192">
                  <c:v>1.6203099999999999</c:v>
                </c:pt>
                <c:pt idx="196">
                  <c:v>0.63600000000000001</c:v>
                </c:pt>
                <c:pt idx="197">
                  <c:v>0.64259999999999995</c:v>
                </c:pt>
                <c:pt idx="198">
                  <c:v>1.87646</c:v>
                </c:pt>
                <c:pt idx="199">
                  <c:v>1.44486</c:v>
                </c:pt>
                <c:pt idx="200">
                  <c:v>1.7654799999999999</c:v>
                </c:pt>
                <c:pt idx="202">
                  <c:v>2.0778599999999998</c:v>
                </c:pt>
                <c:pt idx="203">
                  <c:v>1.3086100000000001</c:v>
                </c:pt>
                <c:pt idx="205">
                  <c:v>2.7282899999999999</c:v>
                </c:pt>
                <c:pt idx="206">
                  <c:v>1.59819</c:v>
                </c:pt>
                <c:pt idx="208">
                  <c:v>0.85511999999999999</c:v>
                </c:pt>
                <c:pt idx="209">
                  <c:v>1.86049</c:v>
                </c:pt>
                <c:pt idx="210">
                  <c:v>0.32235000000000003</c:v>
                </c:pt>
                <c:pt idx="212">
                  <c:v>0.50527</c:v>
                </c:pt>
              </c:numCache>
            </c:numRef>
          </c:yVal>
          <c:smooth val="0"/>
          <c:extLst>
            <c:ext xmlns:c16="http://schemas.microsoft.com/office/drawing/2014/chart" uri="{C3380CC4-5D6E-409C-BE32-E72D297353CC}">
              <c16:uniqueId val="{00000001-4F07-437B-803D-8625A5172753}"/>
            </c:ext>
          </c:extLst>
        </c:ser>
        <c:ser>
          <c:idx val="1"/>
          <c:order val="1"/>
          <c:tx>
            <c:v>Non-OECD</c:v>
          </c:tx>
          <c:spPr>
            <a:ln w="28575">
              <a:noFill/>
            </a:ln>
          </c:spPr>
          <c:marker>
            <c:symbol val="triangle"/>
            <c:size val="5"/>
            <c:spPr>
              <a:noFill/>
              <a:ln>
                <a:solidFill>
                  <a:schemeClr val="bg1">
                    <a:lumMod val="50000"/>
                  </a:schemeClr>
                </a:solidFill>
              </a:ln>
            </c:spPr>
          </c:marker>
          <c:xVal>
            <c:numRef>
              <c:f>'F5.3'!$L$50:$L$184</c:f>
              <c:numCache>
                <c:formatCode>General</c:formatCode>
                <c:ptCount val="135"/>
                <c:pt idx="0">
                  <c:v>10.49169</c:v>
                </c:pt>
                <c:pt idx="2">
                  <c:v>7.5197039999999999</c:v>
                </c:pt>
                <c:pt idx="3">
                  <c:v>8.8473539999999993</c:v>
                </c:pt>
                <c:pt idx="4">
                  <c:v>8.9488059999999994</c:v>
                </c:pt>
                <c:pt idx="6">
                  <c:v>9.9552189999999996</c:v>
                </c:pt>
                <c:pt idx="7">
                  <c:v>9.7240680000000008</c:v>
                </c:pt>
                <c:pt idx="8">
                  <c:v>6.5991689999999998</c:v>
                </c:pt>
                <c:pt idx="9">
                  <c:v>7.5688060000000004</c:v>
                </c:pt>
                <c:pt idx="10">
                  <c:v>7.3433270000000004</c:v>
                </c:pt>
                <c:pt idx="11">
                  <c:v>7.9993990000000004</c:v>
                </c:pt>
                <c:pt idx="12">
                  <c:v>10.6784</c:v>
                </c:pt>
                <c:pt idx="13">
                  <c:v>10.01731</c:v>
                </c:pt>
                <c:pt idx="14">
                  <c:v>9.1797339999999998</c:v>
                </c:pt>
                <c:pt idx="15">
                  <c:v>9.7612349999999992</c:v>
                </c:pt>
                <c:pt idx="16">
                  <c:v>8.9926200000000005</c:v>
                </c:pt>
                <c:pt idx="17">
                  <c:v>10.833080000000001</c:v>
                </c:pt>
                <c:pt idx="18">
                  <c:v>9.6368829999999992</c:v>
                </c:pt>
                <c:pt idx="19">
                  <c:v>11.125970000000001</c:v>
                </c:pt>
                <c:pt idx="20">
                  <c:v>8.916817</c:v>
                </c:pt>
                <c:pt idx="21">
                  <c:v>9.6290630000000004</c:v>
                </c:pt>
                <c:pt idx="22">
                  <c:v>6.2982089999999999</c:v>
                </c:pt>
                <c:pt idx="24">
                  <c:v>9.4413870000000006</c:v>
                </c:pt>
                <c:pt idx="25">
                  <c:v>8.0418719999999997</c:v>
                </c:pt>
                <c:pt idx="26">
                  <c:v>7.9499969999999998</c:v>
                </c:pt>
                <c:pt idx="27">
                  <c:v>8.6975390000000008</c:v>
                </c:pt>
                <c:pt idx="28">
                  <c:v>7.2178560000000003</c:v>
                </c:pt>
                <c:pt idx="29">
                  <c:v>8.7354900000000004</c:v>
                </c:pt>
                <c:pt idx="30">
                  <c:v>9.9009979999999995</c:v>
                </c:pt>
                <c:pt idx="32">
                  <c:v>10.817819999999999</c:v>
                </c:pt>
                <c:pt idx="33">
                  <c:v>10.29055</c:v>
                </c:pt>
                <c:pt idx="34">
                  <c:v>8.0456029999999998</c:v>
                </c:pt>
                <c:pt idx="35">
                  <c:v>9.2473679999999998</c:v>
                </c:pt>
                <c:pt idx="36">
                  <c:v>9.2151859999999992</c:v>
                </c:pt>
                <c:pt idx="37">
                  <c:v>7.2521659999999999</c:v>
                </c:pt>
                <c:pt idx="38">
                  <c:v>7.2659909999999996</c:v>
                </c:pt>
                <c:pt idx="39">
                  <c:v>9.0345840000000006</c:v>
                </c:pt>
                <c:pt idx="41">
                  <c:v>8.0638159999999992</c:v>
                </c:pt>
                <c:pt idx="42">
                  <c:v>9.8275120000000005</c:v>
                </c:pt>
                <c:pt idx="43">
                  <c:v>8.2671930000000007</c:v>
                </c:pt>
                <c:pt idx="45">
                  <c:v>7.0605880000000001</c:v>
                </c:pt>
                <c:pt idx="46">
                  <c:v>7.3495710000000001</c:v>
                </c:pt>
                <c:pt idx="47">
                  <c:v>7.197781</c:v>
                </c:pt>
                <c:pt idx="48">
                  <c:v>10.40868</c:v>
                </c:pt>
                <c:pt idx="49">
                  <c:v>9.3803970000000003</c:v>
                </c:pt>
                <c:pt idx="53">
                  <c:v>8.5926150000000003</c:v>
                </c:pt>
                <c:pt idx="54">
                  <c:v>9.7115410000000004</c:v>
                </c:pt>
                <c:pt idx="55">
                  <c:v>9.5593839999999997</c:v>
                </c:pt>
                <c:pt idx="56">
                  <c:v>10.103109999999999</c:v>
                </c:pt>
                <c:pt idx="57">
                  <c:v>7.9439690000000001</c:v>
                </c:pt>
                <c:pt idx="58">
                  <c:v>8.0651530000000005</c:v>
                </c:pt>
                <c:pt idx="59">
                  <c:v>8.0432229999999993</c:v>
                </c:pt>
                <c:pt idx="60">
                  <c:v>7.4534789999999997</c:v>
                </c:pt>
                <c:pt idx="61">
                  <c:v>10.00661</c:v>
                </c:pt>
                <c:pt idx="62">
                  <c:v>11.15451</c:v>
                </c:pt>
                <c:pt idx="63">
                  <c:v>8.5323229999999999</c:v>
                </c:pt>
                <c:pt idx="64">
                  <c:v>6.6891699999999998</c:v>
                </c:pt>
                <c:pt idx="65">
                  <c:v>9.6077729999999999</c:v>
                </c:pt>
                <c:pt idx="66">
                  <c:v>9.2340149999999994</c:v>
                </c:pt>
                <c:pt idx="68">
                  <c:v>9.2725690000000007</c:v>
                </c:pt>
                <c:pt idx="69">
                  <c:v>7.8308270000000002</c:v>
                </c:pt>
                <c:pt idx="71">
                  <c:v>8.8743479999999995</c:v>
                </c:pt>
                <c:pt idx="73">
                  <c:v>7.2230509999999999</c:v>
                </c:pt>
                <c:pt idx="74">
                  <c:v>9.3887859999999996</c:v>
                </c:pt>
                <c:pt idx="75">
                  <c:v>8.1963939999999997</c:v>
                </c:pt>
                <c:pt idx="76">
                  <c:v>7.6905229999999998</c:v>
                </c:pt>
                <c:pt idx="78">
                  <c:v>9.3416619999999995</c:v>
                </c:pt>
                <c:pt idx="80">
                  <c:v>6.984318</c:v>
                </c:pt>
                <c:pt idx="81">
                  <c:v>8.2143409999999992</c:v>
                </c:pt>
                <c:pt idx="82">
                  <c:v>9.7834029999999998</c:v>
                </c:pt>
                <c:pt idx="83">
                  <c:v>7.0164</c:v>
                </c:pt>
                <c:pt idx="84">
                  <c:v>10.10478</c:v>
                </c:pt>
                <c:pt idx="85">
                  <c:v>9.1581519999999994</c:v>
                </c:pt>
                <c:pt idx="87">
                  <c:v>6.8043469999999999</c:v>
                </c:pt>
                <c:pt idx="88">
                  <c:v>8.6375419999999998</c:v>
                </c:pt>
                <c:pt idx="89">
                  <c:v>7.7253530000000001</c:v>
                </c:pt>
                <c:pt idx="91">
                  <c:v>10.51473</c:v>
                </c:pt>
                <c:pt idx="92">
                  <c:v>8.4316669999999991</c:v>
                </c:pt>
                <c:pt idx="93">
                  <c:v>8.8021550000000008</c:v>
                </c:pt>
                <c:pt idx="94">
                  <c:v>9.4936589999999992</c:v>
                </c:pt>
                <c:pt idx="95">
                  <c:v>7.9096700000000002</c:v>
                </c:pt>
                <c:pt idx="98">
                  <c:v>7.3682650000000001</c:v>
                </c:pt>
                <c:pt idx="99">
                  <c:v>10.81213</c:v>
                </c:pt>
                <c:pt idx="100">
                  <c:v>8.2641690000000008</c:v>
                </c:pt>
                <c:pt idx="101">
                  <c:v>7.7031049999999999</c:v>
                </c:pt>
                <c:pt idx="102">
                  <c:v>7.6170150000000003</c:v>
                </c:pt>
                <c:pt idx="103">
                  <c:v>7.5596439999999996</c:v>
                </c:pt>
                <c:pt idx="106">
                  <c:v>9.4503369999999993</c:v>
                </c:pt>
                <c:pt idx="107">
                  <c:v>7.583062</c:v>
                </c:pt>
                <c:pt idx="108">
                  <c:v>8.0163899999999995</c:v>
                </c:pt>
                <c:pt idx="109">
                  <c:v>9.6723510000000008</c:v>
                </c:pt>
                <c:pt idx="110">
                  <c:v>8.9759879999999992</c:v>
                </c:pt>
                <c:pt idx="112">
                  <c:v>10.134880000000001</c:v>
                </c:pt>
                <c:pt idx="115">
                  <c:v>7.6372140000000002</c:v>
                </c:pt>
                <c:pt idx="116">
                  <c:v>7.1983319999999997</c:v>
                </c:pt>
                <c:pt idx="117">
                  <c:v>7.8505079999999996</c:v>
                </c:pt>
                <c:pt idx="118">
                  <c:v>9.5998049999999999</c:v>
                </c:pt>
                <c:pt idx="119">
                  <c:v>7.6471739999999997</c:v>
                </c:pt>
                <c:pt idx="120">
                  <c:v>8.5114800000000006</c:v>
                </c:pt>
                <c:pt idx="121">
                  <c:v>8.186515</c:v>
                </c:pt>
                <c:pt idx="122">
                  <c:v>7.7920220000000002</c:v>
                </c:pt>
                <c:pt idx="123">
                  <c:v>7.43215</c:v>
                </c:pt>
                <c:pt idx="124">
                  <c:v>9.0165509999999998</c:v>
                </c:pt>
                <c:pt idx="125">
                  <c:v>8.5786409999999993</c:v>
                </c:pt>
                <c:pt idx="126">
                  <c:v>9.2340660000000003</c:v>
                </c:pt>
                <c:pt idx="128">
                  <c:v>7.9694339999999997</c:v>
                </c:pt>
                <c:pt idx="129">
                  <c:v>8.6168479999999992</c:v>
                </c:pt>
                <c:pt idx="130">
                  <c:v>8.2061209999999996</c:v>
                </c:pt>
                <c:pt idx="131">
                  <c:v>9.4283699999999993</c:v>
                </c:pt>
                <c:pt idx="132">
                  <c:v>6.5666960000000003</c:v>
                </c:pt>
                <c:pt idx="133">
                  <c:v>8.1948419999999995</c:v>
                </c:pt>
                <c:pt idx="134">
                  <c:v>7.4437480000000003</c:v>
                </c:pt>
              </c:numCache>
            </c:numRef>
          </c:xVal>
          <c:yVal>
            <c:numRef>
              <c:f>'F5.3'!$N$50:$N$184</c:f>
              <c:numCache>
                <c:formatCode>General</c:formatCode>
                <c:ptCount val="135"/>
                <c:pt idx="1">
                  <c:v>0.62839999999999996</c:v>
                </c:pt>
                <c:pt idx="4">
                  <c:v>1.2202200000000001</c:v>
                </c:pt>
                <c:pt idx="6">
                  <c:v>0.93852999999999998</c:v>
                </c:pt>
                <c:pt idx="8">
                  <c:v>1.45208</c:v>
                </c:pt>
                <c:pt idx="9">
                  <c:v>1.15002</c:v>
                </c:pt>
                <c:pt idx="10">
                  <c:v>0.76049</c:v>
                </c:pt>
                <c:pt idx="11">
                  <c:v>0.92656000000000005</c:v>
                </c:pt>
                <c:pt idx="16">
                  <c:v>2.3711899999999999</c:v>
                </c:pt>
                <c:pt idx="17">
                  <c:v>0.79039000000000004</c:v>
                </c:pt>
                <c:pt idx="18">
                  <c:v>1.5085500000000001</c:v>
                </c:pt>
                <c:pt idx="19">
                  <c:v>1.4568700000000001</c:v>
                </c:pt>
                <c:pt idx="20">
                  <c:v>3.2868400000000002</c:v>
                </c:pt>
                <c:pt idx="21">
                  <c:v>3.1495299999999999</c:v>
                </c:pt>
                <c:pt idx="22">
                  <c:v>0.28903000000000001</c:v>
                </c:pt>
                <c:pt idx="25">
                  <c:v>1.7547600000000001</c:v>
                </c:pt>
                <c:pt idx="26">
                  <c:v>1.5584100000000001</c:v>
                </c:pt>
                <c:pt idx="27">
                  <c:v>3.31765</c:v>
                </c:pt>
                <c:pt idx="28">
                  <c:v>1.41134</c:v>
                </c:pt>
                <c:pt idx="29">
                  <c:v>2.0289100000000002</c:v>
                </c:pt>
                <c:pt idx="30">
                  <c:v>3.73665</c:v>
                </c:pt>
                <c:pt idx="31">
                  <c:v>1.6726700000000001</c:v>
                </c:pt>
                <c:pt idx="33">
                  <c:v>2.8307799999999999</c:v>
                </c:pt>
                <c:pt idx="34">
                  <c:v>1.6740699999999999</c:v>
                </c:pt>
                <c:pt idx="35">
                  <c:v>5.0516800000000002</c:v>
                </c:pt>
                <c:pt idx="38">
                  <c:v>1.3184100000000001</c:v>
                </c:pt>
                <c:pt idx="39">
                  <c:v>0.66537999999999997</c:v>
                </c:pt>
                <c:pt idx="43">
                  <c:v>2.9235099999999998</c:v>
                </c:pt>
                <c:pt idx="45">
                  <c:v>0.89056000000000002</c:v>
                </c:pt>
                <c:pt idx="46">
                  <c:v>0.98243999999999998</c:v>
                </c:pt>
                <c:pt idx="47">
                  <c:v>0.71721999999999997</c:v>
                </c:pt>
                <c:pt idx="53">
                  <c:v>1.4817499999999999</c:v>
                </c:pt>
                <c:pt idx="54">
                  <c:v>1.1666099999999999</c:v>
                </c:pt>
                <c:pt idx="56">
                  <c:v>1.90883</c:v>
                </c:pt>
                <c:pt idx="58">
                  <c:v>3.6864599999999998</c:v>
                </c:pt>
                <c:pt idx="59">
                  <c:v>0.83955999999999997</c:v>
                </c:pt>
                <c:pt idx="62">
                  <c:v>1.9549000000000001</c:v>
                </c:pt>
                <c:pt idx="64">
                  <c:v>0.95103000000000004</c:v>
                </c:pt>
                <c:pt idx="66">
                  <c:v>1.9531400000000001</c:v>
                </c:pt>
                <c:pt idx="67">
                  <c:v>1.2122900000000001</c:v>
                </c:pt>
                <c:pt idx="68">
                  <c:v>0.79571999999999998</c:v>
                </c:pt>
                <c:pt idx="71">
                  <c:v>2.7010800000000001</c:v>
                </c:pt>
                <c:pt idx="72">
                  <c:v>0.41963</c:v>
                </c:pt>
                <c:pt idx="73">
                  <c:v>0.52853000000000006</c:v>
                </c:pt>
                <c:pt idx="76">
                  <c:v>1.4834700000000001</c:v>
                </c:pt>
                <c:pt idx="78">
                  <c:v>1.4005099999999999</c:v>
                </c:pt>
                <c:pt idx="80">
                  <c:v>1.98316</c:v>
                </c:pt>
                <c:pt idx="81">
                  <c:v>0.76432999999999995</c:v>
                </c:pt>
                <c:pt idx="82">
                  <c:v>3.0716600000000001</c:v>
                </c:pt>
                <c:pt idx="83">
                  <c:v>1.69641</c:v>
                </c:pt>
                <c:pt idx="84">
                  <c:v>2.0802900000000002</c:v>
                </c:pt>
                <c:pt idx="85">
                  <c:v>1.9657899999999999</c:v>
                </c:pt>
                <c:pt idx="87">
                  <c:v>1.9737499999999999</c:v>
                </c:pt>
                <c:pt idx="89">
                  <c:v>1.6640299999999999</c:v>
                </c:pt>
                <c:pt idx="91">
                  <c:v>1.6097399999999999</c:v>
                </c:pt>
                <c:pt idx="92">
                  <c:v>0.82333000000000001</c:v>
                </c:pt>
                <c:pt idx="93">
                  <c:v>0.78776000000000002</c:v>
                </c:pt>
                <c:pt idx="98">
                  <c:v>2.09734</c:v>
                </c:pt>
                <c:pt idx="101">
                  <c:v>1.62141</c:v>
                </c:pt>
                <c:pt idx="103">
                  <c:v>0.64549999999999996</c:v>
                </c:pt>
                <c:pt idx="104">
                  <c:v>0.85245000000000004</c:v>
                </c:pt>
                <c:pt idx="106">
                  <c:v>1.0395700000000001</c:v>
                </c:pt>
                <c:pt idx="107">
                  <c:v>9.5089999999999994E-2</c:v>
                </c:pt>
                <c:pt idx="108">
                  <c:v>0.87649999999999995</c:v>
                </c:pt>
                <c:pt idx="110">
                  <c:v>3.1703199999999998</c:v>
                </c:pt>
                <c:pt idx="112">
                  <c:v>0.58301999999999998</c:v>
                </c:pt>
                <c:pt idx="113">
                  <c:v>2.2178499999999999</c:v>
                </c:pt>
                <c:pt idx="115">
                  <c:v>0.70448</c:v>
                </c:pt>
                <c:pt idx="116">
                  <c:v>0.84648000000000001</c:v>
                </c:pt>
                <c:pt idx="119">
                  <c:v>2.2889699999999999</c:v>
                </c:pt>
                <c:pt idx="122">
                  <c:v>0.63600000000000001</c:v>
                </c:pt>
                <c:pt idx="123">
                  <c:v>0.64259999999999995</c:v>
                </c:pt>
                <c:pt idx="124">
                  <c:v>1.87646</c:v>
                </c:pt>
                <c:pt idx="126">
                  <c:v>2.0778599999999998</c:v>
                </c:pt>
                <c:pt idx="128">
                  <c:v>1.59819</c:v>
                </c:pt>
                <c:pt idx="130">
                  <c:v>0.85511999999999999</c:v>
                </c:pt>
                <c:pt idx="131">
                  <c:v>1.86049</c:v>
                </c:pt>
                <c:pt idx="132">
                  <c:v>0.32235000000000003</c:v>
                </c:pt>
                <c:pt idx="134">
                  <c:v>0.50527</c:v>
                </c:pt>
              </c:numCache>
            </c:numRef>
          </c:yVal>
          <c:smooth val="0"/>
          <c:extLst>
            <c:ext xmlns:c16="http://schemas.microsoft.com/office/drawing/2014/chart" uri="{C3380CC4-5D6E-409C-BE32-E72D297353CC}">
              <c16:uniqueId val="{00000002-4F07-437B-803D-8625A5172753}"/>
            </c:ext>
          </c:extLst>
        </c:ser>
        <c:ser>
          <c:idx val="2"/>
          <c:order val="2"/>
          <c:tx>
            <c:v>Non-OECD1</c:v>
          </c:tx>
          <c:spPr>
            <a:ln w="28575">
              <a:noFill/>
            </a:ln>
          </c:spPr>
          <c:marker>
            <c:symbol val="triangle"/>
            <c:size val="5"/>
            <c:spPr>
              <a:solidFill>
                <a:schemeClr val="bg1"/>
              </a:solidFill>
              <a:ln w="15875">
                <a:solidFill>
                  <a:srgbClr val="C00000"/>
                </a:solidFill>
              </a:ln>
            </c:spPr>
          </c:marker>
          <c:xVal>
            <c:numRef>
              <c:f>'F5.3'!$R$50:$R$61</c:f>
              <c:numCache>
                <c:formatCode>General</c:formatCode>
                <c:ptCount val="12"/>
                <c:pt idx="0">
                  <c:v>9.2224699999999995</c:v>
                </c:pt>
                <c:pt idx="1">
                  <c:v>9.5144300000000008</c:v>
                </c:pt>
                <c:pt idx="2">
                  <c:v>9.0767129999999998</c:v>
                </c:pt>
                <c:pt idx="3">
                  <c:v>9.2134680000000007</c:v>
                </c:pt>
                <c:pt idx="4">
                  <c:v>9.2342560000000002</c:v>
                </c:pt>
                <c:pt idx="5">
                  <c:v>9.5083549999999999</c:v>
                </c:pt>
                <c:pt idx="6">
                  <c:v>8.4685570000000006</c:v>
                </c:pt>
                <c:pt idx="7">
                  <c:v>9.4166629999999998</c:v>
                </c:pt>
                <c:pt idx="8">
                  <c:v>9.584244</c:v>
                </c:pt>
                <c:pt idx="9">
                  <c:v>11.80893</c:v>
                </c:pt>
                <c:pt idx="10">
                  <c:v>9.6142020000000006</c:v>
                </c:pt>
                <c:pt idx="11">
                  <c:v>9.2825330000000008</c:v>
                </c:pt>
              </c:numCache>
            </c:numRef>
          </c:xVal>
          <c:yVal>
            <c:numRef>
              <c:f>'F5.3'!$T$50:$T$61</c:f>
              <c:numCache>
                <c:formatCode>General</c:formatCode>
                <c:ptCount val="12"/>
                <c:pt idx="0">
                  <c:v>0.70164000000000004</c:v>
                </c:pt>
                <c:pt idx="2">
                  <c:v>0.63722000000000001</c:v>
                </c:pt>
                <c:pt idx="3">
                  <c:v>0.88341999999999998</c:v>
                </c:pt>
                <c:pt idx="4">
                  <c:v>1.75315</c:v>
                </c:pt>
                <c:pt idx="5">
                  <c:v>0.43972</c:v>
                </c:pt>
                <c:pt idx="6">
                  <c:v>2.6749499999999999</c:v>
                </c:pt>
                <c:pt idx="9">
                  <c:v>0.50312000000000001</c:v>
                </c:pt>
                <c:pt idx="10">
                  <c:v>1.23007</c:v>
                </c:pt>
              </c:numCache>
            </c:numRef>
          </c:yVal>
          <c:smooth val="0"/>
          <c:extLst>
            <c:ext xmlns:c16="http://schemas.microsoft.com/office/drawing/2014/chart" uri="{C3380CC4-5D6E-409C-BE32-E72D297353CC}">
              <c16:uniqueId val="{00000003-4F07-437B-803D-8625A5172753}"/>
            </c:ext>
          </c:extLst>
        </c:ser>
        <c:ser>
          <c:idx val="3"/>
          <c:order val="3"/>
          <c:tx>
            <c:v>Non-OECD2</c:v>
          </c:tx>
          <c:spPr>
            <a:ln w="28575">
              <a:noFill/>
            </a:ln>
          </c:spPr>
          <c:marker>
            <c:symbol val="triangle"/>
            <c:size val="5"/>
            <c:spPr>
              <a:noFill/>
              <a:ln w="15875">
                <a:solidFill>
                  <a:srgbClr val="0070C0"/>
                </a:solidFill>
              </a:ln>
            </c:spPr>
          </c:marker>
          <c:xVal>
            <c:numRef>
              <c:f>'F5.3'!$X$50:$X$56</c:f>
              <c:numCache>
                <c:formatCode>General</c:formatCode>
                <c:ptCount val="7"/>
                <c:pt idx="0">
                  <c:v>11.075390000000001</c:v>
                </c:pt>
                <c:pt idx="1">
                  <c:v>9.7027809999999999</c:v>
                </c:pt>
                <c:pt idx="2">
                  <c:v>9.9051419999999997</c:v>
                </c:pt>
                <c:pt idx="3">
                  <c:v>10.1576</c:v>
                </c:pt>
                <c:pt idx="4">
                  <c:v>10.268879999999999</c:v>
                </c:pt>
                <c:pt idx="5">
                  <c:v>9.8592180000000003</c:v>
                </c:pt>
                <c:pt idx="6">
                  <c:v>10.12157</c:v>
                </c:pt>
              </c:numCache>
            </c:numRef>
          </c:xVal>
          <c:yVal>
            <c:numRef>
              <c:f>'F5.3'!$Z$50:$Z$56</c:f>
              <c:numCache>
                <c:formatCode>General</c:formatCode>
                <c:ptCount val="7"/>
                <c:pt idx="0">
                  <c:v>0.7117</c:v>
                </c:pt>
                <c:pt idx="1">
                  <c:v>1.37968</c:v>
                </c:pt>
                <c:pt idx="3">
                  <c:v>1.8913599999999999</c:v>
                </c:pt>
                <c:pt idx="4">
                  <c:v>3.1476600000000001</c:v>
                </c:pt>
                <c:pt idx="5">
                  <c:v>1.1212899999999999</c:v>
                </c:pt>
              </c:numCache>
            </c:numRef>
          </c:yVal>
          <c:smooth val="0"/>
          <c:extLst>
            <c:ext xmlns:c16="http://schemas.microsoft.com/office/drawing/2014/chart" uri="{C3380CC4-5D6E-409C-BE32-E72D297353CC}">
              <c16:uniqueId val="{00000004-4F07-437B-803D-8625A5172753}"/>
            </c:ext>
          </c:extLst>
        </c:ser>
        <c:ser>
          <c:idx val="4"/>
          <c:order val="4"/>
          <c:tx>
            <c:v>Non-OECD3</c:v>
          </c:tx>
          <c:spPr>
            <a:ln w="28575">
              <a:noFill/>
            </a:ln>
          </c:spPr>
          <c:marker>
            <c:symbol val="triangle"/>
            <c:size val="5"/>
            <c:spPr>
              <a:noFill/>
              <a:ln w="15875">
                <a:solidFill>
                  <a:srgbClr val="009644"/>
                </a:solidFill>
              </a:ln>
            </c:spPr>
          </c:marker>
          <c:xVal>
            <c:numRef>
              <c:f>'F5.3'!$AD$50:$AD$52</c:f>
              <c:numCache>
                <c:formatCode>General</c:formatCode>
                <c:ptCount val="3"/>
                <c:pt idx="0">
                  <c:v>10.870649999999999</c:v>
                </c:pt>
                <c:pt idx="1">
                  <c:v>11.28415</c:v>
                </c:pt>
                <c:pt idx="2">
                  <c:v>8.5886220000000009</c:v>
                </c:pt>
              </c:numCache>
            </c:numRef>
          </c:xVal>
          <c:yVal>
            <c:numRef>
              <c:f>'F5.3'!$AF$50:$AF$52</c:f>
              <c:numCache>
                <c:formatCode>General</c:formatCode>
                <c:ptCount val="3"/>
                <c:pt idx="0">
                  <c:v>1.1185</c:v>
                </c:pt>
                <c:pt idx="1">
                  <c:v>0.66707000000000005</c:v>
                </c:pt>
                <c:pt idx="2">
                  <c:v>2.7282899999999999</c:v>
                </c:pt>
              </c:numCache>
            </c:numRef>
          </c:yVal>
          <c:smooth val="0"/>
          <c:extLst>
            <c:ext xmlns:c16="http://schemas.microsoft.com/office/drawing/2014/chart" uri="{C3380CC4-5D6E-409C-BE32-E72D297353CC}">
              <c16:uniqueId val="{00000005-4F07-437B-803D-8625A5172753}"/>
            </c:ext>
          </c:extLst>
        </c:ser>
        <c:ser>
          <c:idx val="5"/>
          <c:order val="5"/>
          <c:tx>
            <c:v>Latin America and the Caribbean</c:v>
          </c:tx>
          <c:spPr>
            <a:ln w="28575">
              <a:noFill/>
            </a:ln>
          </c:spPr>
          <c:marker>
            <c:symbol val="circle"/>
            <c:size val="5"/>
            <c:spPr>
              <a:solidFill>
                <a:schemeClr val="bg1">
                  <a:lumMod val="50000"/>
                </a:schemeClr>
              </a:solidFill>
              <a:ln>
                <a:solidFill>
                  <a:schemeClr val="bg1">
                    <a:lumMod val="50000"/>
                  </a:schemeClr>
                </a:solidFill>
              </a:ln>
            </c:spPr>
          </c:marker>
          <c:xVal>
            <c:numRef>
              <c:f>'F5.3'!$AJ$50:$AJ$62</c:f>
              <c:numCache>
                <c:formatCode>General</c:formatCode>
                <c:ptCount val="13"/>
                <c:pt idx="1">
                  <c:v>8.7522640000000003</c:v>
                </c:pt>
                <c:pt idx="2">
                  <c:v>9.2918109999999992</c:v>
                </c:pt>
                <c:pt idx="3">
                  <c:v>8.8687500000000004</c:v>
                </c:pt>
                <c:pt idx="4">
                  <c:v>8.8373849999999994</c:v>
                </c:pt>
                <c:pt idx="5">
                  <c:v>8.4516930000000006</c:v>
                </c:pt>
                <c:pt idx="6">
                  <c:v>7.4103009999999996</c:v>
                </c:pt>
                <c:pt idx="7">
                  <c:v>9.0442330000000002</c:v>
                </c:pt>
                <c:pt idx="8">
                  <c:v>8.4569010000000002</c:v>
                </c:pt>
                <c:pt idx="9">
                  <c:v>9.9064399999999999</c:v>
                </c:pt>
                <c:pt idx="10">
                  <c:v>9.0480129999999992</c:v>
                </c:pt>
                <c:pt idx="11">
                  <c:v>8.9779020000000003</c:v>
                </c:pt>
                <c:pt idx="12">
                  <c:v>9.7273060000000005</c:v>
                </c:pt>
              </c:numCache>
            </c:numRef>
          </c:xVal>
          <c:yVal>
            <c:numRef>
              <c:f>'F5.3'!$AL$50:$AL$62</c:f>
              <c:numCache>
                <c:formatCode>General</c:formatCode>
                <c:ptCount val="13"/>
                <c:pt idx="0">
                  <c:v>2.2192599999999998</c:v>
                </c:pt>
                <c:pt idx="1">
                  <c:v>2.6475399999999998</c:v>
                </c:pt>
                <c:pt idx="2">
                  <c:v>0.74036000000000002</c:v>
                </c:pt>
                <c:pt idx="3">
                  <c:v>0.40665000000000001</c:v>
                </c:pt>
                <c:pt idx="4">
                  <c:v>1.0620400000000001</c:v>
                </c:pt>
                <c:pt idx="5">
                  <c:v>1.4858</c:v>
                </c:pt>
                <c:pt idx="7">
                  <c:v>1.89516</c:v>
                </c:pt>
                <c:pt idx="8">
                  <c:v>0.59457000000000004</c:v>
                </c:pt>
                <c:pt idx="9">
                  <c:v>0.73863000000000001</c:v>
                </c:pt>
                <c:pt idx="10">
                  <c:v>1.6373899999999999</c:v>
                </c:pt>
                <c:pt idx="11">
                  <c:v>1.0492999999999999</c:v>
                </c:pt>
                <c:pt idx="12">
                  <c:v>1.3086100000000001</c:v>
                </c:pt>
              </c:numCache>
            </c:numRef>
          </c:yVal>
          <c:smooth val="0"/>
          <c:extLst>
            <c:ext xmlns:c16="http://schemas.microsoft.com/office/drawing/2014/chart" uri="{C3380CC4-5D6E-409C-BE32-E72D297353CC}">
              <c16:uniqueId val="{00000006-4F07-437B-803D-8625A5172753}"/>
            </c:ext>
          </c:extLst>
        </c:ser>
        <c:ser>
          <c:idx val="6"/>
          <c:order val="6"/>
          <c:tx>
            <c:v>LAC1</c:v>
          </c:tx>
          <c:spPr>
            <a:ln w="28575">
              <a:noFill/>
            </a:ln>
          </c:spPr>
          <c:marker>
            <c:symbol val="circle"/>
            <c:size val="5"/>
            <c:spPr>
              <a:solidFill>
                <a:srgbClr val="C00000"/>
              </a:solidFill>
              <a:ln>
                <a:solidFill>
                  <a:srgbClr val="C00000"/>
                </a:solidFill>
              </a:ln>
            </c:spPr>
          </c:marker>
          <c:xVal>
            <c:numRef>
              <c:f>'F5.3'!$AP$50:$AP$58</c:f>
              <c:numCache>
                <c:formatCode>General</c:formatCode>
                <c:ptCount val="9"/>
                <c:pt idx="0">
                  <c:v>9.6265750000000008</c:v>
                </c:pt>
                <c:pt idx="1">
                  <c:v>9.9953090000000007</c:v>
                </c:pt>
                <c:pt idx="2">
                  <c:v>9.4505490000000005</c:v>
                </c:pt>
                <c:pt idx="3">
                  <c:v>9.5632610000000007</c:v>
                </c:pt>
                <c:pt idx="4">
                  <c:v>9.4456120000000006</c:v>
                </c:pt>
                <c:pt idx="5">
                  <c:v>9.6990110000000005</c:v>
                </c:pt>
                <c:pt idx="6">
                  <c:v>9.3458550000000002</c:v>
                </c:pt>
                <c:pt idx="7">
                  <c:v>10.325390000000001</c:v>
                </c:pt>
                <c:pt idx="8">
                  <c:v>9.8948370000000008</c:v>
                </c:pt>
              </c:numCache>
            </c:numRef>
          </c:xVal>
          <c:yVal>
            <c:numRef>
              <c:f>'F5.3'!$AR$50:$AR$58</c:f>
              <c:numCache>
                <c:formatCode>General</c:formatCode>
                <c:ptCount val="9"/>
                <c:pt idx="0">
                  <c:v>2.6388799999999999</c:v>
                </c:pt>
                <c:pt idx="1">
                  <c:v>1.3513599999999999</c:v>
                </c:pt>
                <c:pt idx="2">
                  <c:v>1.75136</c:v>
                </c:pt>
                <c:pt idx="3">
                  <c:v>2.3449800000000001</c:v>
                </c:pt>
                <c:pt idx="4">
                  <c:v>1.2907500000000001</c:v>
                </c:pt>
                <c:pt idx="5">
                  <c:v>1.5804100000000001</c:v>
                </c:pt>
                <c:pt idx="6">
                  <c:v>1.1250500000000001</c:v>
                </c:pt>
                <c:pt idx="7">
                  <c:v>1.6203099999999999</c:v>
                </c:pt>
                <c:pt idx="8">
                  <c:v>1.44486</c:v>
                </c:pt>
              </c:numCache>
            </c:numRef>
          </c:yVal>
          <c:smooth val="0"/>
          <c:extLst>
            <c:ext xmlns:c16="http://schemas.microsoft.com/office/drawing/2014/chart" uri="{C3380CC4-5D6E-409C-BE32-E72D297353CC}">
              <c16:uniqueId val="{00000007-4F07-437B-803D-8625A5172753}"/>
            </c:ext>
          </c:extLst>
        </c:ser>
        <c:ser>
          <c:idx val="7"/>
          <c:order val="7"/>
          <c:tx>
            <c:v>OECD</c:v>
          </c:tx>
          <c:spPr>
            <a:ln w="28575">
              <a:noFill/>
            </a:ln>
          </c:spPr>
          <c:marker>
            <c:symbol val="square"/>
            <c:size val="5"/>
            <c:spPr>
              <a:noFill/>
              <a:ln w="15875">
                <a:solidFill>
                  <a:schemeClr val="bg1">
                    <a:lumMod val="65000"/>
                  </a:schemeClr>
                </a:solidFill>
              </a:ln>
            </c:spPr>
          </c:marker>
          <c:xVal>
            <c:numRef>
              <c:f>'F5.3'!$AV$50</c:f>
              <c:numCache>
                <c:formatCode>General</c:formatCode>
                <c:ptCount val="1"/>
                <c:pt idx="0">
                  <c:v>10.67516</c:v>
                </c:pt>
              </c:numCache>
            </c:numRef>
          </c:xVal>
          <c:yVal>
            <c:numRef>
              <c:f>'F5.3'!$AX$50</c:f>
              <c:numCache>
                <c:formatCode>General</c:formatCode>
                <c:ptCount val="1"/>
                <c:pt idx="0">
                  <c:v>1.74274</c:v>
                </c:pt>
              </c:numCache>
            </c:numRef>
          </c:yVal>
          <c:smooth val="0"/>
          <c:extLst>
            <c:ext xmlns:c16="http://schemas.microsoft.com/office/drawing/2014/chart" uri="{C3380CC4-5D6E-409C-BE32-E72D297353CC}">
              <c16:uniqueId val="{00000008-4F07-437B-803D-8625A5172753}"/>
            </c:ext>
          </c:extLst>
        </c:ser>
        <c:ser>
          <c:idx val="8"/>
          <c:order val="8"/>
          <c:tx>
            <c:v>OECD2</c:v>
          </c:tx>
          <c:spPr>
            <a:ln w="28575">
              <a:noFill/>
            </a:ln>
          </c:spPr>
          <c:marker>
            <c:symbol val="square"/>
            <c:size val="5"/>
            <c:spPr>
              <a:noFill/>
              <a:ln w="15875">
                <a:solidFill>
                  <a:srgbClr val="0070C0"/>
                </a:solidFill>
              </a:ln>
            </c:spPr>
          </c:marker>
          <c:xVal>
            <c:numRef>
              <c:f>'F5.3'!$AV$50:$AV$65</c:f>
              <c:numCache>
                <c:formatCode>General</c:formatCode>
                <c:ptCount val="16"/>
                <c:pt idx="0">
                  <c:v>10.67516</c:v>
                </c:pt>
                <c:pt idx="1">
                  <c:v>10.263769999999999</c:v>
                </c:pt>
                <c:pt idx="2">
                  <c:v>10.365640000000001</c:v>
                </c:pt>
                <c:pt idx="3">
                  <c:v>10.520099999999999</c:v>
                </c:pt>
                <c:pt idx="4">
                  <c:v>10.54757</c:v>
                </c:pt>
                <c:pt idx="5">
                  <c:v>10.107189999999999</c:v>
                </c:pt>
                <c:pt idx="6">
                  <c:v>10.074210000000001</c:v>
                </c:pt>
                <c:pt idx="7">
                  <c:v>10.627700000000001</c:v>
                </c:pt>
                <c:pt idx="8">
                  <c:v>10.358420000000001</c:v>
                </c:pt>
                <c:pt idx="9">
                  <c:v>10.414540000000001</c:v>
                </c:pt>
                <c:pt idx="10">
                  <c:v>11.422650000000001</c:v>
                </c:pt>
                <c:pt idx="11">
                  <c:v>10.000540000000001</c:v>
                </c:pt>
                <c:pt idx="12">
                  <c:v>10.172549999999999</c:v>
                </c:pt>
                <c:pt idx="13">
                  <c:v>10.183759999999999</c:v>
                </c:pt>
                <c:pt idx="14">
                  <c:v>10.691409999999999</c:v>
                </c:pt>
                <c:pt idx="15">
                  <c:v>10.85338</c:v>
                </c:pt>
              </c:numCache>
            </c:numRef>
          </c:xVal>
          <c:yVal>
            <c:numRef>
              <c:f>'F5.3'!$AX$50:$AX$65</c:f>
              <c:numCache>
                <c:formatCode>General</c:formatCode>
                <c:ptCount val="16"/>
                <c:pt idx="0">
                  <c:v>1.74274</c:v>
                </c:pt>
                <c:pt idx="1">
                  <c:v>1.87767</c:v>
                </c:pt>
                <c:pt idx="2">
                  <c:v>1.58876</c:v>
                </c:pt>
                <c:pt idx="3">
                  <c:v>2.4247000000000001</c:v>
                </c:pt>
                <c:pt idx="4">
                  <c:v>2.2823799999999999</c:v>
                </c:pt>
                <c:pt idx="6">
                  <c:v>1.7140200000000001</c:v>
                </c:pt>
                <c:pt idx="7">
                  <c:v>2.2374499999999999</c:v>
                </c:pt>
                <c:pt idx="8">
                  <c:v>1.5070600000000001</c:v>
                </c:pt>
                <c:pt idx="9">
                  <c:v>1.75346</c:v>
                </c:pt>
                <c:pt idx="10">
                  <c:v>1.50773</c:v>
                </c:pt>
                <c:pt idx="11">
                  <c:v>1.6087100000000001</c:v>
                </c:pt>
                <c:pt idx="12">
                  <c:v>2.2385600000000001</c:v>
                </c:pt>
                <c:pt idx="13">
                  <c:v>1.7536799999999999</c:v>
                </c:pt>
                <c:pt idx="14">
                  <c:v>2.15273</c:v>
                </c:pt>
                <c:pt idx="15">
                  <c:v>1.7654799999999999</c:v>
                </c:pt>
              </c:numCache>
            </c:numRef>
          </c:yVal>
          <c:smooth val="0"/>
          <c:extLst>
            <c:ext xmlns:c16="http://schemas.microsoft.com/office/drawing/2014/chart" uri="{C3380CC4-5D6E-409C-BE32-E72D297353CC}">
              <c16:uniqueId val="{00000009-4F07-437B-803D-8625A5172753}"/>
            </c:ext>
          </c:extLst>
        </c:ser>
        <c:ser>
          <c:idx val="9"/>
          <c:order val="9"/>
          <c:tx>
            <c:v>OECD3</c:v>
          </c:tx>
          <c:spPr>
            <a:ln w="28575">
              <a:noFill/>
            </a:ln>
          </c:spPr>
          <c:marker>
            <c:symbol val="square"/>
            <c:size val="5"/>
            <c:spPr>
              <a:noFill/>
              <a:ln w="15875">
                <a:solidFill>
                  <a:srgbClr val="009644"/>
                </a:solidFill>
              </a:ln>
            </c:spPr>
          </c:marker>
          <c:xVal>
            <c:numRef>
              <c:f>'F5.3'!$BB$50:$BB$65</c:f>
              <c:numCache>
                <c:formatCode>General</c:formatCode>
                <c:ptCount val="16"/>
                <c:pt idx="0">
                  <c:v>10.689019999999999</c:v>
                </c:pt>
                <c:pt idx="1">
                  <c:v>10.61589</c:v>
                </c:pt>
                <c:pt idx="2">
                  <c:v>10.66432</c:v>
                </c:pt>
                <c:pt idx="3">
                  <c:v>10.92</c:v>
                </c:pt>
                <c:pt idx="4">
                  <c:v>10.68172</c:v>
                </c:pt>
                <c:pt idx="5">
                  <c:v>10.672599999999999</c:v>
                </c:pt>
                <c:pt idx="6">
                  <c:v>10.188420000000001</c:v>
                </c:pt>
                <c:pt idx="7">
                  <c:v>10.560420000000001</c:v>
                </c:pt>
                <c:pt idx="8">
                  <c:v>10.78692</c:v>
                </c:pt>
                <c:pt idx="9">
                  <c:v>10.47974</c:v>
                </c:pt>
                <c:pt idx="10">
                  <c:v>10.42346</c:v>
                </c:pt>
                <c:pt idx="11">
                  <c:v>10.72902</c:v>
                </c:pt>
                <c:pt idx="12">
                  <c:v>11.06916</c:v>
                </c:pt>
                <c:pt idx="13">
                  <c:v>10.44181</c:v>
                </c:pt>
                <c:pt idx="14">
                  <c:v>10.083880000000001</c:v>
                </c:pt>
                <c:pt idx="15">
                  <c:v>10.24553</c:v>
                </c:pt>
              </c:numCache>
            </c:numRef>
          </c:xVal>
          <c:yVal>
            <c:numRef>
              <c:f>'F5.3'!$BD$50:$BD$65</c:f>
              <c:numCache>
                <c:formatCode>General</c:formatCode>
                <c:ptCount val="16"/>
                <c:pt idx="0">
                  <c:v>2.29305</c:v>
                </c:pt>
                <c:pt idx="1">
                  <c:v>2.7552500000000002</c:v>
                </c:pt>
                <c:pt idx="2">
                  <c:v>1.39215</c:v>
                </c:pt>
                <c:pt idx="3">
                  <c:v>1.97695</c:v>
                </c:pt>
                <c:pt idx="4">
                  <c:v>2.13178</c:v>
                </c:pt>
                <c:pt idx="5">
                  <c:v>2.7438199999999999</c:v>
                </c:pt>
                <c:pt idx="6">
                  <c:v>1.7088300000000001</c:v>
                </c:pt>
                <c:pt idx="7">
                  <c:v>1.0779700000000001</c:v>
                </c:pt>
                <c:pt idx="8">
                  <c:v>1.93028</c:v>
                </c:pt>
                <c:pt idx="9">
                  <c:v>1.42258</c:v>
                </c:pt>
                <c:pt idx="10">
                  <c:v>1.76772</c:v>
                </c:pt>
                <c:pt idx="11">
                  <c:v>2.2823099999999998</c:v>
                </c:pt>
                <c:pt idx="12">
                  <c:v>2.2750599999999999</c:v>
                </c:pt>
                <c:pt idx="13">
                  <c:v>2.46766</c:v>
                </c:pt>
                <c:pt idx="14">
                  <c:v>1.6342300000000001</c:v>
                </c:pt>
                <c:pt idx="15">
                  <c:v>2.0233300000000001</c:v>
                </c:pt>
              </c:numCache>
            </c:numRef>
          </c:yVal>
          <c:smooth val="0"/>
          <c:extLst>
            <c:ext xmlns:c16="http://schemas.microsoft.com/office/drawing/2014/chart" uri="{C3380CC4-5D6E-409C-BE32-E72D297353CC}">
              <c16:uniqueId val="{0000000A-4F07-437B-803D-8625A5172753}"/>
            </c:ext>
          </c:extLst>
        </c:ser>
        <c:ser>
          <c:idx val="10"/>
          <c:order val="10"/>
          <c:tx>
            <c:strRef>
              <c:f>'F5.3'!$E$34</c:f>
              <c:strCache>
                <c:ptCount val="1"/>
                <c:pt idx="0">
                  <c:v>Panama</c:v>
                </c:pt>
              </c:strCache>
            </c:strRef>
          </c:tx>
          <c:spPr>
            <a:ln w="28575">
              <a:noFill/>
            </a:ln>
          </c:spPr>
          <c:marker>
            <c:symbol val="circle"/>
            <c:size val="5"/>
            <c:spPr>
              <a:solidFill>
                <a:srgbClr val="C00000"/>
              </a:solidFill>
            </c:spPr>
          </c:marker>
          <c:dLbls>
            <c:spPr>
              <a:noFill/>
              <a:ln>
                <a:noFill/>
              </a:ln>
              <a:effectLst/>
            </c:sp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'F5.3'!$G$34</c:f>
              <c:numCache>
                <c:formatCode>0.00</c:formatCode>
                <c:ptCount val="1"/>
                <c:pt idx="0">
                  <c:v>9.9064399999999999</c:v>
                </c:pt>
              </c:numCache>
            </c:numRef>
          </c:xVal>
          <c:yVal>
            <c:numRef>
              <c:f>'F5.3'!$H$34</c:f>
              <c:numCache>
                <c:formatCode>0.00</c:formatCode>
                <c:ptCount val="1"/>
                <c:pt idx="0">
                  <c:v>0.73863000000000001</c:v>
                </c:pt>
              </c:numCache>
            </c:numRef>
          </c:yVal>
          <c:smooth val="0"/>
          <c:extLst>
            <c:ext xmlns:c16="http://schemas.microsoft.com/office/drawing/2014/chart" uri="{C3380CC4-5D6E-409C-BE32-E72D297353CC}">
              <c16:uniqueId val="{00000001-9094-49A8-A1C1-4E4E3B7C1D3C}"/>
            </c:ext>
          </c:extLst>
        </c:ser>
        <c:dLbls>
          <c:showLegendKey val="0"/>
          <c:showVal val="0"/>
          <c:showCatName val="0"/>
          <c:showSerName val="0"/>
          <c:showPercent val="0"/>
          <c:showBubbleSize val="0"/>
        </c:dLbls>
        <c:axId val="264483200"/>
        <c:axId val="264485120"/>
      </c:scatterChart>
      <c:valAx>
        <c:axId val="264483200"/>
        <c:scaling>
          <c:orientation val="minMax"/>
          <c:max val="12"/>
          <c:min val="6"/>
        </c:scaling>
        <c:delete val="0"/>
        <c:axPos val="b"/>
        <c:title>
          <c:tx>
            <c:rich>
              <a:bodyPr/>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Log GDP per Capita PPP (Constant 2011 International $)</a:t>
                </a:r>
              </a:p>
            </c:rich>
          </c:tx>
          <c:overlay val="0"/>
        </c:title>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4485120"/>
        <c:crosses val="autoZero"/>
        <c:crossBetween val="midCat"/>
      </c:valAx>
      <c:valAx>
        <c:axId val="264485120"/>
        <c:scaling>
          <c:orientation val="minMax"/>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Government Expenditure on Education (as % of GDP)</a:t>
                </a:r>
              </a:p>
            </c:rich>
          </c:tx>
          <c:overlay val="0"/>
        </c:title>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4483200"/>
        <c:crosses val="autoZero"/>
        <c:crossBetween val="midCat"/>
      </c:valAx>
    </c:plotArea>
    <c:legend>
      <c:legendPos val="b"/>
      <c:legendEntry>
        <c:idx val="0"/>
        <c:delete val="1"/>
      </c:legendEntry>
      <c:legendEntry>
        <c:idx val="2"/>
        <c:delete val="1"/>
      </c:legendEntry>
      <c:legendEntry>
        <c:idx val="3"/>
        <c:delete val="1"/>
      </c:legendEntry>
      <c:legendEntry>
        <c:idx val="6"/>
        <c:delete val="1"/>
      </c:legendEntry>
      <c:legendEntry>
        <c:idx val="8"/>
        <c:delete val="1"/>
      </c:legendEntry>
      <c:legendEntry>
        <c:idx val="9"/>
        <c:delete val="1"/>
      </c:legendEntry>
      <c:legendEntry>
        <c:idx val="10"/>
        <c:delete val="1"/>
      </c:legendEntry>
      <c:legendEntry>
        <c:idx val="11"/>
        <c:delete val="1"/>
      </c:legendEntry>
      <c:overlay val="0"/>
      <c:txPr>
        <a:bodyPr/>
        <a:lstStyle/>
        <a:p>
          <a:pPr>
            <a:defRPr sz="120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Times New Roman" panose="02020603050405020304" pitchFamily="18" charset="0"/>
                <a:cs typeface="Times New Roman" panose="02020603050405020304" pitchFamily="18" charset="0"/>
              </a:defRPr>
            </a:pPr>
            <a:r>
              <a:rPr lang="en-US" sz="1200">
                <a:latin typeface="Times New Roman" panose="02020603050405020304" pitchFamily="18" charset="0"/>
                <a:cs typeface="Times New Roman" panose="02020603050405020304" pitchFamily="18" charset="0"/>
              </a:rPr>
              <a:t>B. Dollar amount (PPP)</a:t>
            </a:r>
          </a:p>
        </c:rich>
      </c:tx>
      <c:overlay val="0"/>
    </c:title>
    <c:autoTitleDeleted val="0"/>
    <c:plotArea>
      <c:layout/>
      <c:scatterChart>
        <c:scatterStyle val="lineMarker"/>
        <c:varyColors val="0"/>
        <c:ser>
          <c:idx val="0"/>
          <c:order val="0"/>
          <c:spPr>
            <a:ln w="28575">
              <a:noFill/>
            </a:ln>
          </c:spPr>
          <c:marker>
            <c:symbol val="none"/>
          </c:marker>
          <c:trendline>
            <c:trendlineType val="linear"/>
            <c:dispRSqr val="0"/>
            <c:dispEq val="0"/>
          </c:trendline>
          <c:xVal>
            <c:numRef>
              <c:f>'F5.3'!$C$50:$C$262</c:f>
              <c:numCache>
                <c:formatCode>General</c:formatCode>
                <c:ptCount val="213"/>
                <c:pt idx="0">
                  <c:v>10.49169</c:v>
                </c:pt>
                <c:pt idx="2">
                  <c:v>7.5197039999999999</c:v>
                </c:pt>
                <c:pt idx="3">
                  <c:v>8.8473539999999993</c:v>
                </c:pt>
                <c:pt idx="4">
                  <c:v>9.2224699999999995</c:v>
                </c:pt>
                <c:pt idx="5">
                  <c:v>11.075390000000001</c:v>
                </c:pt>
                <c:pt idx="7">
                  <c:v>8.9488059999999994</c:v>
                </c:pt>
                <c:pt idx="9">
                  <c:v>9.9552189999999996</c:v>
                </c:pt>
                <c:pt idx="10">
                  <c:v>10.67516</c:v>
                </c:pt>
                <c:pt idx="11">
                  <c:v>10.689019999999999</c:v>
                </c:pt>
                <c:pt idx="12">
                  <c:v>9.7240680000000008</c:v>
                </c:pt>
                <c:pt idx="13">
                  <c:v>6.5991689999999998</c:v>
                </c:pt>
                <c:pt idx="14">
                  <c:v>10.61589</c:v>
                </c:pt>
                <c:pt idx="15">
                  <c:v>7.5688060000000004</c:v>
                </c:pt>
                <c:pt idx="16">
                  <c:v>7.3433270000000004</c:v>
                </c:pt>
                <c:pt idx="17">
                  <c:v>7.9993990000000004</c:v>
                </c:pt>
                <c:pt idx="18">
                  <c:v>9.7027809999999999</c:v>
                </c:pt>
                <c:pt idx="19">
                  <c:v>10.6784</c:v>
                </c:pt>
                <c:pt idx="20">
                  <c:v>10.01731</c:v>
                </c:pt>
                <c:pt idx="21">
                  <c:v>9.1797339999999998</c:v>
                </c:pt>
                <c:pt idx="22">
                  <c:v>9.7612349999999992</c:v>
                </c:pt>
                <c:pt idx="23">
                  <c:v>8.9926200000000005</c:v>
                </c:pt>
                <c:pt idx="24">
                  <c:v>10.833080000000001</c:v>
                </c:pt>
                <c:pt idx="25">
                  <c:v>8.7522640000000003</c:v>
                </c:pt>
                <c:pt idx="26">
                  <c:v>9.6265750000000008</c:v>
                </c:pt>
                <c:pt idx="27">
                  <c:v>9.6368829999999992</c:v>
                </c:pt>
                <c:pt idx="28">
                  <c:v>11.125970000000001</c:v>
                </c:pt>
                <c:pt idx="29">
                  <c:v>8.916817</c:v>
                </c:pt>
                <c:pt idx="30">
                  <c:v>9.6290630000000004</c:v>
                </c:pt>
                <c:pt idx="31">
                  <c:v>6.2982089999999999</c:v>
                </c:pt>
                <c:pt idx="32">
                  <c:v>10.66432</c:v>
                </c:pt>
                <c:pt idx="33">
                  <c:v>10.92</c:v>
                </c:pt>
                <c:pt idx="35">
                  <c:v>9.9953090000000007</c:v>
                </c:pt>
                <c:pt idx="36">
                  <c:v>9.4413870000000006</c:v>
                </c:pt>
                <c:pt idx="37">
                  <c:v>8.0418719999999997</c:v>
                </c:pt>
                <c:pt idx="38">
                  <c:v>7.9499969999999998</c:v>
                </c:pt>
                <c:pt idx="39">
                  <c:v>8.6975390000000008</c:v>
                </c:pt>
                <c:pt idx="40">
                  <c:v>9.4505490000000005</c:v>
                </c:pt>
                <c:pt idx="41">
                  <c:v>7.2178560000000003</c:v>
                </c:pt>
                <c:pt idx="42">
                  <c:v>8.7354900000000004</c:v>
                </c:pt>
                <c:pt idx="43">
                  <c:v>9.5632610000000007</c:v>
                </c:pt>
                <c:pt idx="44">
                  <c:v>9.9009979999999995</c:v>
                </c:pt>
                <c:pt idx="46">
                  <c:v>10.817819999999999</c:v>
                </c:pt>
                <c:pt idx="47">
                  <c:v>10.29055</c:v>
                </c:pt>
                <c:pt idx="48">
                  <c:v>10.263769999999999</c:v>
                </c:pt>
                <c:pt idx="49">
                  <c:v>10.68172</c:v>
                </c:pt>
                <c:pt idx="50">
                  <c:v>8.0456029999999998</c:v>
                </c:pt>
                <c:pt idx="51">
                  <c:v>9.2473679999999998</c:v>
                </c:pt>
                <c:pt idx="52">
                  <c:v>10.672599999999999</c:v>
                </c:pt>
                <c:pt idx="53">
                  <c:v>9.4456120000000006</c:v>
                </c:pt>
                <c:pt idx="54">
                  <c:v>9.5144300000000008</c:v>
                </c:pt>
                <c:pt idx="55">
                  <c:v>9.2918109999999992</c:v>
                </c:pt>
                <c:pt idx="56">
                  <c:v>9.2151859999999992</c:v>
                </c:pt>
                <c:pt idx="57">
                  <c:v>7.2521659999999999</c:v>
                </c:pt>
                <c:pt idx="58">
                  <c:v>10.365640000000001</c:v>
                </c:pt>
                <c:pt idx="59">
                  <c:v>10.188420000000001</c:v>
                </c:pt>
                <c:pt idx="60">
                  <c:v>7.2659909999999996</c:v>
                </c:pt>
                <c:pt idx="61">
                  <c:v>10.560420000000001</c:v>
                </c:pt>
                <c:pt idx="62">
                  <c:v>9.0345840000000006</c:v>
                </c:pt>
                <c:pt idx="63">
                  <c:v>10.520099999999999</c:v>
                </c:pt>
                <c:pt idx="65">
                  <c:v>8.0638159999999992</c:v>
                </c:pt>
                <c:pt idx="66">
                  <c:v>9.8275120000000005</c:v>
                </c:pt>
                <c:pt idx="67">
                  <c:v>10.54757</c:v>
                </c:pt>
                <c:pt idx="68">
                  <c:v>9.0767129999999998</c:v>
                </c:pt>
                <c:pt idx="69">
                  <c:v>8.2671930000000007</c:v>
                </c:pt>
                <c:pt idx="71">
                  <c:v>7.0605880000000001</c:v>
                </c:pt>
                <c:pt idx="72">
                  <c:v>7.3495710000000001</c:v>
                </c:pt>
                <c:pt idx="73">
                  <c:v>7.197781</c:v>
                </c:pt>
                <c:pt idx="74">
                  <c:v>10.40868</c:v>
                </c:pt>
                <c:pt idx="75">
                  <c:v>10.107189999999999</c:v>
                </c:pt>
                <c:pt idx="76">
                  <c:v>9.3803970000000003</c:v>
                </c:pt>
                <c:pt idx="78">
                  <c:v>8.8687500000000004</c:v>
                </c:pt>
                <c:pt idx="80">
                  <c:v>8.8373849999999994</c:v>
                </c:pt>
                <c:pt idx="81">
                  <c:v>10.870649999999999</c:v>
                </c:pt>
                <c:pt idx="82">
                  <c:v>8.4516930000000006</c:v>
                </c:pt>
                <c:pt idx="83">
                  <c:v>9.9051419999999997</c:v>
                </c:pt>
                <c:pt idx="84">
                  <c:v>7.4103009999999996</c:v>
                </c:pt>
                <c:pt idx="85">
                  <c:v>10.074210000000001</c:v>
                </c:pt>
                <c:pt idx="86">
                  <c:v>9.2134680000000007</c:v>
                </c:pt>
                <c:pt idx="88">
                  <c:v>8.5926150000000003</c:v>
                </c:pt>
                <c:pt idx="89">
                  <c:v>10.78692</c:v>
                </c:pt>
                <c:pt idx="90">
                  <c:v>9.7115410000000004</c:v>
                </c:pt>
                <c:pt idx="91">
                  <c:v>9.5593839999999997</c:v>
                </c:pt>
                <c:pt idx="92">
                  <c:v>10.627700000000001</c:v>
                </c:pt>
                <c:pt idx="93">
                  <c:v>10.358420000000001</c:v>
                </c:pt>
                <c:pt idx="94">
                  <c:v>10.414540000000001</c:v>
                </c:pt>
                <c:pt idx="95">
                  <c:v>9.0442330000000002</c:v>
                </c:pt>
                <c:pt idx="96">
                  <c:v>9.2342560000000002</c:v>
                </c:pt>
                <c:pt idx="97">
                  <c:v>10.47974</c:v>
                </c:pt>
                <c:pt idx="98">
                  <c:v>10.103109999999999</c:v>
                </c:pt>
                <c:pt idx="99">
                  <c:v>7.9439690000000001</c:v>
                </c:pt>
                <c:pt idx="100">
                  <c:v>8.0651530000000005</c:v>
                </c:pt>
                <c:pt idx="101">
                  <c:v>8.0432229999999993</c:v>
                </c:pt>
                <c:pt idx="102">
                  <c:v>7.4534789999999997</c:v>
                </c:pt>
                <c:pt idx="103">
                  <c:v>10.00661</c:v>
                </c:pt>
                <c:pt idx="104">
                  <c:v>10.42346</c:v>
                </c:pt>
                <c:pt idx="105">
                  <c:v>11.15451</c:v>
                </c:pt>
                <c:pt idx="106">
                  <c:v>8.5323229999999999</c:v>
                </c:pt>
                <c:pt idx="107">
                  <c:v>9.5083549999999999</c:v>
                </c:pt>
                <c:pt idx="108">
                  <c:v>6.6891699999999998</c:v>
                </c:pt>
                <c:pt idx="109">
                  <c:v>9.6077729999999999</c:v>
                </c:pt>
                <c:pt idx="110">
                  <c:v>9.2340149999999994</c:v>
                </c:pt>
                <c:pt idx="112">
                  <c:v>9.2725690000000007</c:v>
                </c:pt>
                <c:pt idx="113">
                  <c:v>7.8308270000000002</c:v>
                </c:pt>
                <c:pt idx="114">
                  <c:v>10.1576</c:v>
                </c:pt>
                <c:pt idx="115">
                  <c:v>11.422650000000001</c:v>
                </c:pt>
                <c:pt idx="116">
                  <c:v>10.000540000000001</c:v>
                </c:pt>
                <c:pt idx="118">
                  <c:v>8.8743479999999995</c:v>
                </c:pt>
                <c:pt idx="120">
                  <c:v>8.4685570000000006</c:v>
                </c:pt>
                <c:pt idx="121">
                  <c:v>7.2230509999999999</c:v>
                </c:pt>
                <c:pt idx="122">
                  <c:v>9.3887859999999996</c:v>
                </c:pt>
                <c:pt idx="123">
                  <c:v>9.6990110000000005</c:v>
                </c:pt>
                <c:pt idx="124">
                  <c:v>8.1963939999999997</c:v>
                </c:pt>
                <c:pt idx="125">
                  <c:v>9.4166629999999998</c:v>
                </c:pt>
                <c:pt idx="126">
                  <c:v>7.6905229999999998</c:v>
                </c:pt>
                <c:pt idx="127">
                  <c:v>10.268879999999999</c:v>
                </c:pt>
                <c:pt idx="129">
                  <c:v>9.584244</c:v>
                </c:pt>
                <c:pt idx="130">
                  <c:v>9.3416619999999995</c:v>
                </c:pt>
                <c:pt idx="132">
                  <c:v>6.984318</c:v>
                </c:pt>
                <c:pt idx="133">
                  <c:v>8.2143409999999992</c:v>
                </c:pt>
                <c:pt idx="134">
                  <c:v>9.7834029999999998</c:v>
                </c:pt>
                <c:pt idx="135">
                  <c:v>7.0164</c:v>
                </c:pt>
                <c:pt idx="136">
                  <c:v>10.10478</c:v>
                </c:pt>
                <c:pt idx="137">
                  <c:v>9.1581519999999994</c:v>
                </c:pt>
                <c:pt idx="139">
                  <c:v>6.8043469999999999</c:v>
                </c:pt>
                <c:pt idx="140">
                  <c:v>8.6375419999999998</c:v>
                </c:pt>
                <c:pt idx="141">
                  <c:v>8.4569010000000002</c:v>
                </c:pt>
                <c:pt idx="142">
                  <c:v>10.72902</c:v>
                </c:pt>
                <c:pt idx="143">
                  <c:v>11.06916</c:v>
                </c:pt>
                <c:pt idx="144">
                  <c:v>7.7253530000000001</c:v>
                </c:pt>
                <c:pt idx="146">
                  <c:v>10.44181</c:v>
                </c:pt>
                <c:pt idx="147">
                  <c:v>10.51473</c:v>
                </c:pt>
                <c:pt idx="148">
                  <c:v>8.4316669999999991</c:v>
                </c:pt>
                <c:pt idx="149">
                  <c:v>9.9064399999999999</c:v>
                </c:pt>
                <c:pt idx="150">
                  <c:v>9.3458550000000002</c:v>
                </c:pt>
                <c:pt idx="151">
                  <c:v>8.8021550000000008</c:v>
                </c:pt>
                <c:pt idx="152">
                  <c:v>9.4936589999999992</c:v>
                </c:pt>
                <c:pt idx="153">
                  <c:v>7.9096700000000002</c:v>
                </c:pt>
                <c:pt idx="154">
                  <c:v>10.083880000000001</c:v>
                </c:pt>
                <c:pt idx="155">
                  <c:v>10.429510000000001</c:v>
                </c:pt>
                <c:pt idx="157">
                  <c:v>10.172549999999999</c:v>
                </c:pt>
                <c:pt idx="158">
                  <c:v>9.0480129999999992</c:v>
                </c:pt>
                <c:pt idx="160">
                  <c:v>11.80893</c:v>
                </c:pt>
                <c:pt idx="161">
                  <c:v>9.8592180000000003</c:v>
                </c:pt>
                <c:pt idx="162">
                  <c:v>10.12157</c:v>
                </c:pt>
                <c:pt idx="163">
                  <c:v>7.3682650000000001</c:v>
                </c:pt>
                <c:pt idx="164">
                  <c:v>10.81213</c:v>
                </c:pt>
                <c:pt idx="165">
                  <c:v>8.2641690000000008</c:v>
                </c:pt>
                <c:pt idx="166">
                  <c:v>7.7031049999999999</c:v>
                </c:pt>
                <c:pt idx="167">
                  <c:v>11.28415</c:v>
                </c:pt>
                <c:pt idx="168">
                  <c:v>7.6170150000000003</c:v>
                </c:pt>
                <c:pt idx="169">
                  <c:v>7.5596439999999996</c:v>
                </c:pt>
                <c:pt idx="170">
                  <c:v>8.9779020000000003</c:v>
                </c:pt>
                <c:pt idx="173">
                  <c:v>9.4503369999999993</c:v>
                </c:pt>
                <c:pt idx="174">
                  <c:v>7.583062</c:v>
                </c:pt>
                <c:pt idx="175">
                  <c:v>8.0163899999999995</c:v>
                </c:pt>
                <c:pt idx="176">
                  <c:v>9.6723510000000008</c:v>
                </c:pt>
                <c:pt idx="177">
                  <c:v>10.183759999999999</c:v>
                </c:pt>
                <c:pt idx="178">
                  <c:v>10.24553</c:v>
                </c:pt>
                <c:pt idx="179">
                  <c:v>10.691409999999999</c:v>
                </c:pt>
                <c:pt idx="180">
                  <c:v>8.9759879999999992</c:v>
                </c:pt>
                <c:pt idx="182">
                  <c:v>10.134880000000001</c:v>
                </c:pt>
                <c:pt idx="185">
                  <c:v>7.6372140000000002</c:v>
                </c:pt>
                <c:pt idx="186">
                  <c:v>7.1983319999999997</c:v>
                </c:pt>
                <c:pt idx="187">
                  <c:v>9.6142020000000006</c:v>
                </c:pt>
                <c:pt idx="188">
                  <c:v>7.8505079999999996</c:v>
                </c:pt>
                <c:pt idx="189">
                  <c:v>9.5998049999999999</c:v>
                </c:pt>
                <c:pt idx="190">
                  <c:v>7.6471739999999997</c:v>
                </c:pt>
                <c:pt idx="191">
                  <c:v>8.5114800000000006</c:v>
                </c:pt>
                <c:pt idx="192">
                  <c:v>10.325390000000001</c:v>
                </c:pt>
                <c:pt idx="193">
                  <c:v>9.2825330000000008</c:v>
                </c:pt>
                <c:pt idx="194">
                  <c:v>9.8255630000000007</c:v>
                </c:pt>
                <c:pt idx="195">
                  <c:v>8.186515</c:v>
                </c:pt>
                <c:pt idx="196">
                  <c:v>7.7920220000000002</c:v>
                </c:pt>
                <c:pt idx="197">
                  <c:v>7.43215</c:v>
                </c:pt>
                <c:pt idx="198">
                  <c:v>9.0165509999999998</c:v>
                </c:pt>
                <c:pt idx="199">
                  <c:v>9.8948370000000008</c:v>
                </c:pt>
                <c:pt idx="200">
                  <c:v>10.85338</c:v>
                </c:pt>
                <c:pt idx="201">
                  <c:v>8.5786409999999993</c:v>
                </c:pt>
                <c:pt idx="202">
                  <c:v>9.2340660000000003</c:v>
                </c:pt>
                <c:pt idx="203">
                  <c:v>9.7273060000000005</c:v>
                </c:pt>
                <c:pt idx="205">
                  <c:v>8.5886220000000009</c:v>
                </c:pt>
                <c:pt idx="206">
                  <c:v>7.9694339999999997</c:v>
                </c:pt>
                <c:pt idx="207">
                  <c:v>8.6168479999999992</c:v>
                </c:pt>
                <c:pt idx="208">
                  <c:v>8.2061209999999996</c:v>
                </c:pt>
                <c:pt idx="209">
                  <c:v>9.4283699999999993</c:v>
                </c:pt>
                <c:pt idx="210">
                  <c:v>6.5666960000000003</c:v>
                </c:pt>
                <c:pt idx="211">
                  <c:v>8.1948419999999995</c:v>
                </c:pt>
                <c:pt idx="212">
                  <c:v>7.4437480000000003</c:v>
                </c:pt>
              </c:numCache>
            </c:numRef>
          </c:xVal>
          <c:yVal>
            <c:numRef>
              <c:f>'F5.3'!$D$50:$D$262</c:f>
              <c:numCache>
                <c:formatCode>General</c:formatCode>
                <c:ptCount val="213"/>
                <c:pt idx="4">
                  <c:v>6.3569019999999998</c:v>
                </c:pt>
                <c:pt idx="5">
                  <c:v>9.292999</c:v>
                </c:pt>
                <c:pt idx="6">
                  <c:v>8.3166329999999995</c:v>
                </c:pt>
                <c:pt idx="7">
                  <c:v>7.0987629999999999</c:v>
                </c:pt>
                <c:pt idx="9">
                  <c:v>7.5792840000000004</c:v>
                </c:pt>
                <c:pt idx="10">
                  <c:v>8.8985050000000001</c:v>
                </c:pt>
                <c:pt idx="11">
                  <c:v>9.4268839999999994</c:v>
                </c:pt>
                <c:pt idx="13">
                  <c:v>5.4467319999999999</c:v>
                </c:pt>
                <c:pt idx="14">
                  <c:v>9.6778169999999992</c:v>
                </c:pt>
                <c:pt idx="15">
                  <c:v>5.6201600000000003</c:v>
                </c:pt>
                <c:pt idx="16">
                  <c:v>5.5503340000000003</c:v>
                </c:pt>
                <c:pt idx="17">
                  <c:v>5.6777730000000002</c:v>
                </c:pt>
                <c:pt idx="18">
                  <c:v>8.0691400000000009</c:v>
                </c:pt>
                <c:pt idx="23">
                  <c:v>7.4744820000000001</c:v>
                </c:pt>
                <c:pt idx="24">
                  <c:v>8.7903839999999995</c:v>
                </c:pt>
                <c:pt idx="25">
                  <c:v>7.111675</c:v>
                </c:pt>
                <c:pt idx="26">
                  <c:v>8.1645129999999995</c:v>
                </c:pt>
                <c:pt idx="27">
                  <c:v>8.0949969999999993</c:v>
                </c:pt>
                <c:pt idx="28">
                  <c:v>9.0411859999999997</c:v>
                </c:pt>
                <c:pt idx="29">
                  <c:v>7.8900499999999996</c:v>
                </c:pt>
                <c:pt idx="31">
                  <c:v>4.912801</c:v>
                </c:pt>
                <c:pt idx="32">
                  <c:v>8.9009549999999997</c:v>
                </c:pt>
                <c:pt idx="33">
                  <c:v>9.5865969999999994</c:v>
                </c:pt>
                <c:pt idx="35">
                  <c:v>8.107837</c:v>
                </c:pt>
                <c:pt idx="37">
                  <c:v>6.7947600000000001</c:v>
                </c:pt>
                <c:pt idx="38">
                  <c:v>6.2816450000000001</c:v>
                </c:pt>
                <c:pt idx="40">
                  <c:v>7.7474509999999999</c:v>
                </c:pt>
                <c:pt idx="42">
                  <c:v>6.952915</c:v>
                </c:pt>
                <c:pt idx="43">
                  <c:v>8.1931969999999996</c:v>
                </c:pt>
                <c:pt idx="44">
                  <c:v>9.1521270000000001</c:v>
                </c:pt>
                <c:pt idx="47">
                  <c:v>9.4439539999999997</c:v>
                </c:pt>
                <c:pt idx="48">
                  <c:v>8.8915620000000004</c:v>
                </c:pt>
                <c:pt idx="49">
                  <c:v>9.2214299999999998</c:v>
                </c:pt>
                <c:pt idx="51">
                  <c:v>7.3143190000000002</c:v>
                </c:pt>
                <c:pt idx="52">
                  <c:v>9.4535389999999992</c:v>
                </c:pt>
                <c:pt idx="53">
                  <c:v>7.5565309999999997</c:v>
                </c:pt>
                <c:pt idx="55">
                  <c:v>6.569566</c:v>
                </c:pt>
                <c:pt idx="58">
                  <c:v>8.8968380000000007</c:v>
                </c:pt>
                <c:pt idx="59">
                  <c:v>8.809984</c:v>
                </c:pt>
                <c:pt idx="60">
                  <c:v>5.7410439999999996</c:v>
                </c:pt>
                <c:pt idx="61">
                  <c:v>8.3748509999999996</c:v>
                </c:pt>
                <c:pt idx="62">
                  <c:v>6.059488</c:v>
                </c:pt>
                <c:pt idx="63">
                  <c:v>9.2119079999999993</c:v>
                </c:pt>
                <c:pt idx="67">
                  <c:v>9.0378699999999998</c:v>
                </c:pt>
                <c:pt idx="69">
                  <c:v>7.1589510000000001</c:v>
                </c:pt>
                <c:pt idx="71">
                  <c:v>4.8076999999999996</c:v>
                </c:pt>
                <c:pt idx="72">
                  <c:v>5.3682080000000001</c:v>
                </c:pt>
                <c:pt idx="78">
                  <c:v>5.9808620000000001</c:v>
                </c:pt>
                <c:pt idx="80">
                  <c:v>6.4064579999999998</c:v>
                </c:pt>
                <c:pt idx="81">
                  <c:v>9.2412469999999995</c:v>
                </c:pt>
                <c:pt idx="82">
                  <c:v>6.7614580000000002</c:v>
                </c:pt>
                <c:pt idx="85">
                  <c:v>8.3977620000000002</c:v>
                </c:pt>
                <c:pt idx="86">
                  <c:v>6.953379</c:v>
                </c:pt>
                <c:pt idx="88">
                  <c:v>6.5888460000000002</c:v>
                </c:pt>
                <c:pt idx="89">
                  <c:v>9.3838819999999998</c:v>
                </c:pt>
                <c:pt idx="90">
                  <c:v>7.8521710000000002</c:v>
                </c:pt>
                <c:pt idx="92">
                  <c:v>8.989395</c:v>
                </c:pt>
                <c:pt idx="93">
                  <c:v>8.5720480000000006</c:v>
                </c:pt>
                <c:pt idx="94">
                  <c:v>9.0006590000000006</c:v>
                </c:pt>
                <c:pt idx="95">
                  <c:v>7.6013979999999997</c:v>
                </c:pt>
                <c:pt idx="96">
                  <c:v>7.4389029999999998</c:v>
                </c:pt>
                <c:pt idx="97">
                  <c:v>9.1201340000000002</c:v>
                </c:pt>
                <c:pt idx="98">
                  <c:v>8.4788859999999993</c:v>
                </c:pt>
                <c:pt idx="100">
                  <c:v>6.9753879999999997</c:v>
                </c:pt>
                <c:pt idx="104">
                  <c:v>8.9370469999999997</c:v>
                </c:pt>
                <c:pt idx="105">
                  <c:v>9.6843529999999998</c:v>
                </c:pt>
                <c:pt idx="107">
                  <c:v>6.7760280000000002</c:v>
                </c:pt>
                <c:pt idx="110">
                  <c:v>7.9317529999999996</c:v>
                </c:pt>
                <c:pt idx="112">
                  <c:v>6.4997319999999998</c:v>
                </c:pt>
                <c:pt idx="114">
                  <c:v>8.4048250000000007</c:v>
                </c:pt>
                <c:pt idx="115">
                  <c:v>9.7101889999999997</c:v>
                </c:pt>
                <c:pt idx="116">
                  <c:v>8.6346849999999993</c:v>
                </c:pt>
                <c:pt idx="118">
                  <c:v>7.8322000000000003</c:v>
                </c:pt>
                <c:pt idx="120">
                  <c:v>7.5645670000000003</c:v>
                </c:pt>
                <c:pt idx="121">
                  <c:v>4.7648270000000004</c:v>
                </c:pt>
                <c:pt idx="123">
                  <c:v>7.8351620000000004</c:v>
                </c:pt>
                <c:pt idx="126">
                  <c:v>6.0444740000000001</c:v>
                </c:pt>
                <c:pt idx="127">
                  <c:v>9.3717620000000004</c:v>
                </c:pt>
                <c:pt idx="130">
                  <c:v>7.0567929999999999</c:v>
                </c:pt>
                <c:pt idx="132">
                  <c:v>6.6053740000000003</c:v>
                </c:pt>
                <c:pt idx="133">
                  <c:v>6.4643329999999999</c:v>
                </c:pt>
                <c:pt idx="134">
                  <c:v>8.5964340000000004</c:v>
                </c:pt>
                <c:pt idx="135">
                  <c:v>5.4629640000000004</c:v>
                </c:pt>
                <c:pt idx="136">
                  <c:v>8.5924359999999993</c:v>
                </c:pt>
                <c:pt idx="139">
                  <c:v>6.5320929999999997</c:v>
                </c:pt>
                <c:pt idx="141">
                  <c:v>5.6669159999999996</c:v>
                </c:pt>
                <c:pt idx="142">
                  <c:v>9.3416040000000002</c:v>
                </c:pt>
                <c:pt idx="143">
                  <c:v>9.6913459999999993</c:v>
                </c:pt>
                <c:pt idx="144">
                  <c:v>5.7962049999999996</c:v>
                </c:pt>
                <c:pt idx="146">
                  <c:v>8.9661880000000007</c:v>
                </c:pt>
                <c:pt idx="147">
                  <c:v>9.0615389999999998</c:v>
                </c:pt>
                <c:pt idx="148">
                  <c:v>6.4153589999999996</c:v>
                </c:pt>
                <c:pt idx="149">
                  <c:v>7.3594119999999998</c:v>
                </c:pt>
                <c:pt idx="150">
                  <c:v>7.3551229999999999</c:v>
                </c:pt>
                <c:pt idx="154">
                  <c:v>8.6233889999999995</c:v>
                </c:pt>
                <c:pt idx="155">
                  <c:v>8.8557640000000006</c:v>
                </c:pt>
                <c:pt idx="157">
                  <c:v>9.0790679999999995</c:v>
                </c:pt>
                <c:pt idx="158">
                  <c:v>7.1165450000000003</c:v>
                </c:pt>
                <c:pt idx="160">
                  <c:v>9.4108409999999996</c:v>
                </c:pt>
                <c:pt idx="161">
                  <c:v>7.8529450000000001</c:v>
                </c:pt>
                <c:pt idx="163">
                  <c:v>6.3778569999999997</c:v>
                </c:pt>
                <c:pt idx="166">
                  <c:v>6.4309770000000004</c:v>
                </c:pt>
                <c:pt idx="167">
                  <c:v>9.2378040000000006</c:v>
                </c:pt>
                <c:pt idx="169">
                  <c:v>5.0128579999999996</c:v>
                </c:pt>
                <c:pt idx="170">
                  <c:v>6.6866779999999997</c:v>
                </c:pt>
                <c:pt idx="171">
                  <c:v>8.9211379999999991</c:v>
                </c:pt>
                <c:pt idx="173">
                  <c:v>7.4033990000000003</c:v>
                </c:pt>
                <c:pt idx="175">
                  <c:v>5.5895029999999997</c:v>
                </c:pt>
                <c:pt idx="177">
                  <c:v>8.5641700000000007</c:v>
                </c:pt>
                <c:pt idx="178">
                  <c:v>9.0804410000000004</c:v>
                </c:pt>
                <c:pt idx="179">
                  <c:v>9.3044790000000006</c:v>
                </c:pt>
                <c:pt idx="180">
                  <c:v>8.0696580000000004</c:v>
                </c:pt>
                <c:pt idx="182">
                  <c:v>7.3278290000000004</c:v>
                </c:pt>
                <c:pt idx="185">
                  <c:v>5.9811160000000001</c:v>
                </c:pt>
                <c:pt idx="186">
                  <c:v>5.2798930000000004</c:v>
                </c:pt>
                <c:pt idx="187">
                  <c:v>7.9198930000000001</c:v>
                </c:pt>
                <c:pt idx="190">
                  <c:v>6.2528649999999999</c:v>
                </c:pt>
                <c:pt idx="196">
                  <c:v>5.4978410000000002</c:v>
                </c:pt>
                <c:pt idx="197">
                  <c:v>5.7443540000000004</c:v>
                </c:pt>
                <c:pt idx="198">
                  <c:v>7.8720340000000002</c:v>
                </c:pt>
                <c:pt idx="200">
                  <c:v>9.3376160000000006</c:v>
                </c:pt>
                <c:pt idx="202">
                  <c:v>7.7651450000000004</c:v>
                </c:pt>
                <c:pt idx="203">
                  <c:v>7.9163160000000001</c:v>
                </c:pt>
                <c:pt idx="208">
                  <c:v>6.1227119999999999</c:v>
                </c:pt>
                <c:pt idx="209">
                  <c:v>7.8513960000000003</c:v>
                </c:pt>
                <c:pt idx="210">
                  <c:v>3.7067299999999999</c:v>
                </c:pt>
              </c:numCache>
            </c:numRef>
          </c:yVal>
          <c:smooth val="0"/>
          <c:extLst>
            <c:ext xmlns:c16="http://schemas.microsoft.com/office/drawing/2014/chart" uri="{C3380CC4-5D6E-409C-BE32-E72D297353CC}">
              <c16:uniqueId val="{00000001-5503-4BEE-A3F4-956CCB7E6109}"/>
            </c:ext>
          </c:extLst>
        </c:ser>
        <c:ser>
          <c:idx val="1"/>
          <c:order val="1"/>
          <c:tx>
            <c:v>Non-OECD</c:v>
          </c:tx>
          <c:spPr>
            <a:ln w="28575">
              <a:noFill/>
            </a:ln>
          </c:spPr>
          <c:marker>
            <c:symbol val="triangle"/>
            <c:size val="5"/>
            <c:spPr>
              <a:noFill/>
              <a:ln>
                <a:solidFill>
                  <a:schemeClr val="bg1">
                    <a:lumMod val="50000"/>
                  </a:schemeClr>
                </a:solidFill>
              </a:ln>
            </c:spPr>
          </c:marker>
          <c:xVal>
            <c:numRef>
              <c:f>'F5.3'!$L$50:$L$184</c:f>
              <c:numCache>
                <c:formatCode>General</c:formatCode>
                <c:ptCount val="135"/>
                <c:pt idx="0">
                  <c:v>10.49169</c:v>
                </c:pt>
                <c:pt idx="2">
                  <c:v>7.5197039999999999</c:v>
                </c:pt>
                <c:pt idx="3">
                  <c:v>8.8473539999999993</c:v>
                </c:pt>
                <c:pt idx="4">
                  <c:v>8.9488059999999994</c:v>
                </c:pt>
                <c:pt idx="6">
                  <c:v>9.9552189999999996</c:v>
                </c:pt>
                <c:pt idx="7">
                  <c:v>9.7240680000000008</c:v>
                </c:pt>
                <c:pt idx="8">
                  <c:v>6.5991689999999998</c:v>
                </c:pt>
                <c:pt idx="9">
                  <c:v>7.5688060000000004</c:v>
                </c:pt>
                <c:pt idx="10">
                  <c:v>7.3433270000000004</c:v>
                </c:pt>
                <c:pt idx="11">
                  <c:v>7.9993990000000004</c:v>
                </c:pt>
                <c:pt idx="12">
                  <c:v>10.6784</c:v>
                </c:pt>
                <c:pt idx="13">
                  <c:v>10.01731</c:v>
                </c:pt>
                <c:pt idx="14">
                  <c:v>9.1797339999999998</c:v>
                </c:pt>
                <c:pt idx="15">
                  <c:v>9.7612349999999992</c:v>
                </c:pt>
                <c:pt idx="16">
                  <c:v>8.9926200000000005</c:v>
                </c:pt>
                <c:pt idx="17">
                  <c:v>10.833080000000001</c:v>
                </c:pt>
                <c:pt idx="18">
                  <c:v>9.6368829999999992</c:v>
                </c:pt>
                <c:pt idx="19">
                  <c:v>11.125970000000001</c:v>
                </c:pt>
                <c:pt idx="20">
                  <c:v>8.916817</c:v>
                </c:pt>
                <c:pt idx="21">
                  <c:v>9.6290630000000004</c:v>
                </c:pt>
                <c:pt idx="22">
                  <c:v>6.2982089999999999</c:v>
                </c:pt>
                <c:pt idx="24">
                  <c:v>9.4413870000000006</c:v>
                </c:pt>
                <c:pt idx="25">
                  <c:v>8.0418719999999997</c:v>
                </c:pt>
                <c:pt idx="26">
                  <c:v>7.9499969999999998</c:v>
                </c:pt>
                <c:pt idx="27">
                  <c:v>8.6975390000000008</c:v>
                </c:pt>
                <c:pt idx="28">
                  <c:v>7.2178560000000003</c:v>
                </c:pt>
                <c:pt idx="29">
                  <c:v>8.7354900000000004</c:v>
                </c:pt>
                <c:pt idx="30">
                  <c:v>9.9009979999999995</c:v>
                </c:pt>
                <c:pt idx="32">
                  <c:v>10.817819999999999</c:v>
                </c:pt>
                <c:pt idx="33">
                  <c:v>10.29055</c:v>
                </c:pt>
                <c:pt idx="34">
                  <c:v>8.0456029999999998</c:v>
                </c:pt>
                <c:pt idx="35">
                  <c:v>9.2473679999999998</c:v>
                </c:pt>
                <c:pt idx="36">
                  <c:v>9.2151859999999992</c:v>
                </c:pt>
                <c:pt idx="37">
                  <c:v>7.2521659999999999</c:v>
                </c:pt>
                <c:pt idx="38">
                  <c:v>7.2659909999999996</c:v>
                </c:pt>
                <c:pt idx="39">
                  <c:v>9.0345840000000006</c:v>
                </c:pt>
                <c:pt idx="41">
                  <c:v>8.0638159999999992</c:v>
                </c:pt>
                <c:pt idx="42">
                  <c:v>9.8275120000000005</c:v>
                </c:pt>
                <c:pt idx="43">
                  <c:v>8.2671930000000007</c:v>
                </c:pt>
                <c:pt idx="45">
                  <c:v>7.0605880000000001</c:v>
                </c:pt>
                <c:pt idx="46">
                  <c:v>7.3495710000000001</c:v>
                </c:pt>
                <c:pt idx="47">
                  <c:v>7.197781</c:v>
                </c:pt>
                <c:pt idx="48">
                  <c:v>10.40868</c:v>
                </c:pt>
                <c:pt idx="49">
                  <c:v>9.3803970000000003</c:v>
                </c:pt>
                <c:pt idx="53">
                  <c:v>8.5926150000000003</c:v>
                </c:pt>
                <c:pt idx="54">
                  <c:v>9.7115410000000004</c:v>
                </c:pt>
                <c:pt idx="55">
                  <c:v>9.5593839999999997</c:v>
                </c:pt>
                <c:pt idx="56">
                  <c:v>10.103109999999999</c:v>
                </c:pt>
                <c:pt idx="57">
                  <c:v>7.9439690000000001</c:v>
                </c:pt>
                <c:pt idx="58">
                  <c:v>8.0651530000000005</c:v>
                </c:pt>
                <c:pt idx="59">
                  <c:v>8.0432229999999993</c:v>
                </c:pt>
                <c:pt idx="60">
                  <c:v>7.4534789999999997</c:v>
                </c:pt>
                <c:pt idx="61">
                  <c:v>10.00661</c:v>
                </c:pt>
                <c:pt idx="62">
                  <c:v>11.15451</c:v>
                </c:pt>
                <c:pt idx="63">
                  <c:v>8.5323229999999999</c:v>
                </c:pt>
                <c:pt idx="64">
                  <c:v>6.6891699999999998</c:v>
                </c:pt>
                <c:pt idx="65">
                  <c:v>9.6077729999999999</c:v>
                </c:pt>
                <c:pt idx="66">
                  <c:v>9.2340149999999994</c:v>
                </c:pt>
                <c:pt idx="68">
                  <c:v>9.2725690000000007</c:v>
                </c:pt>
                <c:pt idx="69">
                  <c:v>7.8308270000000002</c:v>
                </c:pt>
                <c:pt idx="71">
                  <c:v>8.8743479999999995</c:v>
                </c:pt>
                <c:pt idx="73">
                  <c:v>7.2230509999999999</c:v>
                </c:pt>
                <c:pt idx="74">
                  <c:v>9.3887859999999996</c:v>
                </c:pt>
                <c:pt idx="75">
                  <c:v>8.1963939999999997</c:v>
                </c:pt>
                <c:pt idx="76">
                  <c:v>7.6905229999999998</c:v>
                </c:pt>
                <c:pt idx="78">
                  <c:v>9.3416619999999995</c:v>
                </c:pt>
                <c:pt idx="80">
                  <c:v>6.984318</c:v>
                </c:pt>
                <c:pt idx="81">
                  <c:v>8.2143409999999992</c:v>
                </c:pt>
                <c:pt idx="82">
                  <c:v>9.7834029999999998</c:v>
                </c:pt>
                <c:pt idx="83">
                  <c:v>7.0164</c:v>
                </c:pt>
                <c:pt idx="84">
                  <c:v>10.10478</c:v>
                </c:pt>
                <c:pt idx="85">
                  <c:v>9.1581519999999994</c:v>
                </c:pt>
                <c:pt idx="87">
                  <c:v>6.8043469999999999</c:v>
                </c:pt>
                <c:pt idx="88">
                  <c:v>8.6375419999999998</c:v>
                </c:pt>
                <c:pt idx="89">
                  <c:v>7.7253530000000001</c:v>
                </c:pt>
                <c:pt idx="91">
                  <c:v>10.51473</c:v>
                </c:pt>
                <c:pt idx="92">
                  <c:v>8.4316669999999991</c:v>
                </c:pt>
                <c:pt idx="93">
                  <c:v>8.8021550000000008</c:v>
                </c:pt>
                <c:pt idx="94">
                  <c:v>9.4936589999999992</c:v>
                </c:pt>
                <c:pt idx="95">
                  <c:v>7.9096700000000002</c:v>
                </c:pt>
                <c:pt idx="98">
                  <c:v>7.3682650000000001</c:v>
                </c:pt>
                <c:pt idx="99">
                  <c:v>10.81213</c:v>
                </c:pt>
                <c:pt idx="100">
                  <c:v>8.2641690000000008</c:v>
                </c:pt>
                <c:pt idx="101">
                  <c:v>7.7031049999999999</c:v>
                </c:pt>
                <c:pt idx="102">
                  <c:v>7.6170150000000003</c:v>
                </c:pt>
                <c:pt idx="103">
                  <c:v>7.5596439999999996</c:v>
                </c:pt>
                <c:pt idx="106">
                  <c:v>9.4503369999999993</c:v>
                </c:pt>
                <c:pt idx="107">
                  <c:v>7.583062</c:v>
                </c:pt>
                <c:pt idx="108">
                  <c:v>8.0163899999999995</c:v>
                </c:pt>
                <c:pt idx="109">
                  <c:v>9.6723510000000008</c:v>
                </c:pt>
                <c:pt idx="110">
                  <c:v>8.9759879999999992</c:v>
                </c:pt>
                <c:pt idx="112">
                  <c:v>10.134880000000001</c:v>
                </c:pt>
                <c:pt idx="115">
                  <c:v>7.6372140000000002</c:v>
                </c:pt>
                <c:pt idx="116">
                  <c:v>7.1983319999999997</c:v>
                </c:pt>
                <c:pt idx="117">
                  <c:v>7.8505079999999996</c:v>
                </c:pt>
                <c:pt idx="118">
                  <c:v>9.5998049999999999</c:v>
                </c:pt>
                <c:pt idx="119">
                  <c:v>7.6471739999999997</c:v>
                </c:pt>
                <c:pt idx="120">
                  <c:v>8.5114800000000006</c:v>
                </c:pt>
                <c:pt idx="121">
                  <c:v>8.186515</c:v>
                </c:pt>
                <c:pt idx="122">
                  <c:v>7.7920220000000002</c:v>
                </c:pt>
                <c:pt idx="123">
                  <c:v>7.43215</c:v>
                </c:pt>
                <c:pt idx="124">
                  <c:v>9.0165509999999998</c:v>
                </c:pt>
                <c:pt idx="125">
                  <c:v>8.5786409999999993</c:v>
                </c:pt>
                <c:pt idx="126">
                  <c:v>9.2340660000000003</c:v>
                </c:pt>
                <c:pt idx="128">
                  <c:v>7.9694339999999997</c:v>
                </c:pt>
                <c:pt idx="129">
                  <c:v>8.6168479999999992</c:v>
                </c:pt>
                <c:pt idx="130">
                  <c:v>8.2061209999999996</c:v>
                </c:pt>
                <c:pt idx="131">
                  <c:v>9.4283699999999993</c:v>
                </c:pt>
                <c:pt idx="132">
                  <c:v>6.5666960000000003</c:v>
                </c:pt>
                <c:pt idx="133">
                  <c:v>8.1948419999999995</c:v>
                </c:pt>
                <c:pt idx="134">
                  <c:v>7.4437480000000003</c:v>
                </c:pt>
              </c:numCache>
            </c:numRef>
          </c:xVal>
          <c:yVal>
            <c:numRef>
              <c:f>'F5.3'!$M$50:$M$184</c:f>
              <c:numCache>
                <c:formatCode>General</c:formatCode>
                <c:ptCount val="135"/>
                <c:pt idx="4">
                  <c:v>7.0987629999999999</c:v>
                </c:pt>
                <c:pt idx="6">
                  <c:v>7.5792840000000004</c:v>
                </c:pt>
                <c:pt idx="8">
                  <c:v>5.4467319999999999</c:v>
                </c:pt>
                <c:pt idx="9">
                  <c:v>5.6201600000000003</c:v>
                </c:pt>
                <c:pt idx="10">
                  <c:v>5.5503340000000003</c:v>
                </c:pt>
                <c:pt idx="11">
                  <c:v>5.6777730000000002</c:v>
                </c:pt>
                <c:pt idx="16">
                  <c:v>7.4744820000000001</c:v>
                </c:pt>
                <c:pt idx="17">
                  <c:v>8.7903839999999995</c:v>
                </c:pt>
                <c:pt idx="18">
                  <c:v>8.0949969999999993</c:v>
                </c:pt>
                <c:pt idx="19">
                  <c:v>9.0411859999999997</c:v>
                </c:pt>
                <c:pt idx="20">
                  <c:v>7.8900499999999996</c:v>
                </c:pt>
                <c:pt idx="22">
                  <c:v>4.912801</c:v>
                </c:pt>
                <c:pt idx="25">
                  <c:v>6.7947600000000001</c:v>
                </c:pt>
                <c:pt idx="26">
                  <c:v>6.2816450000000001</c:v>
                </c:pt>
                <c:pt idx="29">
                  <c:v>6.952915</c:v>
                </c:pt>
                <c:pt idx="30">
                  <c:v>9.1521270000000001</c:v>
                </c:pt>
                <c:pt idx="33">
                  <c:v>9.4439539999999997</c:v>
                </c:pt>
                <c:pt idx="35">
                  <c:v>7.3143190000000002</c:v>
                </c:pt>
                <c:pt idx="38">
                  <c:v>5.7410439999999996</c:v>
                </c:pt>
                <c:pt idx="39">
                  <c:v>6.059488</c:v>
                </c:pt>
                <c:pt idx="43">
                  <c:v>7.1589510000000001</c:v>
                </c:pt>
                <c:pt idx="45">
                  <c:v>4.8076999999999996</c:v>
                </c:pt>
                <c:pt idx="46">
                  <c:v>5.3682080000000001</c:v>
                </c:pt>
                <c:pt idx="53">
                  <c:v>6.5888460000000002</c:v>
                </c:pt>
                <c:pt idx="54">
                  <c:v>7.8521710000000002</c:v>
                </c:pt>
                <c:pt idx="56">
                  <c:v>8.4788859999999993</c:v>
                </c:pt>
                <c:pt idx="58">
                  <c:v>6.9753879999999997</c:v>
                </c:pt>
                <c:pt idx="62">
                  <c:v>9.6843529999999998</c:v>
                </c:pt>
                <c:pt idx="66">
                  <c:v>7.9317529999999996</c:v>
                </c:pt>
                <c:pt idx="68">
                  <c:v>6.4997319999999998</c:v>
                </c:pt>
                <c:pt idx="71">
                  <c:v>7.8322000000000003</c:v>
                </c:pt>
                <c:pt idx="73">
                  <c:v>4.7648270000000004</c:v>
                </c:pt>
                <c:pt idx="76">
                  <c:v>6.0444740000000001</c:v>
                </c:pt>
                <c:pt idx="78">
                  <c:v>7.0567929999999999</c:v>
                </c:pt>
                <c:pt idx="80">
                  <c:v>6.6053740000000003</c:v>
                </c:pt>
                <c:pt idx="81">
                  <c:v>6.4643329999999999</c:v>
                </c:pt>
                <c:pt idx="82">
                  <c:v>8.5964340000000004</c:v>
                </c:pt>
                <c:pt idx="83">
                  <c:v>5.4629640000000004</c:v>
                </c:pt>
                <c:pt idx="84">
                  <c:v>8.5924359999999993</c:v>
                </c:pt>
                <c:pt idx="87">
                  <c:v>6.5320929999999997</c:v>
                </c:pt>
                <c:pt idx="89">
                  <c:v>5.7962049999999996</c:v>
                </c:pt>
                <c:pt idx="91">
                  <c:v>9.0615389999999998</c:v>
                </c:pt>
                <c:pt idx="92">
                  <c:v>6.4153589999999996</c:v>
                </c:pt>
                <c:pt idx="98">
                  <c:v>6.3778569999999997</c:v>
                </c:pt>
                <c:pt idx="101">
                  <c:v>6.4309770000000004</c:v>
                </c:pt>
                <c:pt idx="103">
                  <c:v>5.0128579999999996</c:v>
                </c:pt>
                <c:pt idx="104">
                  <c:v>8.9211379999999991</c:v>
                </c:pt>
                <c:pt idx="106">
                  <c:v>7.4033990000000003</c:v>
                </c:pt>
                <c:pt idx="108">
                  <c:v>5.5895029999999997</c:v>
                </c:pt>
                <c:pt idx="110">
                  <c:v>8.0696580000000004</c:v>
                </c:pt>
                <c:pt idx="112">
                  <c:v>7.3278290000000004</c:v>
                </c:pt>
                <c:pt idx="115">
                  <c:v>5.9811160000000001</c:v>
                </c:pt>
                <c:pt idx="116">
                  <c:v>5.2798930000000004</c:v>
                </c:pt>
                <c:pt idx="119">
                  <c:v>6.2528649999999999</c:v>
                </c:pt>
                <c:pt idx="122">
                  <c:v>5.4978410000000002</c:v>
                </c:pt>
                <c:pt idx="123">
                  <c:v>5.7443540000000004</c:v>
                </c:pt>
                <c:pt idx="124">
                  <c:v>7.8720340000000002</c:v>
                </c:pt>
                <c:pt idx="126">
                  <c:v>7.7651450000000004</c:v>
                </c:pt>
                <c:pt idx="130">
                  <c:v>6.1227119999999999</c:v>
                </c:pt>
                <c:pt idx="131">
                  <c:v>7.8513960000000003</c:v>
                </c:pt>
                <c:pt idx="132">
                  <c:v>3.7067299999999999</c:v>
                </c:pt>
              </c:numCache>
            </c:numRef>
          </c:yVal>
          <c:smooth val="0"/>
          <c:extLst>
            <c:ext xmlns:c16="http://schemas.microsoft.com/office/drawing/2014/chart" uri="{C3380CC4-5D6E-409C-BE32-E72D297353CC}">
              <c16:uniqueId val="{00000002-5503-4BEE-A3F4-956CCB7E6109}"/>
            </c:ext>
          </c:extLst>
        </c:ser>
        <c:ser>
          <c:idx val="2"/>
          <c:order val="2"/>
          <c:tx>
            <c:v>Non-OECD1</c:v>
          </c:tx>
          <c:spPr>
            <a:ln w="28575">
              <a:noFill/>
            </a:ln>
          </c:spPr>
          <c:marker>
            <c:symbol val="triangle"/>
            <c:size val="5"/>
            <c:spPr>
              <a:solidFill>
                <a:schemeClr val="bg1"/>
              </a:solidFill>
              <a:ln w="15875">
                <a:solidFill>
                  <a:srgbClr val="C00000"/>
                </a:solidFill>
              </a:ln>
            </c:spPr>
          </c:marker>
          <c:xVal>
            <c:numRef>
              <c:f>'F5.3'!$R$50:$R$61</c:f>
              <c:numCache>
                <c:formatCode>General</c:formatCode>
                <c:ptCount val="12"/>
                <c:pt idx="0">
                  <c:v>9.2224699999999995</c:v>
                </c:pt>
                <c:pt idx="1">
                  <c:v>9.5144300000000008</c:v>
                </c:pt>
                <c:pt idx="2">
                  <c:v>9.0767129999999998</c:v>
                </c:pt>
                <c:pt idx="3">
                  <c:v>9.2134680000000007</c:v>
                </c:pt>
                <c:pt idx="4">
                  <c:v>9.2342560000000002</c:v>
                </c:pt>
                <c:pt idx="5">
                  <c:v>9.5083549999999999</c:v>
                </c:pt>
                <c:pt idx="6">
                  <c:v>8.4685570000000006</c:v>
                </c:pt>
                <c:pt idx="7">
                  <c:v>9.4166629999999998</c:v>
                </c:pt>
                <c:pt idx="8">
                  <c:v>9.584244</c:v>
                </c:pt>
                <c:pt idx="9">
                  <c:v>11.80893</c:v>
                </c:pt>
                <c:pt idx="10">
                  <c:v>9.6142020000000006</c:v>
                </c:pt>
                <c:pt idx="11">
                  <c:v>9.2825330000000008</c:v>
                </c:pt>
              </c:numCache>
            </c:numRef>
          </c:xVal>
          <c:yVal>
            <c:numRef>
              <c:f>'F5.3'!$S$50:$S$61</c:f>
              <c:numCache>
                <c:formatCode>General</c:formatCode>
                <c:ptCount val="12"/>
                <c:pt idx="0">
                  <c:v>6.3569019999999998</c:v>
                </c:pt>
                <c:pt idx="3">
                  <c:v>6.953379</c:v>
                </c:pt>
                <c:pt idx="4">
                  <c:v>7.4389029999999998</c:v>
                </c:pt>
                <c:pt idx="5">
                  <c:v>6.7760280000000002</c:v>
                </c:pt>
                <c:pt idx="6">
                  <c:v>7.5645670000000003</c:v>
                </c:pt>
                <c:pt idx="9">
                  <c:v>9.4108409999999996</c:v>
                </c:pt>
                <c:pt idx="10">
                  <c:v>7.9198930000000001</c:v>
                </c:pt>
              </c:numCache>
            </c:numRef>
          </c:yVal>
          <c:smooth val="0"/>
          <c:extLst>
            <c:ext xmlns:c16="http://schemas.microsoft.com/office/drawing/2014/chart" uri="{C3380CC4-5D6E-409C-BE32-E72D297353CC}">
              <c16:uniqueId val="{00000003-5503-4BEE-A3F4-956CCB7E6109}"/>
            </c:ext>
          </c:extLst>
        </c:ser>
        <c:ser>
          <c:idx val="3"/>
          <c:order val="3"/>
          <c:tx>
            <c:v>Non-OECD2</c:v>
          </c:tx>
          <c:spPr>
            <a:ln w="28575">
              <a:noFill/>
            </a:ln>
          </c:spPr>
          <c:marker>
            <c:symbol val="triangle"/>
            <c:size val="5"/>
            <c:spPr>
              <a:noFill/>
              <a:ln w="15875">
                <a:solidFill>
                  <a:srgbClr val="0070C0"/>
                </a:solidFill>
              </a:ln>
            </c:spPr>
          </c:marker>
          <c:xVal>
            <c:numRef>
              <c:f>'F5.3'!$X$50:$X$56</c:f>
              <c:numCache>
                <c:formatCode>General</c:formatCode>
                <c:ptCount val="7"/>
                <c:pt idx="0">
                  <c:v>11.075390000000001</c:v>
                </c:pt>
                <c:pt idx="1">
                  <c:v>9.7027809999999999</c:v>
                </c:pt>
                <c:pt idx="2">
                  <c:v>9.9051419999999997</c:v>
                </c:pt>
                <c:pt idx="3">
                  <c:v>10.1576</c:v>
                </c:pt>
                <c:pt idx="4">
                  <c:v>10.268879999999999</c:v>
                </c:pt>
                <c:pt idx="5">
                  <c:v>9.8592180000000003</c:v>
                </c:pt>
                <c:pt idx="6">
                  <c:v>10.12157</c:v>
                </c:pt>
              </c:numCache>
            </c:numRef>
          </c:xVal>
          <c:yVal>
            <c:numRef>
              <c:f>'F5.3'!$Y$50:$Y$56</c:f>
              <c:numCache>
                <c:formatCode>General</c:formatCode>
                <c:ptCount val="7"/>
                <c:pt idx="0">
                  <c:v>9.292999</c:v>
                </c:pt>
                <c:pt idx="1">
                  <c:v>8.0691400000000009</c:v>
                </c:pt>
                <c:pt idx="3">
                  <c:v>8.4048250000000007</c:v>
                </c:pt>
                <c:pt idx="4">
                  <c:v>9.3717620000000004</c:v>
                </c:pt>
                <c:pt idx="5">
                  <c:v>7.8529450000000001</c:v>
                </c:pt>
              </c:numCache>
            </c:numRef>
          </c:yVal>
          <c:smooth val="0"/>
          <c:extLst>
            <c:ext xmlns:c16="http://schemas.microsoft.com/office/drawing/2014/chart" uri="{C3380CC4-5D6E-409C-BE32-E72D297353CC}">
              <c16:uniqueId val="{00000004-5503-4BEE-A3F4-956CCB7E6109}"/>
            </c:ext>
          </c:extLst>
        </c:ser>
        <c:ser>
          <c:idx val="4"/>
          <c:order val="4"/>
          <c:tx>
            <c:v>Non-OECD3</c:v>
          </c:tx>
          <c:spPr>
            <a:ln w="28575">
              <a:noFill/>
            </a:ln>
          </c:spPr>
          <c:marker>
            <c:symbol val="triangle"/>
            <c:size val="5"/>
            <c:spPr>
              <a:noFill/>
              <a:ln w="15875">
                <a:solidFill>
                  <a:srgbClr val="009644"/>
                </a:solidFill>
              </a:ln>
            </c:spPr>
          </c:marker>
          <c:xVal>
            <c:numRef>
              <c:f>'F5.3'!$AD$50:$AD$52</c:f>
              <c:numCache>
                <c:formatCode>General</c:formatCode>
                <c:ptCount val="3"/>
                <c:pt idx="0">
                  <c:v>10.870649999999999</c:v>
                </c:pt>
                <c:pt idx="1">
                  <c:v>11.28415</c:v>
                </c:pt>
                <c:pt idx="2">
                  <c:v>8.5886220000000009</c:v>
                </c:pt>
              </c:numCache>
            </c:numRef>
          </c:xVal>
          <c:yVal>
            <c:numRef>
              <c:f>'F5.3'!$AE$50:$AE$52</c:f>
              <c:numCache>
                <c:formatCode>General</c:formatCode>
                <c:ptCount val="3"/>
                <c:pt idx="0">
                  <c:v>9.2412469999999995</c:v>
                </c:pt>
                <c:pt idx="1">
                  <c:v>9.2378040000000006</c:v>
                </c:pt>
              </c:numCache>
            </c:numRef>
          </c:yVal>
          <c:smooth val="0"/>
          <c:extLst>
            <c:ext xmlns:c16="http://schemas.microsoft.com/office/drawing/2014/chart" uri="{C3380CC4-5D6E-409C-BE32-E72D297353CC}">
              <c16:uniqueId val="{00000005-5503-4BEE-A3F4-956CCB7E6109}"/>
            </c:ext>
          </c:extLst>
        </c:ser>
        <c:ser>
          <c:idx val="5"/>
          <c:order val="5"/>
          <c:tx>
            <c:v>Latin America and the Caribbean</c:v>
          </c:tx>
          <c:spPr>
            <a:ln w="28575">
              <a:noFill/>
            </a:ln>
          </c:spPr>
          <c:marker>
            <c:symbol val="circle"/>
            <c:size val="5"/>
            <c:spPr>
              <a:solidFill>
                <a:schemeClr val="bg1">
                  <a:lumMod val="50000"/>
                </a:schemeClr>
              </a:solidFill>
              <a:ln>
                <a:solidFill>
                  <a:schemeClr val="bg1">
                    <a:lumMod val="50000"/>
                  </a:schemeClr>
                </a:solidFill>
              </a:ln>
            </c:spPr>
          </c:marker>
          <c:xVal>
            <c:numRef>
              <c:f>'F5.3'!$AJ$50:$AJ$62</c:f>
              <c:numCache>
                <c:formatCode>General</c:formatCode>
                <c:ptCount val="13"/>
                <c:pt idx="1">
                  <c:v>8.7522640000000003</c:v>
                </c:pt>
                <c:pt idx="2">
                  <c:v>9.2918109999999992</c:v>
                </c:pt>
                <c:pt idx="3">
                  <c:v>8.8687500000000004</c:v>
                </c:pt>
                <c:pt idx="4">
                  <c:v>8.8373849999999994</c:v>
                </c:pt>
                <c:pt idx="5">
                  <c:v>8.4516930000000006</c:v>
                </c:pt>
                <c:pt idx="6">
                  <c:v>7.4103009999999996</c:v>
                </c:pt>
                <c:pt idx="7">
                  <c:v>9.0442330000000002</c:v>
                </c:pt>
                <c:pt idx="8">
                  <c:v>8.4569010000000002</c:v>
                </c:pt>
                <c:pt idx="9">
                  <c:v>9.9064399999999999</c:v>
                </c:pt>
                <c:pt idx="10">
                  <c:v>9.0480129999999992</c:v>
                </c:pt>
                <c:pt idx="11">
                  <c:v>8.9779020000000003</c:v>
                </c:pt>
                <c:pt idx="12">
                  <c:v>9.7273060000000005</c:v>
                </c:pt>
              </c:numCache>
            </c:numRef>
          </c:xVal>
          <c:yVal>
            <c:numRef>
              <c:f>'F5.3'!$AK$50:$AK$62</c:f>
              <c:numCache>
                <c:formatCode>General</c:formatCode>
                <c:ptCount val="13"/>
                <c:pt idx="0">
                  <c:v>8.3166329999999995</c:v>
                </c:pt>
                <c:pt idx="1">
                  <c:v>7.111675</c:v>
                </c:pt>
                <c:pt idx="2">
                  <c:v>6.569566</c:v>
                </c:pt>
                <c:pt idx="3">
                  <c:v>5.9808620000000001</c:v>
                </c:pt>
                <c:pt idx="4">
                  <c:v>6.4064579999999998</c:v>
                </c:pt>
                <c:pt idx="5">
                  <c:v>6.7614580000000002</c:v>
                </c:pt>
                <c:pt idx="7">
                  <c:v>7.6013979999999997</c:v>
                </c:pt>
                <c:pt idx="8">
                  <c:v>5.6669159999999996</c:v>
                </c:pt>
                <c:pt idx="9">
                  <c:v>7.3594119999999998</c:v>
                </c:pt>
                <c:pt idx="10">
                  <c:v>7.1165450000000003</c:v>
                </c:pt>
                <c:pt idx="11">
                  <c:v>6.6866779999999997</c:v>
                </c:pt>
                <c:pt idx="12">
                  <c:v>7.9163160000000001</c:v>
                </c:pt>
              </c:numCache>
            </c:numRef>
          </c:yVal>
          <c:smooth val="0"/>
          <c:extLst>
            <c:ext xmlns:c16="http://schemas.microsoft.com/office/drawing/2014/chart" uri="{C3380CC4-5D6E-409C-BE32-E72D297353CC}">
              <c16:uniqueId val="{00000006-5503-4BEE-A3F4-956CCB7E6109}"/>
            </c:ext>
          </c:extLst>
        </c:ser>
        <c:ser>
          <c:idx val="6"/>
          <c:order val="6"/>
          <c:tx>
            <c:v>LAC1</c:v>
          </c:tx>
          <c:spPr>
            <a:ln w="28575">
              <a:noFill/>
            </a:ln>
          </c:spPr>
          <c:marker>
            <c:symbol val="circle"/>
            <c:size val="5"/>
            <c:spPr>
              <a:solidFill>
                <a:srgbClr val="C00000"/>
              </a:solidFill>
              <a:ln>
                <a:solidFill>
                  <a:srgbClr val="C00000"/>
                </a:solidFill>
              </a:ln>
            </c:spPr>
          </c:marker>
          <c:xVal>
            <c:numRef>
              <c:f>'F5.3'!$AP$50:$AP$58</c:f>
              <c:numCache>
                <c:formatCode>General</c:formatCode>
                <c:ptCount val="9"/>
                <c:pt idx="0">
                  <c:v>9.6265750000000008</c:v>
                </c:pt>
                <c:pt idx="1">
                  <c:v>9.9953090000000007</c:v>
                </c:pt>
                <c:pt idx="2">
                  <c:v>9.4505490000000005</c:v>
                </c:pt>
                <c:pt idx="3">
                  <c:v>9.5632610000000007</c:v>
                </c:pt>
                <c:pt idx="4">
                  <c:v>9.4456120000000006</c:v>
                </c:pt>
                <c:pt idx="5">
                  <c:v>9.6990110000000005</c:v>
                </c:pt>
                <c:pt idx="6">
                  <c:v>9.3458550000000002</c:v>
                </c:pt>
                <c:pt idx="7">
                  <c:v>10.325390000000001</c:v>
                </c:pt>
                <c:pt idx="8">
                  <c:v>9.8948370000000008</c:v>
                </c:pt>
              </c:numCache>
            </c:numRef>
          </c:xVal>
          <c:yVal>
            <c:numRef>
              <c:f>'F5.3'!$AQ$50:$AQ$58</c:f>
              <c:numCache>
                <c:formatCode>General</c:formatCode>
                <c:ptCount val="9"/>
                <c:pt idx="0">
                  <c:v>8.1645129999999995</c:v>
                </c:pt>
                <c:pt idx="1">
                  <c:v>8.107837</c:v>
                </c:pt>
                <c:pt idx="2">
                  <c:v>7.7474509999999999</c:v>
                </c:pt>
                <c:pt idx="3">
                  <c:v>8.1931969999999996</c:v>
                </c:pt>
                <c:pt idx="4">
                  <c:v>7.5565309999999997</c:v>
                </c:pt>
                <c:pt idx="5">
                  <c:v>7.8351620000000004</c:v>
                </c:pt>
                <c:pt idx="6">
                  <c:v>7.3551229999999999</c:v>
                </c:pt>
              </c:numCache>
            </c:numRef>
          </c:yVal>
          <c:smooth val="0"/>
          <c:extLst>
            <c:ext xmlns:c16="http://schemas.microsoft.com/office/drawing/2014/chart" uri="{C3380CC4-5D6E-409C-BE32-E72D297353CC}">
              <c16:uniqueId val="{00000007-5503-4BEE-A3F4-956CCB7E6109}"/>
            </c:ext>
          </c:extLst>
        </c:ser>
        <c:ser>
          <c:idx val="7"/>
          <c:order val="7"/>
          <c:tx>
            <c:v>OECD</c:v>
          </c:tx>
          <c:spPr>
            <a:ln w="28575">
              <a:noFill/>
            </a:ln>
          </c:spPr>
          <c:marker>
            <c:symbol val="square"/>
            <c:size val="5"/>
            <c:spPr>
              <a:noFill/>
              <a:ln w="15875">
                <a:solidFill>
                  <a:schemeClr val="bg1">
                    <a:lumMod val="65000"/>
                  </a:schemeClr>
                </a:solidFill>
              </a:ln>
            </c:spPr>
          </c:marker>
          <c:xVal>
            <c:numRef>
              <c:f>'F5.3'!$AV$50</c:f>
              <c:numCache>
                <c:formatCode>General</c:formatCode>
                <c:ptCount val="1"/>
                <c:pt idx="0">
                  <c:v>10.67516</c:v>
                </c:pt>
              </c:numCache>
            </c:numRef>
          </c:xVal>
          <c:yVal>
            <c:numRef>
              <c:f>'F5.3'!$AW$50</c:f>
              <c:numCache>
                <c:formatCode>General</c:formatCode>
                <c:ptCount val="1"/>
                <c:pt idx="0">
                  <c:v>8.8985050000000001</c:v>
                </c:pt>
              </c:numCache>
            </c:numRef>
          </c:yVal>
          <c:smooth val="0"/>
          <c:extLst>
            <c:ext xmlns:c16="http://schemas.microsoft.com/office/drawing/2014/chart" uri="{C3380CC4-5D6E-409C-BE32-E72D297353CC}">
              <c16:uniqueId val="{00000008-5503-4BEE-A3F4-956CCB7E6109}"/>
            </c:ext>
          </c:extLst>
        </c:ser>
        <c:ser>
          <c:idx val="8"/>
          <c:order val="8"/>
          <c:tx>
            <c:v>OECD2</c:v>
          </c:tx>
          <c:spPr>
            <a:ln w="28575">
              <a:noFill/>
            </a:ln>
          </c:spPr>
          <c:marker>
            <c:symbol val="square"/>
            <c:size val="5"/>
            <c:spPr>
              <a:noFill/>
              <a:ln w="15875">
                <a:solidFill>
                  <a:srgbClr val="0070C0"/>
                </a:solidFill>
              </a:ln>
            </c:spPr>
          </c:marker>
          <c:xVal>
            <c:numRef>
              <c:f>'F5.3'!$AV$50:$AV$65</c:f>
              <c:numCache>
                <c:formatCode>General</c:formatCode>
                <c:ptCount val="16"/>
                <c:pt idx="0">
                  <c:v>10.67516</c:v>
                </c:pt>
                <c:pt idx="1">
                  <c:v>10.263769999999999</c:v>
                </c:pt>
                <c:pt idx="2">
                  <c:v>10.365640000000001</c:v>
                </c:pt>
                <c:pt idx="3">
                  <c:v>10.520099999999999</c:v>
                </c:pt>
                <c:pt idx="4">
                  <c:v>10.54757</c:v>
                </c:pt>
                <c:pt idx="5">
                  <c:v>10.107189999999999</c:v>
                </c:pt>
                <c:pt idx="6">
                  <c:v>10.074210000000001</c:v>
                </c:pt>
                <c:pt idx="7">
                  <c:v>10.627700000000001</c:v>
                </c:pt>
                <c:pt idx="8">
                  <c:v>10.358420000000001</c:v>
                </c:pt>
                <c:pt idx="9">
                  <c:v>10.414540000000001</c:v>
                </c:pt>
                <c:pt idx="10">
                  <c:v>11.422650000000001</c:v>
                </c:pt>
                <c:pt idx="11">
                  <c:v>10.000540000000001</c:v>
                </c:pt>
                <c:pt idx="12">
                  <c:v>10.172549999999999</c:v>
                </c:pt>
                <c:pt idx="13">
                  <c:v>10.183759999999999</c:v>
                </c:pt>
                <c:pt idx="14">
                  <c:v>10.691409999999999</c:v>
                </c:pt>
                <c:pt idx="15">
                  <c:v>10.85338</c:v>
                </c:pt>
              </c:numCache>
            </c:numRef>
          </c:xVal>
          <c:yVal>
            <c:numRef>
              <c:f>'F5.3'!$AW$50:$AW$65</c:f>
              <c:numCache>
                <c:formatCode>General</c:formatCode>
                <c:ptCount val="16"/>
                <c:pt idx="0">
                  <c:v>8.8985050000000001</c:v>
                </c:pt>
                <c:pt idx="1">
                  <c:v>8.8915620000000004</c:v>
                </c:pt>
                <c:pt idx="2">
                  <c:v>8.8968380000000007</c:v>
                </c:pt>
                <c:pt idx="3">
                  <c:v>9.2119079999999993</c:v>
                </c:pt>
                <c:pt idx="4">
                  <c:v>9.0378699999999998</c:v>
                </c:pt>
                <c:pt idx="6">
                  <c:v>8.3977620000000002</c:v>
                </c:pt>
                <c:pt idx="7">
                  <c:v>8.989395</c:v>
                </c:pt>
                <c:pt idx="8">
                  <c:v>8.5720480000000006</c:v>
                </c:pt>
                <c:pt idx="9">
                  <c:v>9.0006590000000006</c:v>
                </c:pt>
                <c:pt idx="10">
                  <c:v>9.7101889999999997</c:v>
                </c:pt>
                <c:pt idx="11">
                  <c:v>8.6346849999999993</c:v>
                </c:pt>
                <c:pt idx="12">
                  <c:v>9.0790679999999995</c:v>
                </c:pt>
                <c:pt idx="13">
                  <c:v>8.5641700000000007</c:v>
                </c:pt>
                <c:pt idx="14">
                  <c:v>9.3044790000000006</c:v>
                </c:pt>
                <c:pt idx="15">
                  <c:v>9.3376160000000006</c:v>
                </c:pt>
              </c:numCache>
            </c:numRef>
          </c:yVal>
          <c:smooth val="0"/>
          <c:extLst>
            <c:ext xmlns:c16="http://schemas.microsoft.com/office/drawing/2014/chart" uri="{C3380CC4-5D6E-409C-BE32-E72D297353CC}">
              <c16:uniqueId val="{00000009-5503-4BEE-A3F4-956CCB7E6109}"/>
            </c:ext>
          </c:extLst>
        </c:ser>
        <c:ser>
          <c:idx val="9"/>
          <c:order val="9"/>
          <c:tx>
            <c:v>OECD3</c:v>
          </c:tx>
          <c:spPr>
            <a:ln w="28575">
              <a:noFill/>
            </a:ln>
          </c:spPr>
          <c:marker>
            <c:symbol val="square"/>
            <c:size val="5"/>
            <c:spPr>
              <a:noFill/>
              <a:ln w="15875">
                <a:solidFill>
                  <a:srgbClr val="009644"/>
                </a:solidFill>
              </a:ln>
            </c:spPr>
          </c:marker>
          <c:xVal>
            <c:numRef>
              <c:f>'F5.3'!$BB$50:$BB$65</c:f>
              <c:numCache>
                <c:formatCode>General</c:formatCode>
                <c:ptCount val="16"/>
                <c:pt idx="0">
                  <c:v>10.689019999999999</c:v>
                </c:pt>
                <c:pt idx="1">
                  <c:v>10.61589</c:v>
                </c:pt>
                <c:pt idx="2">
                  <c:v>10.66432</c:v>
                </c:pt>
                <c:pt idx="3">
                  <c:v>10.92</c:v>
                </c:pt>
                <c:pt idx="4">
                  <c:v>10.68172</c:v>
                </c:pt>
                <c:pt idx="5">
                  <c:v>10.672599999999999</c:v>
                </c:pt>
                <c:pt idx="6">
                  <c:v>10.188420000000001</c:v>
                </c:pt>
                <c:pt idx="7">
                  <c:v>10.560420000000001</c:v>
                </c:pt>
                <c:pt idx="8">
                  <c:v>10.78692</c:v>
                </c:pt>
                <c:pt idx="9">
                  <c:v>10.47974</c:v>
                </c:pt>
                <c:pt idx="10">
                  <c:v>10.42346</c:v>
                </c:pt>
                <c:pt idx="11">
                  <c:v>10.72902</c:v>
                </c:pt>
                <c:pt idx="12">
                  <c:v>11.06916</c:v>
                </c:pt>
                <c:pt idx="13">
                  <c:v>10.44181</c:v>
                </c:pt>
                <c:pt idx="14">
                  <c:v>10.083880000000001</c:v>
                </c:pt>
                <c:pt idx="15">
                  <c:v>10.24553</c:v>
                </c:pt>
              </c:numCache>
            </c:numRef>
          </c:xVal>
          <c:yVal>
            <c:numRef>
              <c:f>'F5.3'!$BC$50:$BC$65</c:f>
              <c:numCache>
                <c:formatCode>General</c:formatCode>
                <c:ptCount val="16"/>
                <c:pt idx="0">
                  <c:v>9.4268839999999994</c:v>
                </c:pt>
                <c:pt idx="1">
                  <c:v>9.6778169999999992</c:v>
                </c:pt>
                <c:pt idx="2">
                  <c:v>8.9009549999999997</c:v>
                </c:pt>
                <c:pt idx="3">
                  <c:v>9.5865969999999994</c:v>
                </c:pt>
                <c:pt idx="4">
                  <c:v>9.2214299999999998</c:v>
                </c:pt>
                <c:pt idx="5">
                  <c:v>9.4535389999999992</c:v>
                </c:pt>
                <c:pt idx="6">
                  <c:v>8.809984</c:v>
                </c:pt>
                <c:pt idx="7">
                  <c:v>8.3748509999999996</c:v>
                </c:pt>
                <c:pt idx="8">
                  <c:v>9.3838819999999998</c:v>
                </c:pt>
                <c:pt idx="9">
                  <c:v>9.1201340000000002</c:v>
                </c:pt>
                <c:pt idx="10">
                  <c:v>8.9370469999999997</c:v>
                </c:pt>
                <c:pt idx="11">
                  <c:v>9.3416040000000002</c:v>
                </c:pt>
                <c:pt idx="12">
                  <c:v>9.6913459999999993</c:v>
                </c:pt>
                <c:pt idx="13">
                  <c:v>8.9661880000000007</c:v>
                </c:pt>
                <c:pt idx="14">
                  <c:v>8.6233889999999995</c:v>
                </c:pt>
                <c:pt idx="15">
                  <c:v>9.0804410000000004</c:v>
                </c:pt>
              </c:numCache>
            </c:numRef>
          </c:yVal>
          <c:smooth val="0"/>
          <c:extLst>
            <c:ext xmlns:c16="http://schemas.microsoft.com/office/drawing/2014/chart" uri="{C3380CC4-5D6E-409C-BE32-E72D297353CC}">
              <c16:uniqueId val="{0000000A-5503-4BEE-A3F4-956CCB7E6109}"/>
            </c:ext>
          </c:extLst>
        </c:ser>
        <c:ser>
          <c:idx val="10"/>
          <c:order val="10"/>
          <c:tx>
            <c:strRef>
              <c:f>'F5.3'!$E$34</c:f>
              <c:strCache>
                <c:ptCount val="1"/>
                <c:pt idx="0">
                  <c:v>Panama</c:v>
                </c:pt>
              </c:strCache>
            </c:strRef>
          </c:tx>
          <c:spPr>
            <a:ln w="28575">
              <a:noFill/>
            </a:ln>
          </c:spPr>
          <c:marker>
            <c:symbol val="circle"/>
            <c:size val="5"/>
            <c:spPr>
              <a:solidFill>
                <a:srgbClr val="C00000"/>
              </a:solidFill>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'F5.3'!$G$34</c:f>
              <c:numCache>
                <c:formatCode>0.00</c:formatCode>
                <c:ptCount val="1"/>
                <c:pt idx="0">
                  <c:v>9.9064399999999999</c:v>
                </c:pt>
              </c:numCache>
            </c:numRef>
          </c:xVal>
          <c:yVal>
            <c:numRef>
              <c:f>'F5.3'!$I$34</c:f>
              <c:numCache>
                <c:formatCode>0.00</c:formatCode>
                <c:ptCount val="1"/>
                <c:pt idx="0">
                  <c:v>7.3594119999999998</c:v>
                </c:pt>
              </c:numCache>
            </c:numRef>
          </c:yVal>
          <c:smooth val="0"/>
          <c:extLst>
            <c:ext xmlns:c16="http://schemas.microsoft.com/office/drawing/2014/chart" uri="{C3380CC4-5D6E-409C-BE32-E72D297353CC}">
              <c16:uniqueId val="{00000001-3FDF-41C9-8AA8-35D7D171D032}"/>
            </c:ext>
          </c:extLst>
        </c:ser>
        <c:dLbls>
          <c:showLegendKey val="0"/>
          <c:showVal val="0"/>
          <c:showCatName val="0"/>
          <c:showSerName val="0"/>
          <c:showPercent val="0"/>
          <c:showBubbleSize val="0"/>
        </c:dLbls>
        <c:axId val="265620480"/>
        <c:axId val="265643136"/>
      </c:scatterChart>
      <c:valAx>
        <c:axId val="265620480"/>
        <c:scaling>
          <c:orientation val="minMax"/>
          <c:max val="12"/>
          <c:min val="6"/>
        </c:scaling>
        <c:delete val="0"/>
        <c:axPos val="b"/>
        <c:title>
          <c:tx>
            <c:rich>
              <a:bodyPr/>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Log GDP per Capita PPP (Constant 2011 International $)</a:t>
                </a:r>
              </a:p>
            </c:rich>
          </c:tx>
          <c:overlay val="0"/>
        </c:title>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5643136"/>
        <c:crosses val="autoZero"/>
        <c:crossBetween val="midCat"/>
      </c:valAx>
      <c:valAx>
        <c:axId val="265643136"/>
        <c:scaling>
          <c:orientation val="minMax"/>
          <c:max val="11"/>
          <c:min val="3"/>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Log expenditure per secondary student (PPP</a:t>
                </a:r>
                <a:r>
                  <a:rPr lang="en-US" sz="1200" b="0" baseline="0">
                    <a:latin typeface="Times New Roman" panose="02020603050405020304" pitchFamily="18" charset="0"/>
                    <a:cs typeface="Times New Roman" panose="02020603050405020304" pitchFamily="18" charset="0"/>
                  </a:rPr>
                  <a:t>)</a:t>
                </a:r>
                <a:r>
                  <a:rPr lang="en-US" sz="1200" b="0">
                    <a:latin typeface="Times New Roman" panose="02020603050405020304" pitchFamily="18" charset="0"/>
                    <a:cs typeface="Times New Roman" panose="02020603050405020304" pitchFamily="18" charset="0"/>
                  </a:rPr>
                  <a:t> </a:t>
                </a:r>
              </a:p>
            </c:rich>
          </c:tx>
          <c:overlay val="0"/>
        </c:title>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5620480"/>
        <c:crosses val="autoZero"/>
        <c:crossBetween val="midCat"/>
      </c:valAx>
    </c:plotArea>
    <c:legend>
      <c:legendPos val="b"/>
      <c:legendEntry>
        <c:idx val="0"/>
        <c:delete val="1"/>
      </c:legendEntry>
      <c:legendEntry>
        <c:idx val="2"/>
        <c:delete val="1"/>
      </c:legendEntry>
      <c:legendEntry>
        <c:idx val="3"/>
        <c:delete val="1"/>
      </c:legendEntry>
      <c:legendEntry>
        <c:idx val="6"/>
        <c:delete val="1"/>
      </c:legendEntry>
      <c:legendEntry>
        <c:idx val="8"/>
        <c:delete val="1"/>
      </c:legendEntry>
      <c:legendEntry>
        <c:idx val="9"/>
        <c:delete val="1"/>
      </c:legendEntry>
      <c:legendEntry>
        <c:idx val="10"/>
        <c:delete val="1"/>
      </c:legendEntry>
      <c:legendEntry>
        <c:idx val="11"/>
        <c:delete val="1"/>
      </c:legendEntry>
      <c:overlay val="0"/>
      <c:txPr>
        <a:bodyPr/>
        <a:lstStyle/>
        <a:p>
          <a:pPr>
            <a:defRPr sz="120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400">
                <a:latin typeface="Times New Roman" panose="02020603050405020304" pitchFamily="18" charset="0"/>
                <a:cs typeface="Times New Roman" panose="02020603050405020304" pitchFamily="18" charset="0"/>
              </a:defRPr>
            </a:pPr>
            <a:r>
              <a:rPr lang="en-US" sz="1400">
                <a:latin typeface="Times New Roman" panose="02020603050405020304" pitchFamily="18" charset="0"/>
                <a:cs typeface="Times New Roman" panose="02020603050405020304" pitchFamily="18" charset="0"/>
              </a:rPr>
              <a:t>Figure 5.8. Share of skill-related evaluations produced by LAC country</a:t>
            </a:r>
          </a:p>
        </c:rich>
      </c:tx>
      <c:layout>
        <c:manualLayout>
          <c:xMode val="edge"/>
          <c:yMode val="edge"/>
          <c:x val="6.3995351678257262E-2"/>
          <c:y val="1.6144889578330761E-2"/>
        </c:manualLayout>
      </c:layout>
      <c:overlay val="0"/>
    </c:title>
    <c:autoTitleDeleted val="0"/>
    <c:plotArea>
      <c:layout>
        <c:manualLayout>
          <c:layoutTarget val="inner"/>
          <c:xMode val="edge"/>
          <c:yMode val="edge"/>
          <c:x val="8.4957938945406805E-2"/>
          <c:y val="0.11319585705607155"/>
          <c:w val="0.88703529914566426"/>
          <c:h val="0.80164334635889045"/>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Lit>
              <c:formatCode>General</c:formatCode>
              <c:ptCount val="10"/>
              <c:pt idx="0">
                <c:v>3198.8969999999999</c:v>
              </c:pt>
              <c:pt idx="1">
                <c:v>2157.817</c:v>
              </c:pt>
              <c:pt idx="2">
                <c:v>884.15499999999997</c:v>
              </c:pt>
              <c:pt idx="3">
                <c:v>666.95799999999997</c:v>
              </c:pt>
              <c:pt idx="4">
                <c:v>554.24599999999998</c:v>
              </c:pt>
              <c:pt idx="5">
                <c:v>419.38600000000002</c:v>
              </c:pt>
              <c:pt idx="6">
                <c:v>393.125</c:v>
              </c:pt>
              <c:pt idx="7">
                <c:v>185.24199999999999</c:v>
              </c:pt>
              <c:pt idx="8">
                <c:v>149.893</c:v>
              </c:pt>
              <c:pt idx="9">
                <c:v>126.206</c:v>
              </c:pt>
            </c:numLit>
          </c:xVal>
          <c:yVal>
            <c:numLit>
              <c:formatCode>General</c:formatCode>
              <c:ptCount val="10"/>
              <c:pt idx="0">
                <c:v>0.12318840579710146</c:v>
              </c:pt>
              <c:pt idx="1">
                <c:v>0.31159420289855072</c:v>
              </c:pt>
              <c:pt idx="2">
                <c:v>1.4492753623188406E-2</c:v>
              </c:pt>
              <c:pt idx="3">
                <c:v>0.12318840579710146</c:v>
              </c:pt>
              <c:pt idx="4">
                <c:v>7.246376811594203E-3</c:v>
              </c:pt>
              <c:pt idx="5">
                <c:v>0.17391304347826086</c:v>
              </c:pt>
              <c:pt idx="6">
                <c:v>0.13043478260869565</c:v>
              </c:pt>
              <c:pt idx="7">
                <c:v>4.3478260869565216E-2</c:v>
              </c:pt>
              <c:pt idx="8">
                <c:v>5.7971014492753624E-2</c:v>
              </c:pt>
              <c:pt idx="9">
                <c:v>1.4492753623188406E-2</c:v>
              </c:pt>
            </c:numLit>
          </c:yVal>
          <c:smooth val="0"/>
          <c:extLst>
            <c:ext xmlns:c16="http://schemas.microsoft.com/office/drawing/2014/chart" uri="{C3380CC4-5D6E-409C-BE32-E72D297353CC}">
              <c16:uniqueId val="{00000001-D367-4A88-A8F5-294EB056BB6A}"/>
            </c:ext>
          </c:extLst>
        </c:ser>
        <c:dLbls>
          <c:showLegendKey val="0"/>
          <c:showVal val="0"/>
          <c:showCatName val="0"/>
          <c:showSerName val="0"/>
          <c:showPercent val="0"/>
          <c:showBubbleSize val="0"/>
        </c:dLbls>
        <c:axId val="265357568"/>
        <c:axId val="265376128"/>
      </c:scatterChart>
      <c:valAx>
        <c:axId val="265357568"/>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sz="1100">
                    <a:latin typeface="Times New Roman" panose="02020603050405020304" pitchFamily="18" charset="0"/>
                    <a:cs typeface="Times New Roman" panose="02020603050405020304" pitchFamily="18" charset="0"/>
                  </a:rPr>
                  <a:t>Total GDP (adjusted for PPP)</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5376128"/>
        <c:crosses val="autoZero"/>
        <c:crossBetween val="midCat"/>
      </c:valAx>
      <c:valAx>
        <c:axId val="265376128"/>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sz="1200">
                    <a:latin typeface="Times New Roman" panose="02020603050405020304" pitchFamily="18" charset="0"/>
                    <a:cs typeface="Times New Roman" panose="02020603050405020304" pitchFamily="18" charset="0"/>
                  </a:rPr>
                  <a:t>% of total evaluations</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535756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l"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400">
                <a:latin typeface="Times New Roman" panose="02020603050405020304" pitchFamily="18" charset="0"/>
                <a:cs typeface="Times New Roman" panose="02020603050405020304" pitchFamily="18" charset="0"/>
              </a:rPr>
              <a:t>Figure</a:t>
            </a:r>
            <a:r>
              <a:rPr lang="en-US" sz="1400" baseline="0">
                <a:latin typeface="Times New Roman" panose="02020603050405020304" pitchFamily="18" charset="0"/>
                <a:cs typeface="Times New Roman" panose="02020603050405020304" pitchFamily="18" charset="0"/>
              </a:rPr>
              <a:t> </a:t>
            </a:r>
            <a:r>
              <a:rPr lang="en-US" sz="1400">
                <a:latin typeface="Times New Roman" panose="02020603050405020304" pitchFamily="18" charset="0"/>
                <a:cs typeface="Times New Roman" panose="02020603050405020304" pitchFamily="18" charset="0"/>
              </a:rPr>
              <a:t>7.1. </a:t>
            </a:r>
            <a:r>
              <a:rPr lang="en-US" sz="1400" b="1">
                <a:effectLst/>
                <a:latin typeface="Times New Roman" panose="02020603050405020304" pitchFamily="18" charset="0"/>
                <a:cs typeface="Times New Roman" panose="02020603050405020304" pitchFamily="18" charset="0"/>
              </a:rPr>
              <a:t>Mean Learning Gap</a:t>
            </a:r>
          </a:p>
          <a:p>
            <a:pPr marL="0" marR="0" indent="0" algn="l"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200" b="0">
                <a:effectLst/>
                <a:latin typeface="Times New Roman" panose="02020603050405020304" pitchFamily="18" charset="0"/>
                <a:cs typeface="Times New Roman" panose="02020603050405020304" pitchFamily="18" charset="0"/>
              </a:rPr>
              <a:t>Mean learning gap = Expected mean score (based on economic development) - Observed mean score </a:t>
            </a:r>
          </a:p>
        </c:rich>
      </c:tx>
      <c:layout>
        <c:manualLayout>
          <c:xMode val="edge"/>
          <c:yMode val="edge"/>
          <c:x val="4.1297339249728393E-2"/>
          <c:y val="1.8181818181818181E-2"/>
        </c:manualLayout>
      </c:layout>
      <c:overlay val="0"/>
    </c:title>
    <c:autoTitleDeleted val="0"/>
    <c:plotArea>
      <c:layout>
        <c:manualLayout>
          <c:layoutTarget val="inner"/>
          <c:xMode val="edge"/>
          <c:yMode val="edge"/>
          <c:x val="0.16007289802667687"/>
          <c:y val="0.19466364431718763"/>
          <c:w val="0.78130326518659843"/>
          <c:h val="0.62658824465123675"/>
        </c:manualLayout>
      </c:layout>
      <c:lineChart>
        <c:grouping val="standard"/>
        <c:varyColors val="0"/>
        <c:ser>
          <c:idx val="0"/>
          <c:order val="0"/>
          <c:tx>
            <c:v>Expected Learning Gap</c:v>
          </c:tx>
          <c:spPr>
            <a:ln w="28575" cap="rnd">
              <a:noFill/>
              <a:round/>
            </a:ln>
            <a:effectLst/>
          </c:spPr>
          <c:marker>
            <c:symbol val="circle"/>
            <c:size val="8"/>
            <c:spPr>
              <a:solidFill>
                <a:schemeClr val="tx1">
                  <a:lumMod val="50000"/>
                  <a:lumOff val="50000"/>
                </a:schemeClr>
              </a:solidFill>
              <a:ln w="9525">
                <a:noFill/>
              </a:ln>
              <a:effectLst/>
            </c:spPr>
          </c:marker>
          <c:dPt>
            <c:idx val="10"/>
            <c:marker>
              <c:spPr>
                <a:solidFill>
                  <a:schemeClr val="accent1">
                    <a:lumMod val="60000"/>
                    <a:lumOff val="40000"/>
                  </a:schemeClr>
                </a:solidFill>
                <a:ln w="9525">
                  <a:noFill/>
                </a:ln>
                <a:effectLst/>
              </c:spPr>
            </c:marker>
            <c:bubble3D val="0"/>
            <c:extLst>
              <c:ext xmlns:c16="http://schemas.microsoft.com/office/drawing/2014/chart" uri="{C3380CC4-5D6E-409C-BE32-E72D297353CC}">
                <c16:uniqueId val="{00000000-84B9-40D5-9BFD-5227B5097D0A}"/>
              </c:ext>
            </c:extLst>
          </c:dPt>
          <c:cat>
            <c:strLit>
              <c:ptCount val="16"/>
              <c:pt idx="0">
                <c:v>Chile</c:v>
              </c:pt>
              <c:pt idx="1">
                <c:v>Honduras</c:v>
              </c:pt>
              <c:pt idx="2">
                <c:v>Costa Rica</c:v>
              </c:pt>
              <c:pt idx="3">
                <c:v>Mexico</c:v>
              </c:pt>
              <c:pt idx="4">
                <c:v>Peru</c:v>
              </c:pt>
              <c:pt idx="5">
                <c:v>Nicaragua</c:v>
              </c:pt>
              <c:pt idx="6">
                <c:v>Uruguay</c:v>
              </c:pt>
              <c:pt idx="7">
                <c:v>Brazil</c:v>
              </c:pt>
              <c:pt idx="8">
                <c:v>Ecuador</c:v>
              </c:pt>
              <c:pt idx="9">
                <c:v>Guatemala</c:v>
              </c:pt>
              <c:pt idx="10">
                <c:v>LAC</c:v>
              </c:pt>
              <c:pt idx="11">
                <c:v>Colombia</c:v>
              </c:pt>
              <c:pt idx="12">
                <c:v>Argentina</c:v>
              </c:pt>
              <c:pt idx="13">
                <c:v>Paraguay</c:v>
              </c:pt>
              <c:pt idx="14">
                <c:v>Panama</c:v>
              </c:pt>
              <c:pt idx="15">
                <c:v>Dominican Rep</c:v>
              </c:pt>
            </c:strLit>
          </c:cat>
          <c:val>
            <c:numLit>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Lit>
          </c:val>
          <c:smooth val="0"/>
          <c:extLst>
            <c:ext xmlns:c16="http://schemas.microsoft.com/office/drawing/2014/chart" uri="{C3380CC4-5D6E-409C-BE32-E72D297353CC}">
              <c16:uniqueId val="{00000001-84B9-40D5-9BFD-5227B5097D0A}"/>
            </c:ext>
          </c:extLst>
        </c:ser>
        <c:ser>
          <c:idx val="1"/>
          <c:order val="1"/>
          <c:tx>
            <c:v>Observed Learning Gap</c:v>
          </c:tx>
          <c:spPr>
            <a:ln w="28575" cap="rnd">
              <a:noFill/>
              <a:round/>
            </a:ln>
            <a:effectLst/>
          </c:spPr>
          <c:marker>
            <c:symbol val="circle"/>
            <c:size val="8"/>
            <c:spPr>
              <a:solidFill>
                <a:schemeClr val="tx1">
                  <a:lumMod val="85000"/>
                  <a:lumOff val="15000"/>
                </a:schemeClr>
              </a:solidFill>
              <a:ln w="9525">
                <a:noFill/>
              </a:ln>
              <a:effectLst/>
            </c:spPr>
          </c:marker>
          <c:dPt>
            <c:idx val="10"/>
            <c:marker>
              <c:spPr>
                <a:solidFill>
                  <a:schemeClr val="accent1">
                    <a:lumMod val="75000"/>
                  </a:schemeClr>
                </a:solidFill>
                <a:ln w="9525">
                  <a:noFill/>
                </a:ln>
                <a:effectLst/>
              </c:spPr>
            </c:marker>
            <c:bubble3D val="0"/>
            <c:extLst>
              <c:ext xmlns:c16="http://schemas.microsoft.com/office/drawing/2014/chart" uri="{C3380CC4-5D6E-409C-BE32-E72D297353CC}">
                <c16:uniqueId val="{00000002-84B9-40D5-9BFD-5227B5097D0A}"/>
              </c:ext>
            </c:extLst>
          </c:dPt>
          <c:cat>
            <c:strLit>
              <c:ptCount val="16"/>
              <c:pt idx="0">
                <c:v>Chile</c:v>
              </c:pt>
              <c:pt idx="1">
                <c:v>Honduras</c:v>
              </c:pt>
              <c:pt idx="2">
                <c:v>Costa Rica</c:v>
              </c:pt>
              <c:pt idx="3">
                <c:v>Mexico</c:v>
              </c:pt>
              <c:pt idx="4">
                <c:v>Peru</c:v>
              </c:pt>
              <c:pt idx="5">
                <c:v>Nicaragua</c:v>
              </c:pt>
              <c:pt idx="6">
                <c:v>Uruguay</c:v>
              </c:pt>
              <c:pt idx="7">
                <c:v>Brazil</c:v>
              </c:pt>
              <c:pt idx="8">
                <c:v>Ecuador</c:v>
              </c:pt>
              <c:pt idx="9">
                <c:v>Guatemala</c:v>
              </c:pt>
              <c:pt idx="10">
                <c:v>LAC</c:v>
              </c:pt>
              <c:pt idx="11">
                <c:v>Colombia</c:v>
              </c:pt>
              <c:pt idx="12">
                <c:v>Argentina</c:v>
              </c:pt>
              <c:pt idx="13">
                <c:v>Paraguay</c:v>
              </c:pt>
              <c:pt idx="14">
                <c:v>Panama</c:v>
              </c:pt>
              <c:pt idx="15">
                <c:v>Dominican Rep</c:v>
              </c:pt>
            </c:strLit>
          </c:cat>
          <c:val>
            <c:numLit>
              <c:formatCode>General</c:formatCode>
              <c:ptCount val="16"/>
              <c:pt idx="0">
                <c:v>0</c:v>
              </c:pt>
              <c:pt idx="1">
                <c:v>-6.6863313317298889</c:v>
              </c:pt>
              <c:pt idx="2">
                <c:v>-8.2033336162567139</c:v>
              </c:pt>
              <c:pt idx="3">
                <c:v>-28.757542371749878</c:v>
              </c:pt>
              <c:pt idx="4">
                <c:v>-30.282694101333618</c:v>
              </c:pt>
              <c:pt idx="5">
                <c:v>-34.767022728919983</c:v>
              </c:pt>
              <c:pt idx="6">
                <c:v>-39.662456512451172</c:v>
              </c:pt>
              <c:pt idx="7">
                <c:v>-39.668339490890503</c:v>
              </c:pt>
              <c:pt idx="8">
                <c:v>-40.164649486541748</c:v>
              </c:pt>
              <c:pt idx="9">
                <c:v>-43.315234780311584</c:v>
              </c:pt>
              <c:pt idx="10">
                <c:v>-49.591403901576996</c:v>
              </c:pt>
              <c:pt idx="11">
                <c:v>-59.198850393295288</c:v>
              </c:pt>
              <c:pt idx="12">
                <c:v>-59.458363056182861</c:v>
              </c:pt>
              <c:pt idx="13">
                <c:v>-75.933969020843506</c:v>
              </c:pt>
              <c:pt idx="14">
                <c:v>-122.22366333007813</c:v>
              </c:pt>
              <c:pt idx="15">
                <c:v>-155.48524856567383</c:v>
              </c:pt>
            </c:numLit>
          </c:val>
          <c:smooth val="0"/>
          <c:extLst>
            <c:ext xmlns:c16="http://schemas.microsoft.com/office/drawing/2014/chart" uri="{C3380CC4-5D6E-409C-BE32-E72D297353CC}">
              <c16:uniqueId val="{00000003-84B9-40D5-9BFD-5227B5097D0A}"/>
            </c:ext>
          </c:extLst>
        </c:ser>
        <c:dLbls>
          <c:showLegendKey val="0"/>
          <c:showVal val="0"/>
          <c:showCatName val="0"/>
          <c:showSerName val="0"/>
          <c:showPercent val="0"/>
          <c:showBubbleSize val="0"/>
        </c:dLbls>
        <c:marker val="1"/>
        <c:smooth val="0"/>
        <c:axId val="265502720"/>
        <c:axId val="265504256"/>
      </c:lineChart>
      <c:catAx>
        <c:axId val="265502720"/>
        <c:scaling>
          <c:orientation val="minMax"/>
        </c:scaling>
        <c:delete val="0"/>
        <c:axPos val="b"/>
        <c:numFmt formatCode="General" sourceLinked="1"/>
        <c:majorTickMark val="none"/>
        <c:minorTickMark val="none"/>
        <c:tickLblPos val="high"/>
        <c:spPr>
          <a:noFill/>
          <a:ln w="9525" cap="flat" cmpd="sng" algn="ctr">
            <a:solidFill>
              <a:schemeClr val="bg1">
                <a:lumMod val="65000"/>
              </a:schemeClr>
            </a:solidFill>
            <a:round/>
          </a:ln>
          <a:effectLst/>
        </c:spPr>
        <c:txPr>
          <a:bodyPr rot="-2220000" spcFirstLastPara="1" vertOverflow="ellipsis"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65504256"/>
        <c:crosses val="autoZero"/>
        <c:auto val="0"/>
        <c:lblAlgn val="ctr"/>
        <c:lblOffset val="100"/>
        <c:noMultiLvlLbl val="0"/>
      </c:catAx>
      <c:valAx>
        <c:axId val="265504256"/>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sz="1100">
                    <a:solidFill>
                      <a:sysClr val="windowText" lastClr="000000"/>
                    </a:solidFill>
                    <a:latin typeface="Times New Roman" panose="02020603050405020304" pitchFamily="18" charset="0"/>
                    <a:cs typeface="Times New Roman" panose="02020603050405020304" pitchFamily="18" charset="0"/>
                  </a:rPr>
                  <a:t>Mean Learning</a:t>
                </a:r>
                <a:r>
                  <a:rPr lang="en-US" sz="1100" baseline="0">
                    <a:solidFill>
                      <a:sysClr val="windowText" lastClr="000000"/>
                    </a:solidFill>
                    <a:latin typeface="Times New Roman" panose="02020603050405020304" pitchFamily="18" charset="0"/>
                    <a:cs typeface="Times New Roman" panose="02020603050405020304" pitchFamily="18" charset="0"/>
                  </a:rPr>
                  <a:t> Gap </a:t>
                </a:r>
                <a:endParaRPr lang="en-US" sz="1100">
                  <a:solidFill>
                    <a:sysClr val="windowText" lastClr="000000"/>
                  </a:solidFill>
                  <a:latin typeface="Times New Roman" panose="02020603050405020304" pitchFamily="18" charset="0"/>
                  <a:cs typeface="Times New Roman" panose="02020603050405020304" pitchFamily="18" charset="0"/>
                </a:endParaRPr>
              </a:p>
            </c:rich>
          </c:tx>
          <c:layout>
            <c:manualLayout>
              <c:xMode val="edge"/>
              <c:yMode val="edge"/>
              <c:x val="8.2792286678680924E-2"/>
              <c:y val="0.40926859142607175"/>
            </c:manualLayout>
          </c:layout>
          <c:overlay val="0"/>
          <c:spPr>
            <a:noFill/>
            <a:ln>
              <a:noFill/>
            </a:ln>
            <a:effectLst/>
          </c:spPr>
        </c:title>
        <c:numFmt formatCode="#,##0;#,##0" sourceLinked="0"/>
        <c:majorTickMark val="cross"/>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65502720"/>
        <c:crosses val="autoZero"/>
        <c:crossBetween val="between"/>
        <c:majorUnit val="2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400">
                <a:latin typeface="Times New Roman" panose="02020603050405020304" pitchFamily="18" charset="0"/>
                <a:cs typeface="Times New Roman" panose="02020603050405020304" pitchFamily="18" charset="0"/>
              </a:rPr>
              <a:t>Figure 7.2. Socioeconomic Status (SES) Learning Gap</a:t>
            </a:r>
            <a:r>
              <a:rPr lang="en-US"/>
              <a:t>
</a:t>
            </a:r>
            <a:r>
              <a:rPr lang="en-US" sz="1200" b="0">
                <a:latin typeface="Times New Roman" panose="02020603050405020304" pitchFamily="18" charset="0"/>
                <a:cs typeface="Times New Roman" panose="02020603050405020304" pitchFamily="18" charset="0"/>
              </a:rPr>
              <a:t>SES learning gap = Mean scores of high SES students - Mean scores of low SES students</a:t>
            </a:r>
          </a:p>
        </c:rich>
      </c:tx>
      <c:layout>
        <c:manualLayout>
          <c:xMode val="edge"/>
          <c:yMode val="edge"/>
          <c:x val="3.5169869739042944E-2"/>
          <c:y val="1.2121212121212121E-2"/>
        </c:manualLayout>
      </c:layout>
      <c:overlay val="1"/>
    </c:title>
    <c:autoTitleDeleted val="0"/>
    <c:plotArea>
      <c:layout>
        <c:manualLayout>
          <c:layoutTarget val="inner"/>
          <c:xMode val="edge"/>
          <c:yMode val="edge"/>
          <c:x val="0.16007289802667687"/>
          <c:y val="0.18860297920884642"/>
          <c:w val="0.78130326518659843"/>
          <c:h val="0.68113369919669131"/>
        </c:manualLayout>
      </c:layout>
      <c:lineChart>
        <c:grouping val="standard"/>
        <c:varyColors val="0"/>
        <c:ser>
          <c:idx val="0"/>
          <c:order val="0"/>
          <c:spPr>
            <a:ln w="25400" cap="rnd">
              <a:noFill/>
              <a:round/>
            </a:ln>
            <a:effectLst/>
          </c:spPr>
          <c:marker>
            <c:symbol val="circle"/>
            <c:size val="8"/>
            <c:spPr>
              <a:solidFill>
                <a:schemeClr val="tx1">
                  <a:lumMod val="50000"/>
                  <a:lumOff val="50000"/>
                </a:schemeClr>
              </a:solidFill>
              <a:ln w="9525">
                <a:noFill/>
              </a:ln>
              <a:effectLst/>
            </c:spPr>
          </c:marker>
          <c:dPt>
            <c:idx val="8"/>
            <c:marker>
              <c:spPr>
                <a:solidFill>
                  <a:schemeClr val="accent1">
                    <a:lumMod val="60000"/>
                    <a:lumOff val="40000"/>
                  </a:schemeClr>
                </a:solidFill>
                <a:ln w="9525">
                  <a:noFill/>
                </a:ln>
                <a:effectLst/>
              </c:spPr>
            </c:marker>
            <c:bubble3D val="0"/>
            <c:extLst>
              <c:ext xmlns:c16="http://schemas.microsoft.com/office/drawing/2014/chart" uri="{C3380CC4-5D6E-409C-BE32-E72D297353CC}">
                <c16:uniqueId val="{00000000-D95E-4E27-8128-F8AE3C535E6B}"/>
              </c:ext>
            </c:extLst>
          </c:dPt>
          <c:cat>
            <c:strLit>
              <c:ptCount val="16"/>
              <c:pt idx="0">
                <c:v>Nicaragua</c:v>
              </c:pt>
              <c:pt idx="1">
                <c:v>Paraguay</c:v>
              </c:pt>
              <c:pt idx="2">
                <c:v>Dominican Rep</c:v>
              </c:pt>
              <c:pt idx="3">
                <c:v>Argentina</c:v>
              </c:pt>
              <c:pt idx="4">
                <c:v>Costa Rica</c:v>
              </c:pt>
              <c:pt idx="5">
                <c:v>Ecuador</c:v>
              </c:pt>
              <c:pt idx="6">
                <c:v>Honduras</c:v>
              </c:pt>
              <c:pt idx="7">
                <c:v>Chile</c:v>
              </c:pt>
              <c:pt idx="8">
                <c:v>LAC</c:v>
              </c:pt>
              <c:pt idx="9">
                <c:v>Brazil</c:v>
              </c:pt>
              <c:pt idx="10">
                <c:v>Mexico</c:v>
              </c:pt>
              <c:pt idx="11">
                <c:v>Panama</c:v>
              </c:pt>
              <c:pt idx="12">
                <c:v>Colombia</c:v>
              </c:pt>
              <c:pt idx="13">
                <c:v>Uruguay</c:v>
              </c:pt>
              <c:pt idx="14">
                <c:v>Peru</c:v>
              </c:pt>
              <c:pt idx="15">
                <c:v>Guatemala</c:v>
              </c:pt>
            </c:strLit>
          </c:cat>
          <c:val>
            <c:numLit>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Lit>
          </c:val>
          <c:smooth val="0"/>
          <c:extLst>
            <c:ext xmlns:c16="http://schemas.microsoft.com/office/drawing/2014/chart" uri="{C3380CC4-5D6E-409C-BE32-E72D297353CC}">
              <c16:uniqueId val="{00000001-D95E-4E27-8128-F8AE3C535E6B}"/>
            </c:ext>
          </c:extLst>
        </c:ser>
        <c:ser>
          <c:idx val="1"/>
          <c:order val="1"/>
          <c:spPr>
            <a:ln w="25400" cap="rnd">
              <a:noFill/>
              <a:round/>
            </a:ln>
            <a:effectLst/>
          </c:spPr>
          <c:marker>
            <c:symbol val="circle"/>
            <c:size val="8"/>
            <c:spPr>
              <a:solidFill>
                <a:schemeClr val="tx1">
                  <a:lumMod val="85000"/>
                  <a:lumOff val="15000"/>
                </a:schemeClr>
              </a:solidFill>
              <a:ln w="9525">
                <a:noFill/>
              </a:ln>
              <a:effectLst/>
            </c:spPr>
          </c:marker>
          <c:dPt>
            <c:idx val="8"/>
            <c:marker>
              <c:spPr>
                <a:solidFill>
                  <a:schemeClr val="accent1">
                    <a:lumMod val="75000"/>
                  </a:schemeClr>
                </a:solidFill>
                <a:ln w="9525">
                  <a:noFill/>
                </a:ln>
                <a:effectLst/>
              </c:spPr>
            </c:marker>
            <c:bubble3D val="0"/>
            <c:extLst>
              <c:ext xmlns:c16="http://schemas.microsoft.com/office/drawing/2014/chart" uri="{C3380CC4-5D6E-409C-BE32-E72D297353CC}">
                <c16:uniqueId val="{00000002-D95E-4E27-8128-F8AE3C535E6B}"/>
              </c:ext>
            </c:extLst>
          </c:dPt>
          <c:cat>
            <c:strLit>
              <c:ptCount val="16"/>
              <c:pt idx="0">
                <c:v>Nicaragua</c:v>
              </c:pt>
              <c:pt idx="1">
                <c:v>Paraguay</c:v>
              </c:pt>
              <c:pt idx="2">
                <c:v>Dominican Rep</c:v>
              </c:pt>
              <c:pt idx="3">
                <c:v>Argentina</c:v>
              </c:pt>
              <c:pt idx="4">
                <c:v>Costa Rica</c:v>
              </c:pt>
              <c:pt idx="5">
                <c:v>Ecuador</c:v>
              </c:pt>
              <c:pt idx="6">
                <c:v>Honduras</c:v>
              </c:pt>
              <c:pt idx="7">
                <c:v>Chile</c:v>
              </c:pt>
              <c:pt idx="8">
                <c:v>LAC</c:v>
              </c:pt>
              <c:pt idx="9">
                <c:v>Brazil</c:v>
              </c:pt>
              <c:pt idx="10">
                <c:v>Mexico</c:v>
              </c:pt>
              <c:pt idx="11">
                <c:v>Panama</c:v>
              </c:pt>
              <c:pt idx="12">
                <c:v>Colombia</c:v>
              </c:pt>
              <c:pt idx="13">
                <c:v>Uruguay</c:v>
              </c:pt>
              <c:pt idx="14">
                <c:v>Peru</c:v>
              </c:pt>
              <c:pt idx="15">
                <c:v>Guatemala</c:v>
              </c:pt>
            </c:strLit>
          </c:cat>
          <c:val>
            <c:numLit>
              <c:formatCode>General</c:formatCode>
              <c:ptCount val="16"/>
              <c:pt idx="0">
                <c:v>-34.011499999999998</c:v>
              </c:pt>
              <c:pt idx="1">
                <c:v>-34.671900000000001</c:v>
              </c:pt>
              <c:pt idx="2">
                <c:v>-36.503500000000003</c:v>
              </c:pt>
              <c:pt idx="3">
                <c:v>-47.788789999999999</c:v>
              </c:pt>
              <c:pt idx="4">
                <c:v>-48.023020000000002</c:v>
              </c:pt>
              <c:pt idx="5">
                <c:v>-54.794089999999997</c:v>
              </c:pt>
              <c:pt idx="6">
                <c:v>-59.977130000000002</c:v>
              </c:pt>
              <c:pt idx="7">
                <c:v>-62.959539999999997</c:v>
              </c:pt>
              <c:pt idx="8">
                <c:v>-66.881238666666704</c:v>
              </c:pt>
              <c:pt idx="9">
                <c:v>-71.041420000000002</c:v>
              </c:pt>
              <c:pt idx="10">
                <c:v>-80.736879999999999</c:v>
              </c:pt>
              <c:pt idx="11">
                <c:v>-87.213300000000004</c:v>
              </c:pt>
              <c:pt idx="12">
                <c:v>-88.360619999999997</c:v>
              </c:pt>
              <c:pt idx="13">
                <c:v>-95.395349999999993</c:v>
              </c:pt>
              <c:pt idx="14">
                <c:v>-97.622470000000007</c:v>
              </c:pt>
              <c:pt idx="15">
                <c:v>-104.11906999999999</c:v>
              </c:pt>
            </c:numLit>
          </c:val>
          <c:smooth val="0"/>
          <c:extLst>
            <c:ext xmlns:c16="http://schemas.microsoft.com/office/drawing/2014/chart" uri="{C3380CC4-5D6E-409C-BE32-E72D297353CC}">
              <c16:uniqueId val="{00000003-D95E-4E27-8128-F8AE3C535E6B}"/>
            </c:ext>
          </c:extLst>
        </c:ser>
        <c:dLbls>
          <c:showLegendKey val="0"/>
          <c:showVal val="0"/>
          <c:showCatName val="0"/>
          <c:showSerName val="0"/>
          <c:showPercent val="0"/>
          <c:showBubbleSize val="0"/>
        </c:dLbls>
        <c:marker val="1"/>
        <c:smooth val="0"/>
        <c:axId val="265729536"/>
        <c:axId val="265731072"/>
      </c:lineChart>
      <c:catAx>
        <c:axId val="265729536"/>
        <c:scaling>
          <c:orientation val="minMax"/>
        </c:scaling>
        <c:delete val="0"/>
        <c:axPos val="b"/>
        <c:numFmt formatCode="General" sourceLinked="1"/>
        <c:majorTickMark val="none"/>
        <c:minorTickMark val="none"/>
        <c:tickLblPos val="high"/>
        <c:spPr>
          <a:noFill/>
          <a:ln w="9525" cap="flat" cmpd="sng" algn="ctr">
            <a:solidFill>
              <a:schemeClr val="bg1">
                <a:lumMod val="65000"/>
              </a:schemeClr>
            </a:solidFill>
            <a:round/>
          </a:ln>
          <a:effectLst/>
        </c:spPr>
        <c:txPr>
          <a:bodyPr rot="-2220000" spcFirstLastPara="1" vertOverflow="ellipsis" wrap="square" anchor="ctr" anchorCtr="1"/>
          <a:lstStyle/>
          <a:p>
            <a:pPr>
              <a:defRPr lang="en-US"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65731072"/>
        <c:crosses val="autoZero"/>
        <c:auto val="0"/>
        <c:lblAlgn val="ctr"/>
        <c:lblOffset val="100"/>
        <c:noMultiLvlLbl val="0"/>
      </c:catAx>
      <c:valAx>
        <c:axId val="265731072"/>
        <c:scaling>
          <c:orientation val="minMax"/>
        </c:scaling>
        <c:delete val="0"/>
        <c:axPos val="l"/>
        <c:title>
          <c:tx>
            <c:rich>
              <a:bodyPr rot="-5400000" spcFirstLastPara="1" vertOverflow="ellipsis" vert="horz" wrap="square" anchor="ctr" anchorCtr="1"/>
              <a:lstStyle/>
              <a:p>
                <a:pPr>
                  <a:defRPr lang="en-US"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a:solidFill>
                      <a:sysClr val="windowText" lastClr="000000"/>
                    </a:solidFill>
                    <a:latin typeface="Times New Roman" panose="02020603050405020304" pitchFamily="18" charset="0"/>
                    <a:cs typeface="Times New Roman" panose="02020603050405020304" pitchFamily="18" charset="0"/>
                  </a:rPr>
                  <a:t>SES Learning Gap </a:t>
                </a:r>
              </a:p>
            </c:rich>
          </c:tx>
          <c:layout>
            <c:manualLayout>
              <c:xMode val="edge"/>
              <c:yMode val="edge"/>
              <c:x val="8.5724090272310302E-2"/>
              <c:y val="0.44159182374930406"/>
            </c:manualLayout>
          </c:layout>
          <c:overlay val="0"/>
          <c:spPr>
            <a:noFill/>
            <a:ln>
              <a:noFill/>
            </a:ln>
            <a:effectLst/>
          </c:spPr>
        </c:title>
        <c:numFmt formatCode="#,##0;#,##0" sourceLinked="0"/>
        <c:majorTickMark val="cross"/>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lang="en-US"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65729536"/>
        <c:crosses val="autoZero"/>
        <c:crossBetween val="between"/>
        <c:majorUnit val="2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marL="0" indent="0">
        <a:defRPr lang="en-US" sz="890">
          <a:latin typeface="+mn-lt"/>
          <a:ea typeface="+mn-ea"/>
          <a:cs typeface="+mn-cs"/>
        </a:defRPr>
      </a:pPr>
      <a:endParaRPr lang="en-US"/>
    </a:p>
  </c:txPr>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'F8.1'!$D$42</c:f>
              <c:strCache>
                <c:ptCount val="1"/>
                <c:pt idx="0">
                  <c:v>Math</c:v>
                </c:pt>
              </c:strCache>
            </c:strRef>
          </c:tx>
          <c:spPr>
            <a:pattFill prst="ltUpDiag">
              <a:fgClr>
                <a:schemeClr val="accent2"/>
              </a:fgClr>
              <a:bgClr>
                <a:schemeClr val="bg1"/>
              </a:bgClr>
            </a:pattFill>
            <a:ln>
              <a:solidFill>
                <a:schemeClr val="accent2"/>
              </a:solidFill>
            </a:ln>
          </c:spPr>
          <c:invertIfNegative val="0"/>
          <c:dPt>
            <c:idx val="0"/>
            <c:invertIfNegative val="0"/>
            <c:bubble3D val="0"/>
            <c:spPr>
              <a:solidFill>
                <a:schemeClr val="accent2"/>
              </a:solidFill>
              <a:ln>
                <a:solidFill>
                  <a:schemeClr val="accent2"/>
                </a:solidFill>
              </a:ln>
            </c:spPr>
            <c:extLst>
              <c:ext xmlns:c16="http://schemas.microsoft.com/office/drawing/2014/chart" uri="{C3380CC4-5D6E-409C-BE32-E72D297353CC}">
                <c16:uniqueId val="{00000001-3E4C-4270-8BBD-AD70C59418EA}"/>
              </c:ext>
            </c:extLst>
          </c:dPt>
          <c:dPt>
            <c:idx val="2"/>
            <c:invertIfNegative val="0"/>
            <c:bubble3D val="0"/>
            <c:spPr>
              <a:solidFill>
                <a:schemeClr val="accent2"/>
              </a:solidFill>
              <a:ln>
                <a:solidFill>
                  <a:schemeClr val="accent2"/>
                </a:solidFill>
              </a:ln>
            </c:spPr>
            <c:extLst>
              <c:ext xmlns:c16="http://schemas.microsoft.com/office/drawing/2014/chart" uri="{C3380CC4-5D6E-409C-BE32-E72D297353CC}">
                <c16:uniqueId val="{00000003-3E4C-4270-8BBD-AD70C59418EA}"/>
              </c:ext>
            </c:extLst>
          </c:dPt>
          <c:dPt>
            <c:idx val="4"/>
            <c:invertIfNegative val="0"/>
            <c:bubble3D val="0"/>
            <c:spPr>
              <a:solidFill>
                <a:schemeClr val="accent2"/>
              </a:solidFill>
              <a:ln>
                <a:solidFill>
                  <a:schemeClr val="accent2"/>
                </a:solidFill>
              </a:ln>
            </c:spPr>
            <c:extLst>
              <c:ext xmlns:c16="http://schemas.microsoft.com/office/drawing/2014/chart" uri="{C3380CC4-5D6E-409C-BE32-E72D297353CC}">
                <c16:uniqueId val="{00000005-3E4C-4270-8BBD-AD70C59418EA}"/>
              </c:ext>
            </c:extLst>
          </c:dPt>
          <c:dPt>
            <c:idx val="5"/>
            <c:invertIfNegative val="0"/>
            <c:bubble3D val="0"/>
            <c:spPr>
              <a:solidFill>
                <a:schemeClr val="accent2"/>
              </a:solidFill>
              <a:ln>
                <a:solidFill>
                  <a:schemeClr val="accent2"/>
                </a:solidFill>
              </a:ln>
            </c:spPr>
            <c:extLst>
              <c:ext xmlns:c16="http://schemas.microsoft.com/office/drawing/2014/chart" uri="{C3380CC4-5D6E-409C-BE32-E72D297353CC}">
                <c16:uniqueId val="{00000007-3E4C-4270-8BBD-AD70C59418EA}"/>
              </c:ext>
            </c:extLst>
          </c:dPt>
          <c:dPt>
            <c:idx val="6"/>
            <c:invertIfNegative val="0"/>
            <c:bubble3D val="0"/>
            <c:extLst>
              <c:ext xmlns:c16="http://schemas.microsoft.com/office/drawing/2014/chart" uri="{C3380CC4-5D6E-409C-BE32-E72D297353CC}">
                <c16:uniqueId val="{00000008-3E4C-4270-8BBD-AD70C59418EA}"/>
              </c:ext>
            </c:extLst>
          </c:dPt>
          <c:dPt>
            <c:idx val="7"/>
            <c:invertIfNegative val="0"/>
            <c:bubble3D val="0"/>
            <c:extLst>
              <c:ext xmlns:c16="http://schemas.microsoft.com/office/drawing/2014/chart" uri="{C3380CC4-5D6E-409C-BE32-E72D297353CC}">
                <c16:uniqueId val="{00000009-3E4C-4270-8BBD-AD70C59418EA}"/>
              </c:ext>
            </c:extLst>
          </c:dPt>
          <c:cat>
            <c:strRef>
              <c:f>'F8.1'!$B$43:$B$50</c:f>
              <c:strCache>
                <c:ptCount val="8"/>
                <c:pt idx="0">
                  <c:v>Brazil</c:v>
                </c:pt>
                <c:pt idx="1">
                  <c:v>Chile</c:v>
                </c:pt>
                <c:pt idx="2">
                  <c:v>Colombia</c:v>
                </c:pt>
                <c:pt idx="3">
                  <c:v>Costa Rica</c:v>
                </c:pt>
                <c:pt idx="4">
                  <c:v>Mexico</c:v>
                </c:pt>
                <c:pt idx="5">
                  <c:v>Peru</c:v>
                </c:pt>
                <c:pt idx="6">
                  <c:v>Trinidad &amp; Tobago</c:v>
                </c:pt>
                <c:pt idx="7">
                  <c:v>Uruguay</c:v>
                </c:pt>
              </c:strCache>
            </c:strRef>
          </c:cat>
          <c:val>
            <c:numRef>
              <c:f>'F8.1'!$D$43:$D$50</c:f>
              <c:numCache>
                <c:formatCode>0</c:formatCode>
                <c:ptCount val="8"/>
                <c:pt idx="0">
                  <c:v>6.1771695058977132</c:v>
                </c:pt>
                <c:pt idx="1">
                  <c:v>3.5469399618513915</c:v>
                </c:pt>
                <c:pt idx="2">
                  <c:v>5.4369322666985376</c:v>
                </c:pt>
                <c:pt idx="3">
                  <c:v>-5.7978613203087406</c:v>
                </c:pt>
                <c:pt idx="4">
                  <c:v>5.3141127002780282</c:v>
                </c:pt>
                <c:pt idx="5">
                  <c:v>10.426375223152267</c:v>
                </c:pt>
                <c:pt idx="6">
                  <c:v>1.5992155075073242</c:v>
                </c:pt>
                <c:pt idx="7">
                  <c:v>-2.5683273298557787</c:v>
                </c:pt>
              </c:numCache>
            </c:numRef>
          </c:val>
          <c:extLst>
            <c:ext xmlns:c16="http://schemas.microsoft.com/office/drawing/2014/chart" uri="{C3380CC4-5D6E-409C-BE32-E72D297353CC}">
              <c16:uniqueId val="{0000000A-3E4C-4270-8BBD-AD70C59418EA}"/>
            </c:ext>
          </c:extLst>
        </c:ser>
        <c:dLbls>
          <c:showLegendKey val="0"/>
          <c:showVal val="0"/>
          <c:showCatName val="0"/>
          <c:showSerName val="0"/>
          <c:showPercent val="0"/>
          <c:showBubbleSize val="0"/>
        </c:dLbls>
        <c:gapWidth val="150"/>
        <c:axId val="266027776"/>
        <c:axId val="266029312"/>
      </c:barChart>
      <c:catAx>
        <c:axId val="266027776"/>
        <c:scaling>
          <c:orientation val="minMax"/>
        </c:scaling>
        <c:delete val="0"/>
        <c:axPos val="b"/>
        <c:numFmt formatCode="General" sourceLinked="0"/>
        <c:majorTickMark val="out"/>
        <c:minorTickMark val="none"/>
        <c:tickLblPos val="low"/>
        <c:txPr>
          <a:bodyPr/>
          <a:lstStyle/>
          <a:p>
            <a:pPr>
              <a:defRPr sz="1100">
                <a:latin typeface="Times New Roman" panose="02020603050405020304" pitchFamily="18" charset="0"/>
                <a:cs typeface="Times New Roman" panose="02020603050405020304" pitchFamily="18" charset="0"/>
              </a:defRPr>
            </a:pPr>
            <a:endParaRPr lang="en-US"/>
          </a:p>
        </c:txPr>
        <c:crossAx val="266029312"/>
        <c:crosses val="autoZero"/>
        <c:auto val="1"/>
        <c:lblAlgn val="ctr"/>
        <c:lblOffset val="100"/>
        <c:noMultiLvlLbl val="0"/>
      </c:catAx>
      <c:valAx>
        <c:axId val="266029312"/>
        <c:scaling>
          <c:orientation val="minMax"/>
          <c:max val="15"/>
        </c:scaling>
        <c:delete val="0"/>
        <c:axPos val="l"/>
        <c:majorGridlines>
          <c:spPr>
            <a:ln>
              <a:prstDash val="dash"/>
            </a:ln>
          </c:spPr>
        </c:majorGridlines>
        <c:title>
          <c:tx>
            <c:rich>
              <a:bodyPr rot="-5400000" vert="horz"/>
              <a:lstStyle/>
              <a:p>
                <a:pPr>
                  <a:defRPr sz="1100" b="0">
                    <a:latin typeface="Times New Roman" panose="02020603050405020304" pitchFamily="18" charset="0"/>
                    <a:cs typeface="Times New Roman" panose="02020603050405020304" pitchFamily="18" charset="0"/>
                  </a:defRPr>
                </a:pPr>
                <a:r>
                  <a:rPr lang="en-US" sz="1100" b="0">
                    <a:latin typeface="Times New Roman" panose="02020603050405020304" pitchFamily="18" charset="0"/>
                    <a:cs typeface="Times New Roman" panose="02020603050405020304" pitchFamily="18" charset="0"/>
                  </a:rPr>
                  <a:t>Score</a:t>
                </a:r>
              </a:p>
            </c:rich>
          </c:tx>
          <c:overlay val="0"/>
        </c:title>
        <c:numFmt formatCode="0" sourceLinked="0"/>
        <c:majorTickMark val="out"/>
        <c:minorTickMark val="none"/>
        <c:tickLblPos val="nextTo"/>
        <c:txPr>
          <a:bodyPr/>
          <a:lstStyle/>
          <a:p>
            <a:pPr>
              <a:defRPr sz="1100">
                <a:latin typeface="Times New Roman" panose="02020603050405020304" pitchFamily="18" charset="0"/>
                <a:cs typeface="Times New Roman" panose="02020603050405020304" pitchFamily="18" charset="0"/>
              </a:defRPr>
            </a:pPr>
            <a:endParaRPr lang="en-US"/>
          </a:p>
        </c:txPr>
        <c:crossAx val="266027776"/>
        <c:crosses val="autoZero"/>
        <c:crossBetween val="between"/>
      </c:valAx>
    </c:plotArea>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712690667769488E-2"/>
          <c:y val="3.3191167058020617E-2"/>
          <c:w val="0.90928903903158598"/>
          <c:h val="0.71507743340934182"/>
        </c:manualLayout>
      </c:layout>
      <c:barChart>
        <c:barDir val="col"/>
        <c:grouping val="percentStacked"/>
        <c:varyColors val="0"/>
        <c:ser>
          <c:idx val="0"/>
          <c:order val="0"/>
          <c:tx>
            <c:strRef>
              <c:f>'F8.2'!$B$30</c:f>
              <c:strCache>
                <c:ptCount val="1"/>
                <c:pt idx="0">
                  <c:v>Lack of money</c:v>
                </c:pt>
              </c:strCache>
            </c:strRef>
          </c:tx>
          <c:spPr>
            <a:solidFill>
              <a:schemeClr val="tx2"/>
            </a:solidFill>
          </c:spPr>
          <c:invertIfNegative val="0"/>
          <c:cat>
            <c:strRef>
              <c:f>'F8.2'!$C$29:$I$29</c:f>
              <c:strCache>
                <c:ptCount val="7"/>
                <c:pt idx="0">
                  <c:v>Bolivia</c:v>
                </c:pt>
                <c:pt idx="1">
                  <c:v>Chile</c:v>
                </c:pt>
                <c:pt idx="2">
                  <c:v>Costa Rica</c:v>
                </c:pt>
                <c:pt idx="3">
                  <c:v>Ecuador</c:v>
                </c:pt>
                <c:pt idx="4">
                  <c:v>Panama</c:v>
                </c:pt>
                <c:pt idx="5">
                  <c:v>Paraguay</c:v>
                </c:pt>
                <c:pt idx="6">
                  <c:v>Latin America and the Caribbean</c:v>
                </c:pt>
              </c:strCache>
            </c:strRef>
          </c:cat>
          <c:val>
            <c:numRef>
              <c:f>'F8.2'!$C$30:$I$30</c:f>
              <c:numCache>
                <c:formatCode>0.0%</c:formatCode>
                <c:ptCount val="7"/>
                <c:pt idx="0">
                  <c:v>0.17749999999999999</c:v>
                </c:pt>
                <c:pt idx="1">
                  <c:v>4.4871800000000003E-2</c:v>
                </c:pt>
                <c:pt idx="2">
                  <c:v>0.16139980000000001</c:v>
                </c:pt>
                <c:pt idx="3">
                  <c:v>0.28112989999999999</c:v>
                </c:pt>
                <c:pt idx="4">
                  <c:v>0.21560380000000001</c:v>
                </c:pt>
                <c:pt idx="5">
                  <c:v>0.27639550000000002</c:v>
                </c:pt>
                <c:pt idx="6">
                  <c:v>0.19281680000000001</c:v>
                </c:pt>
              </c:numCache>
            </c:numRef>
          </c:val>
          <c:extLst>
            <c:ext xmlns:c16="http://schemas.microsoft.com/office/drawing/2014/chart" uri="{C3380CC4-5D6E-409C-BE32-E72D297353CC}">
              <c16:uniqueId val="{00000000-409E-4EB4-B63B-F4490B0578E8}"/>
            </c:ext>
          </c:extLst>
        </c:ser>
        <c:ser>
          <c:idx val="1"/>
          <c:order val="1"/>
          <c:tx>
            <c:strRef>
              <c:f>'F8.2'!$B$31</c:f>
              <c:strCache>
                <c:ptCount val="1"/>
                <c:pt idx="0">
                  <c:v>Lack of interest</c:v>
                </c:pt>
              </c:strCache>
            </c:strRef>
          </c:tx>
          <c:spPr>
            <a:solidFill>
              <a:schemeClr val="bg1">
                <a:lumMod val="65000"/>
              </a:schemeClr>
            </a:solidFill>
          </c:spPr>
          <c:invertIfNegative val="0"/>
          <c:cat>
            <c:strRef>
              <c:f>'F8.2'!$C$29:$I$29</c:f>
              <c:strCache>
                <c:ptCount val="7"/>
                <c:pt idx="0">
                  <c:v>Bolivia</c:v>
                </c:pt>
                <c:pt idx="1">
                  <c:v>Chile</c:v>
                </c:pt>
                <c:pt idx="2">
                  <c:v>Costa Rica</c:v>
                </c:pt>
                <c:pt idx="3">
                  <c:v>Ecuador</c:v>
                </c:pt>
                <c:pt idx="4">
                  <c:v>Panama</c:v>
                </c:pt>
                <c:pt idx="5">
                  <c:v>Paraguay</c:v>
                </c:pt>
                <c:pt idx="6">
                  <c:v>Latin America and the Caribbean</c:v>
                </c:pt>
              </c:strCache>
            </c:strRef>
          </c:cat>
          <c:val>
            <c:numRef>
              <c:f>'F8.2'!$C$31:$I$31</c:f>
              <c:numCache>
                <c:formatCode>0.0%</c:formatCode>
                <c:ptCount val="7"/>
                <c:pt idx="0">
                  <c:v>0.20158570000000001</c:v>
                </c:pt>
                <c:pt idx="1">
                  <c:v>0.20148170000000001</c:v>
                </c:pt>
                <c:pt idx="2">
                  <c:v>0.31387520000000002</c:v>
                </c:pt>
                <c:pt idx="3">
                  <c:v>0.2405137</c:v>
                </c:pt>
                <c:pt idx="4">
                  <c:v>0.4151861</c:v>
                </c:pt>
                <c:pt idx="5">
                  <c:v>0.2148591</c:v>
                </c:pt>
                <c:pt idx="6">
                  <c:v>0.26458358333333337</c:v>
                </c:pt>
              </c:numCache>
            </c:numRef>
          </c:val>
          <c:extLst>
            <c:ext xmlns:c16="http://schemas.microsoft.com/office/drawing/2014/chart" uri="{C3380CC4-5D6E-409C-BE32-E72D297353CC}">
              <c16:uniqueId val="{00000001-409E-4EB4-B63B-F4490B0578E8}"/>
            </c:ext>
          </c:extLst>
        </c:ser>
        <c:ser>
          <c:idx val="2"/>
          <c:order val="2"/>
          <c:tx>
            <c:strRef>
              <c:f>'F8.2'!$B$32</c:f>
              <c:strCache>
                <c:ptCount val="1"/>
                <c:pt idx="0">
                  <c:v>Work</c:v>
                </c:pt>
              </c:strCache>
            </c:strRef>
          </c:tx>
          <c:spPr>
            <a:solidFill>
              <a:schemeClr val="bg2">
                <a:lumMod val="50000"/>
              </a:schemeClr>
            </a:solidFill>
          </c:spPr>
          <c:invertIfNegative val="0"/>
          <c:cat>
            <c:strRef>
              <c:f>'F8.2'!$C$29:$I$29</c:f>
              <c:strCache>
                <c:ptCount val="7"/>
                <c:pt idx="0">
                  <c:v>Bolivia</c:v>
                </c:pt>
                <c:pt idx="1">
                  <c:v>Chile</c:v>
                </c:pt>
                <c:pt idx="2">
                  <c:v>Costa Rica</c:v>
                </c:pt>
                <c:pt idx="3">
                  <c:v>Ecuador</c:v>
                </c:pt>
                <c:pt idx="4">
                  <c:v>Panama</c:v>
                </c:pt>
                <c:pt idx="5">
                  <c:v>Paraguay</c:v>
                </c:pt>
                <c:pt idx="6">
                  <c:v>Latin America and the Caribbean</c:v>
                </c:pt>
              </c:strCache>
            </c:strRef>
          </c:cat>
          <c:val>
            <c:numRef>
              <c:f>'F8.2'!$C$32:$I$32</c:f>
              <c:numCache>
                <c:formatCode>0.0%</c:formatCode>
                <c:ptCount val="7"/>
                <c:pt idx="0">
                  <c:v>0.33033859999999998</c:v>
                </c:pt>
                <c:pt idx="1">
                  <c:v>0.101758</c:v>
                </c:pt>
                <c:pt idx="2">
                  <c:v>5.8666900000000001E-2</c:v>
                </c:pt>
                <c:pt idx="3">
                  <c:v>0.111676</c:v>
                </c:pt>
                <c:pt idx="4">
                  <c:v>7.7904600000000004E-2</c:v>
                </c:pt>
                <c:pt idx="5">
                  <c:v>0.14008509999999999</c:v>
                </c:pt>
                <c:pt idx="6">
                  <c:v>0.1367382</c:v>
                </c:pt>
              </c:numCache>
            </c:numRef>
          </c:val>
          <c:extLst>
            <c:ext xmlns:c16="http://schemas.microsoft.com/office/drawing/2014/chart" uri="{C3380CC4-5D6E-409C-BE32-E72D297353CC}">
              <c16:uniqueId val="{00000002-409E-4EB4-B63B-F4490B0578E8}"/>
            </c:ext>
          </c:extLst>
        </c:ser>
        <c:ser>
          <c:idx val="3"/>
          <c:order val="3"/>
          <c:tx>
            <c:strRef>
              <c:f>'F8.2'!$B$33</c:f>
              <c:strCache>
                <c:ptCount val="1"/>
                <c:pt idx="0">
                  <c:v>Family </c:v>
                </c:pt>
              </c:strCache>
            </c:strRef>
          </c:tx>
          <c:spPr>
            <a:solidFill>
              <a:schemeClr val="accent3">
                <a:lumMod val="50000"/>
              </a:schemeClr>
            </a:solidFill>
          </c:spPr>
          <c:invertIfNegative val="0"/>
          <c:cat>
            <c:strRef>
              <c:f>'F8.2'!$C$29:$I$29</c:f>
              <c:strCache>
                <c:ptCount val="7"/>
                <c:pt idx="0">
                  <c:v>Bolivia</c:v>
                </c:pt>
                <c:pt idx="1">
                  <c:v>Chile</c:v>
                </c:pt>
                <c:pt idx="2">
                  <c:v>Costa Rica</c:v>
                </c:pt>
                <c:pt idx="3">
                  <c:v>Ecuador</c:v>
                </c:pt>
                <c:pt idx="4">
                  <c:v>Panama</c:v>
                </c:pt>
                <c:pt idx="5">
                  <c:v>Paraguay</c:v>
                </c:pt>
                <c:pt idx="6">
                  <c:v>Latin America and the Caribbean</c:v>
                </c:pt>
              </c:strCache>
            </c:strRef>
          </c:cat>
          <c:val>
            <c:numRef>
              <c:f>'F8.2'!$C$33:$I$33</c:f>
              <c:numCache>
                <c:formatCode>0.0%</c:formatCode>
                <c:ptCount val="7"/>
                <c:pt idx="0">
                  <c:v>0.14139550000000001</c:v>
                </c:pt>
                <c:pt idx="1">
                  <c:v>0.23952100000000001</c:v>
                </c:pt>
                <c:pt idx="2">
                  <c:v>0.129945</c:v>
                </c:pt>
                <c:pt idx="3">
                  <c:v>0.18183299999999999</c:v>
                </c:pt>
                <c:pt idx="4">
                  <c:v>0.15715390000000001</c:v>
                </c:pt>
                <c:pt idx="5">
                  <c:v>0.15590109999999999</c:v>
                </c:pt>
                <c:pt idx="6">
                  <c:v>0.16762491666666665</c:v>
                </c:pt>
              </c:numCache>
            </c:numRef>
          </c:val>
          <c:extLst>
            <c:ext xmlns:c16="http://schemas.microsoft.com/office/drawing/2014/chart" uri="{C3380CC4-5D6E-409C-BE32-E72D297353CC}">
              <c16:uniqueId val="{00000003-409E-4EB4-B63B-F4490B0578E8}"/>
            </c:ext>
          </c:extLst>
        </c:ser>
        <c:ser>
          <c:idx val="4"/>
          <c:order val="4"/>
          <c:tx>
            <c:strRef>
              <c:f>'F8.2'!$B$34</c:f>
              <c:strCache>
                <c:ptCount val="1"/>
                <c:pt idx="0">
                  <c:v>Access</c:v>
                </c:pt>
              </c:strCache>
            </c:strRef>
          </c:tx>
          <c:spPr>
            <a:solidFill>
              <a:schemeClr val="accent3"/>
            </a:solidFill>
          </c:spPr>
          <c:invertIfNegative val="0"/>
          <c:cat>
            <c:strRef>
              <c:f>'F8.2'!$C$29:$I$29</c:f>
              <c:strCache>
                <c:ptCount val="7"/>
                <c:pt idx="0">
                  <c:v>Bolivia</c:v>
                </c:pt>
                <c:pt idx="1">
                  <c:v>Chile</c:v>
                </c:pt>
                <c:pt idx="2">
                  <c:v>Costa Rica</c:v>
                </c:pt>
                <c:pt idx="3">
                  <c:v>Ecuador</c:v>
                </c:pt>
                <c:pt idx="4">
                  <c:v>Panama</c:v>
                </c:pt>
                <c:pt idx="5">
                  <c:v>Paraguay</c:v>
                </c:pt>
                <c:pt idx="6">
                  <c:v>Latin America and the Caribbean</c:v>
                </c:pt>
              </c:strCache>
            </c:strRef>
          </c:cat>
          <c:val>
            <c:numRef>
              <c:f>'F8.2'!$C$34:$I$34</c:f>
              <c:numCache>
                <c:formatCode>0.0%</c:formatCode>
                <c:ptCount val="7"/>
                <c:pt idx="0">
                  <c:v>8.28845E-2</c:v>
                </c:pt>
                <c:pt idx="1">
                  <c:v>8.9437000000000006E-3</c:v>
                </c:pt>
                <c:pt idx="2">
                  <c:v>9.4657099999999994E-2</c:v>
                </c:pt>
                <c:pt idx="3">
                  <c:v>1.24928E-2</c:v>
                </c:pt>
                <c:pt idx="4">
                  <c:v>4.0568800000000002E-2</c:v>
                </c:pt>
                <c:pt idx="5">
                  <c:v>0.13341310000000001</c:v>
                </c:pt>
                <c:pt idx="6">
                  <c:v>6.216E-2</c:v>
                </c:pt>
              </c:numCache>
            </c:numRef>
          </c:val>
          <c:extLst>
            <c:ext xmlns:c16="http://schemas.microsoft.com/office/drawing/2014/chart" uri="{C3380CC4-5D6E-409C-BE32-E72D297353CC}">
              <c16:uniqueId val="{00000004-409E-4EB4-B63B-F4490B0578E8}"/>
            </c:ext>
          </c:extLst>
        </c:ser>
        <c:ser>
          <c:idx val="5"/>
          <c:order val="5"/>
          <c:tx>
            <c:strRef>
              <c:f>'F8.2'!$B$35</c:f>
              <c:strCache>
                <c:ptCount val="1"/>
                <c:pt idx="0">
                  <c:v>Health</c:v>
                </c:pt>
              </c:strCache>
            </c:strRef>
          </c:tx>
          <c:spPr>
            <a:solidFill>
              <a:schemeClr val="accent6">
                <a:lumMod val="50000"/>
              </a:schemeClr>
            </a:solidFill>
          </c:spPr>
          <c:invertIfNegative val="0"/>
          <c:cat>
            <c:strRef>
              <c:f>'F8.2'!$C$29:$I$29</c:f>
              <c:strCache>
                <c:ptCount val="7"/>
                <c:pt idx="0">
                  <c:v>Bolivia</c:v>
                </c:pt>
                <c:pt idx="1">
                  <c:v>Chile</c:v>
                </c:pt>
                <c:pt idx="2">
                  <c:v>Costa Rica</c:v>
                </c:pt>
                <c:pt idx="3">
                  <c:v>Ecuador</c:v>
                </c:pt>
                <c:pt idx="4">
                  <c:v>Panama</c:v>
                </c:pt>
                <c:pt idx="5">
                  <c:v>Paraguay</c:v>
                </c:pt>
                <c:pt idx="6">
                  <c:v>Latin America and the Caribbean</c:v>
                </c:pt>
              </c:strCache>
            </c:strRef>
          </c:cat>
          <c:val>
            <c:numRef>
              <c:f>'F8.2'!$C$35:$I$35</c:f>
              <c:numCache>
                <c:formatCode>0.0%</c:formatCode>
                <c:ptCount val="7"/>
                <c:pt idx="0">
                  <c:v>1.51495E-2</c:v>
                </c:pt>
                <c:pt idx="1">
                  <c:v>8.5175799999999996E-2</c:v>
                </c:pt>
                <c:pt idx="2">
                  <c:v>4.2017800000000001E-2</c:v>
                </c:pt>
                <c:pt idx="3">
                  <c:v>6.5687300000000004E-2</c:v>
                </c:pt>
                <c:pt idx="4">
                  <c:v>1.5563799999999999E-2</c:v>
                </c:pt>
                <c:pt idx="5">
                  <c:v>5.1501900000000003E-2</c:v>
                </c:pt>
                <c:pt idx="6">
                  <c:v>4.5849350000000004E-2</c:v>
                </c:pt>
              </c:numCache>
            </c:numRef>
          </c:val>
          <c:extLst>
            <c:ext xmlns:c16="http://schemas.microsoft.com/office/drawing/2014/chart" uri="{C3380CC4-5D6E-409C-BE32-E72D297353CC}">
              <c16:uniqueId val="{00000005-409E-4EB4-B63B-F4490B0578E8}"/>
            </c:ext>
          </c:extLst>
        </c:ser>
        <c:ser>
          <c:idx val="6"/>
          <c:order val="6"/>
          <c:tx>
            <c:strRef>
              <c:f>'F8.2'!$B$36</c:f>
              <c:strCache>
                <c:ptCount val="1"/>
                <c:pt idx="0">
                  <c:v>Others</c:v>
                </c:pt>
              </c:strCache>
            </c:strRef>
          </c:tx>
          <c:spPr>
            <a:pattFill prst="wdDnDiag">
              <a:fgClr>
                <a:schemeClr val="tx2"/>
              </a:fgClr>
              <a:bgClr>
                <a:schemeClr val="bg1"/>
              </a:bgClr>
            </a:pattFill>
          </c:spPr>
          <c:invertIfNegative val="0"/>
          <c:cat>
            <c:strRef>
              <c:f>'F8.2'!$C$29:$I$29</c:f>
              <c:strCache>
                <c:ptCount val="7"/>
                <c:pt idx="0">
                  <c:v>Bolivia</c:v>
                </c:pt>
                <c:pt idx="1">
                  <c:v>Chile</c:v>
                </c:pt>
                <c:pt idx="2">
                  <c:v>Costa Rica</c:v>
                </c:pt>
                <c:pt idx="3">
                  <c:v>Ecuador</c:v>
                </c:pt>
                <c:pt idx="4">
                  <c:v>Panama</c:v>
                </c:pt>
                <c:pt idx="5">
                  <c:v>Paraguay</c:v>
                </c:pt>
                <c:pt idx="6">
                  <c:v>Latin America and the Caribbean</c:v>
                </c:pt>
              </c:strCache>
            </c:strRef>
          </c:cat>
          <c:val>
            <c:numRef>
              <c:f>'F8.2'!$C$36:$I$36</c:f>
              <c:numCache>
                <c:formatCode>0.0%</c:formatCode>
                <c:ptCount val="7"/>
                <c:pt idx="0">
                  <c:v>5.11461E-2</c:v>
                </c:pt>
                <c:pt idx="1">
                  <c:v>0.31824809999999998</c:v>
                </c:pt>
                <c:pt idx="2">
                  <c:v>0.19943820000000001</c:v>
                </c:pt>
                <c:pt idx="3">
                  <c:v>0.10634010000000001</c:v>
                </c:pt>
                <c:pt idx="4">
                  <c:v>7.8019099999999994E-2</c:v>
                </c:pt>
                <c:pt idx="5">
                  <c:v>2.78442E-2</c:v>
                </c:pt>
                <c:pt idx="6">
                  <c:v>0.13017263333333334</c:v>
                </c:pt>
              </c:numCache>
            </c:numRef>
          </c:val>
          <c:extLst>
            <c:ext xmlns:c16="http://schemas.microsoft.com/office/drawing/2014/chart" uri="{C3380CC4-5D6E-409C-BE32-E72D297353CC}">
              <c16:uniqueId val="{00000006-409E-4EB4-B63B-F4490B0578E8}"/>
            </c:ext>
          </c:extLst>
        </c:ser>
        <c:dLbls>
          <c:showLegendKey val="0"/>
          <c:showVal val="0"/>
          <c:showCatName val="0"/>
          <c:showSerName val="0"/>
          <c:showPercent val="0"/>
          <c:showBubbleSize val="0"/>
        </c:dLbls>
        <c:gapWidth val="150"/>
        <c:overlap val="100"/>
        <c:axId val="263255936"/>
        <c:axId val="263257472"/>
      </c:barChart>
      <c:catAx>
        <c:axId val="263255936"/>
        <c:scaling>
          <c:orientation val="minMax"/>
        </c:scaling>
        <c:delete val="0"/>
        <c:axPos val="b"/>
        <c:numFmt formatCode="General" sourceLinked="0"/>
        <c:majorTickMark val="out"/>
        <c:minorTickMark val="none"/>
        <c:tickLblPos val="nextTo"/>
        <c:txPr>
          <a:bodyPr/>
          <a:lstStyle/>
          <a:p>
            <a:pPr>
              <a:defRPr sz="1100">
                <a:latin typeface="Times New Roman" panose="02020603050405020304" pitchFamily="18" charset="0"/>
                <a:cs typeface="Times New Roman" panose="02020603050405020304" pitchFamily="18" charset="0"/>
              </a:defRPr>
            </a:pPr>
            <a:endParaRPr lang="en-US"/>
          </a:p>
        </c:txPr>
        <c:crossAx val="263257472"/>
        <c:crosses val="autoZero"/>
        <c:auto val="1"/>
        <c:lblAlgn val="ctr"/>
        <c:lblOffset val="100"/>
        <c:noMultiLvlLbl val="0"/>
      </c:catAx>
      <c:valAx>
        <c:axId val="263257472"/>
        <c:scaling>
          <c:orientation val="minMax"/>
        </c:scaling>
        <c:delete val="0"/>
        <c:axPos val="l"/>
        <c:numFmt formatCode="0%"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3255936"/>
        <c:crosses val="autoZero"/>
        <c:crossBetween val="between"/>
      </c:valAx>
    </c:plotArea>
    <c:legend>
      <c:legendPos val="b"/>
      <c:layout>
        <c:manualLayout>
          <c:xMode val="edge"/>
          <c:yMode val="edge"/>
          <c:x val="2.3917760279964995E-2"/>
          <c:y val="0.87727245751176952"/>
          <c:w val="0.94383114610673668"/>
          <c:h val="9.4949728872644343E-2"/>
        </c:manualLayout>
      </c:layout>
      <c:overlay val="0"/>
      <c:txPr>
        <a:bodyPr/>
        <a:lstStyle/>
        <a:p>
          <a:pPr>
            <a:defRPr sz="110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1"/>
    <c:plotArea>
      <c:layout>
        <c:manualLayout>
          <c:layoutTarget val="inner"/>
          <c:xMode val="edge"/>
          <c:yMode val="edge"/>
          <c:x val="1.4692378328741965E-2"/>
          <c:y val="0.14047212566897607"/>
          <c:w val="0.95959595959595956"/>
          <c:h val="0.75922095323670125"/>
        </c:manualLayout>
      </c:layout>
      <c:barChart>
        <c:barDir val="col"/>
        <c:grouping val="clustered"/>
        <c:varyColors val="0"/>
        <c:ser>
          <c:idx val="0"/>
          <c:order val="0"/>
          <c:tx>
            <c:strRef>
              <c:f>'F9.1'!$B$33</c:f>
              <c:strCache>
                <c:ptCount val="1"/>
                <c:pt idx="0">
                  <c:v>Circa 1994</c:v>
                </c:pt>
              </c:strCache>
            </c:strRef>
          </c:tx>
          <c:invertIfNegative val="0"/>
          <c:dLbls>
            <c:spPr>
              <a:noFill/>
              <a:ln>
                <a:noFill/>
              </a:ln>
              <a:effectLst/>
            </c:spPr>
            <c:txPr>
              <a:bodyPr/>
              <a:lstStyle/>
              <a:p>
                <a:pPr>
                  <a:defRPr>
                    <a:latin typeface="Times New Roman" panose="02020603050405020304" pitchFamily="18" charset="0"/>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'F9.1'!$C$32:$J$32</c:f>
              <c:strCache>
                <c:ptCount val="8"/>
                <c:pt idx="0">
                  <c:v>Honduras</c:v>
                </c:pt>
                <c:pt idx="1">
                  <c:v>Mexico</c:v>
                </c:pt>
                <c:pt idx="2">
                  <c:v>Brazil</c:v>
                </c:pt>
                <c:pt idx="3">
                  <c:v>Peru</c:v>
                </c:pt>
                <c:pt idx="4">
                  <c:v>Costa Rica</c:v>
                </c:pt>
                <c:pt idx="5">
                  <c:v>Colombia</c:v>
                </c:pt>
                <c:pt idx="6">
                  <c:v>Argentina</c:v>
                </c:pt>
                <c:pt idx="7">
                  <c:v>Chile</c:v>
                </c:pt>
              </c:strCache>
            </c:strRef>
          </c:cat>
          <c:val>
            <c:numRef>
              <c:f>'F9.1'!$C$33:$J$33</c:f>
              <c:numCache>
                <c:formatCode>General</c:formatCode>
                <c:ptCount val="8"/>
                <c:pt idx="0">
                  <c:v>10</c:v>
                </c:pt>
                <c:pt idx="2">
                  <c:v>11</c:v>
                </c:pt>
                <c:pt idx="3">
                  <c:v>30</c:v>
                </c:pt>
                <c:pt idx="6">
                  <c:v>41</c:v>
                </c:pt>
                <c:pt idx="7">
                  <c:v>26</c:v>
                </c:pt>
              </c:numCache>
            </c:numRef>
          </c:val>
          <c:extLst>
            <c:ext xmlns:c16="http://schemas.microsoft.com/office/drawing/2014/chart" uri="{C3380CC4-5D6E-409C-BE32-E72D297353CC}">
              <c16:uniqueId val="{00000000-017B-4D02-BADD-C3FEB09FC253}"/>
            </c:ext>
          </c:extLst>
        </c:ser>
        <c:ser>
          <c:idx val="1"/>
          <c:order val="1"/>
          <c:tx>
            <c:strRef>
              <c:f>'F9.1'!$B$34</c:f>
              <c:strCache>
                <c:ptCount val="1"/>
                <c:pt idx="0">
                  <c:v>Circa 2004</c:v>
                </c:pt>
              </c:strCache>
            </c:strRef>
          </c:tx>
          <c:invertIfNegative val="0"/>
          <c:dLbls>
            <c:spPr>
              <a:noFill/>
              <a:ln>
                <a:noFill/>
              </a:ln>
              <a:effectLst/>
            </c:spPr>
            <c:txPr>
              <a:bodyPr/>
              <a:lstStyle/>
              <a:p>
                <a:pPr>
                  <a:defRPr>
                    <a:latin typeface="Times New Roman" panose="02020603050405020304" pitchFamily="18" charset="0"/>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'F9.1'!$C$32:$J$32</c:f>
              <c:strCache>
                <c:ptCount val="8"/>
                <c:pt idx="0">
                  <c:v>Honduras</c:v>
                </c:pt>
                <c:pt idx="1">
                  <c:v>Mexico</c:v>
                </c:pt>
                <c:pt idx="2">
                  <c:v>Brazil</c:v>
                </c:pt>
                <c:pt idx="3">
                  <c:v>Peru</c:v>
                </c:pt>
                <c:pt idx="4">
                  <c:v>Costa Rica</c:v>
                </c:pt>
                <c:pt idx="5">
                  <c:v>Colombia</c:v>
                </c:pt>
                <c:pt idx="6">
                  <c:v>Argentina</c:v>
                </c:pt>
                <c:pt idx="7">
                  <c:v>Chile</c:v>
                </c:pt>
              </c:strCache>
            </c:strRef>
          </c:cat>
          <c:val>
            <c:numRef>
              <c:f>'F9.1'!$C$34:$J$34</c:f>
              <c:numCache>
                <c:formatCode>General</c:formatCode>
                <c:ptCount val="8"/>
                <c:pt idx="0">
                  <c:v>17</c:v>
                </c:pt>
                <c:pt idx="1">
                  <c:v>29</c:v>
                </c:pt>
                <c:pt idx="2">
                  <c:v>22</c:v>
                </c:pt>
                <c:pt idx="3">
                  <c:v>32</c:v>
                </c:pt>
                <c:pt idx="4">
                  <c:v>38</c:v>
                </c:pt>
                <c:pt idx="5">
                  <c:v>37</c:v>
                </c:pt>
                <c:pt idx="6">
                  <c:v>58</c:v>
                </c:pt>
                <c:pt idx="7">
                  <c:v>43</c:v>
                </c:pt>
              </c:numCache>
            </c:numRef>
          </c:val>
          <c:extLst>
            <c:ext xmlns:c16="http://schemas.microsoft.com/office/drawing/2014/chart" uri="{C3380CC4-5D6E-409C-BE32-E72D297353CC}">
              <c16:uniqueId val="{00000001-017B-4D02-BADD-C3FEB09FC253}"/>
            </c:ext>
          </c:extLst>
        </c:ser>
        <c:ser>
          <c:idx val="2"/>
          <c:order val="2"/>
          <c:tx>
            <c:strRef>
              <c:f>'F9.1'!$B$35</c:f>
              <c:strCache>
                <c:ptCount val="1"/>
                <c:pt idx="0">
                  <c:v>Circa 2014</c:v>
                </c:pt>
              </c:strCache>
            </c:strRef>
          </c:tx>
          <c:invertIfNegative val="0"/>
          <c:dLbls>
            <c:spPr>
              <a:noFill/>
              <a:ln>
                <a:noFill/>
              </a:ln>
              <a:effectLst/>
            </c:spPr>
            <c:txPr>
              <a:bodyPr/>
              <a:lstStyle/>
              <a:p>
                <a:pPr>
                  <a:defRPr>
                    <a:latin typeface="Times New Roman" panose="02020603050405020304" pitchFamily="18" charset="0"/>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'F9.1'!$C$32:$J$32</c:f>
              <c:strCache>
                <c:ptCount val="8"/>
                <c:pt idx="0">
                  <c:v>Honduras</c:v>
                </c:pt>
                <c:pt idx="1">
                  <c:v>Mexico</c:v>
                </c:pt>
                <c:pt idx="2">
                  <c:v>Brazil</c:v>
                </c:pt>
                <c:pt idx="3">
                  <c:v>Peru</c:v>
                </c:pt>
                <c:pt idx="4">
                  <c:v>Costa Rica</c:v>
                </c:pt>
                <c:pt idx="5">
                  <c:v>Colombia</c:v>
                </c:pt>
                <c:pt idx="6">
                  <c:v>Argentina</c:v>
                </c:pt>
                <c:pt idx="7">
                  <c:v>Chile</c:v>
                </c:pt>
              </c:strCache>
            </c:strRef>
          </c:cat>
          <c:val>
            <c:numRef>
              <c:f>'F9.1'!$C$35:$J$35</c:f>
              <c:numCache>
                <c:formatCode>General</c:formatCode>
                <c:ptCount val="8"/>
                <c:pt idx="0">
                  <c:v>23</c:v>
                </c:pt>
                <c:pt idx="1">
                  <c:v>35</c:v>
                </c:pt>
                <c:pt idx="2">
                  <c:v>39</c:v>
                </c:pt>
                <c:pt idx="3">
                  <c:v>42</c:v>
                </c:pt>
                <c:pt idx="4">
                  <c:v>49</c:v>
                </c:pt>
                <c:pt idx="5">
                  <c:v>50</c:v>
                </c:pt>
                <c:pt idx="6">
                  <c:v>59</c:v>
                </c:pt>
                <c:pt idx="7">
                  <c:v>61</c:v>
                </c:pt>
              </c:numCache>
            </c:numRef>
          </c:val>
          <c:extLst>
            <c:ext xmlns:c16="http://schemas.microsoft.com/office/drawing/2014/chart" uri="{C3380CC4-5D6E-409C-BE32-E72D297353CC}">
              <c16:uniqueId val="{00000002-017B-4D02-BADD-C3FEB09FC253}"/>
            </c:ext>
          </c:extLst>
        </c:ser>
        <c:dLbls>
          <c:showLegendKey val="0"/>
          <c:showVal val="1"/>
          <c:showCatName val="0"/>
          <c:showSerName val="0"/>
          <c:showPercent val="0"/>
          <c:showBubbleSize val="0"/>
        </c:dLbls>
        <c:gapWidth val="150"/>
        <c:overlap val="-25"/>
        <c:axId val="263297280"/>
        <c:axId val="263319552"/>
      </c:barChart>
      <c:catAx>
        <c:axId val="263297280"/>
        <c:scaling>
          <c:orientation val="minMax"/>
        </c:scaling>
        <c:delete val="0"/>
        <c:axPos val="b"/>
        <c:numFmt formatCode="General" sourceLinked="0"/>
        <c:majorTickMark val="none"/>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3319552"/>
        <c:crosses val="autoZero"/>
        <c:auto val="1"/>
        <c:lblAlgn val="ctr"/>
        <c:lblOffset val="100"/>
        <c:noMultiLvlLbl val="0"/>
      </c:catAx>
      <c:valAx>
        <c:axId val="263319552"/>
        <c:scaling>
          <c:orientation val="minMax"/>
        </c:scaling>
        <c:delete val="1"/>
        <c:axPos val="l"/>
        <c:numFmt formatCode="General" sourceLinked="1"/>
        <c:majorTickMark val="none"/>
        <c:minorTickMark val="none"/>
        <c:tickLblPos val="nextTo"/>
        <c:crossAx val="263297280"/>
        <c:crosses val="autoZero"/>
        <c:crossBetween val="between"/>
      </c:valAx>
    </c:plotArea>
    <c:legend>
      <c:legendPos val="t"/>
      <c:layout>
        <c:manualLayout>
          <c:xMode val="edge"/>
          <c:yMode val="edge"/>
          <c:x val="0.30321627151977903"/>
          <c:y val="4.8192786324126845E-2"/>
          <c:w val="0.39356745696044193"/>
          <c:h val="7.2522554002641751E-2"/>
        </c:manualLayout>
      </c:layout>
      <c:overlay val="0"/>
      <c:txPr>
        <a:bodyPr/>
        <a:lstStyle/>
        <a:p>
          <a:pPr>
            <a:defRPr sz="110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'F9.3'!$B$31</c:f>
              <c:strCache>
                <c:ptCount val="1"/>
                <c:pt idx="0">
                  <c:v>Quintiles 1 and 2</c:v>
                </c:pt>
              </c:strCache>
            </c:strRef>
          </c:tx>
          <c:spPr>
            <a:ln>
              <a:noFill/>
            </a:ln>
          </c:spPr>
          <c:dLbls>
            <c:dLbl>
              <c:idx val="3"/>
              <c:layout>
                <c:manualLayout>
                  <c:x val="-5.7163272597356195E-3"/>
                  <c:y val="-1.72413793103448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45-4ECB-BA50-E23D46A95023}"/>
                </c:ext>
              </c:extLst>
            </c:dLbl>
            <c:dLbl>
              <c:idx val="4"/>
              <c:layout>
                <c:manualLayout>
                  <c:x val="-1.7148981779206859E-2"/>
                  <c:y val="-4.35139573070607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45-4ECB-BA50-E23D46A95023}"/>
                </c:ext>
              </c:extLst>
            </c:dLbl>
            <c:dLbl>
              <c:idx val="6"/>
              <c:layout>
                <c:manualLayout>
                  <c:x val="-1.7148981779206859E-2"/>
                  <c:y val="-3.03776683087027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45-4ECB-BA50-E23D46A95023}"/>
                </c:ext>
              </c:extLst>
            </c:dLbl>
            <c:dLbl>
              <c:idx val="12"/>
              <c:layout>
                <c:manualLayout>
                  <c:x val="-1.7148981779206859E-2"/>
                  <c:y val="-4.35139573070606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45-4ECB-BA50-E23D46A95023}"/>
                </c:ext>
              </c:extLst>
            </c:dLbl>
            <c:spPr>
              <a:noFill/>
              <a:ln>
                <a:noFill/>
              </a:ln>
              <a:effectLst/>
            </c:spPr>
            <c:txPr>
              <a:bodyPr/>
              <a:lstStyle/>
              <a:p>
                <a:pPr>
                  <a:defRPr>
                    <a:latin typeface="Times New Roman" panose="02020603050405020304" pitchFamily="18" charset="0"/>
                    <a:cs typeface="Times New Roman" panose="02020603050405020304" pitchFamily="18"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'F9.3'!$C$29:$P$30</c:f>
              <c:multiLvlStrCache>
                <c:ptCount val="14"/>
                <c:lvl>
                  <c:pt idx="0">
                    <c:v>2014</c:v>
                  </c:pt>
                  <c:pt idx="1">
                    <c:v>1998</c:v>
                  </c:pt>
                  <c:pt idx="2">
                    <c:v>2014</c:v>
                  </c:pt>
                  <c:pt idx="3">
                    <c:v>1998</c:v>
                  </c:pt>
                  <c:pt idx="4">
                    <c:v>2014</c:v>
                  </c:pt>
                  <c:pt idx="5">
                    <c:v>2014</c:v>
                  </c:pt>
                  <c:pt idx="6">
                    <c:v>1998</c:v>
                  </c:pt>
                  <c:pt idx="7">
                    <c:v>2014</c:v>
                  </c:pt>
                  <c:pt idx="8">
                    <c:v>1998</c:v>
                  </c:pt>
                  <c:pt idx="9">
                    <c:v>2014</c:v>
                  </c:pt>
                  <c:pt idx="10">
                    <c:v>1998</c:v>
                  </c:pt>
                  <c:pt idx="11">
                    <c:v>2014</c:v>
                  </c:pt>
                  <c:pt idx="12">
                    <c:v>1998</c:v>
                  </c:pt>
                  <c:pt idx="13">
                    <c:v>2014</c:v>
                  </c:pt>
                </c:lvl>
                <c:lvl>
                  <c:pt idx="0">
                    <c:v>Mexico</c:v>
                  </c:pt>
                  <c:pt idx="1">
                    <c:v>Peru</c:v>
                  </c:pt>
                  <c:pt idx="3">
                    <c:v>Honduras</c:v>
                  </c:pt>
                  <c:pt idx="5">
                    <c:v>Colombia</c:v>
                  </c:pt>
                  <c:pt idx="6">
                    <c:v>Brazil</c:v>
                  </c:pt>
                  <c:pt idx="8">
                    <c:v>Argentina</c:v>
                  </c:pt>
                  <c:pt idx="10">
                    <c:v>Chile</c:v>
                  </c:pt>
                  <c:pt idx="12">
                    <c:v>Costa Rica</c:v>
                  </c:pt>
                </c:lvl>
              </c:multiLvlStrCache>
            </c:multiLvlStrRef>
          </c:cat>
          <c:val>
            <c:numRef>
              <c:f>'F9.3'!$C$31:$P$31</c:f>
              <c:numCache>
                <c:formatCode>0</c:formatCode>
                <c:ptCount val="14"/>
                <c:pt idx="0">
                  <c:v>15.076029999999999</c:v>
                </c:pt>
                <c:pt idx="1">
                  <c:v>12.852130000000001</c:v>
                </c:pt>
                <c:pt idx="2">
                  <c:v>17.025069999999999</c:v>
                </c:pt>
                <c:pt idx="3">
                  <c:v>0.8045329</c:v>
                </c:pt>
                <c:pt idx="4">
                  <c:v>2.7782119999999999</c:v>
                </c:pt>
                <c:pt idx="5">
                  <c:v>21.163430000000002</c:v>
                </c:pt>
                <c:pt idx="6">
                  <c:v>1</c:v>
                </c:pt>
                <c:pt idx="7">
                  <c:v>9.41</c:v>
                </c:pt>
                <c:pt idx="8">
                  <c:v>24.500579999999999</c:v>
                </c:pt>
                <c:pt idx="9">
                  <c:v>61.839550000000003</c:v>
                </c:pt>
                <c:pt idx="10">
                  <c:v>8.5564160000000005</c:v>
                </c:pt>
                <c:pt idx="11">
                  <c:v>29.56578</c:v>
                </c:pt>
                <c:pt idx="12">
                  <c:v>3.466682</c:v>
                </c:pt>
                <c:pt idx="13">
                  <c:v>14.672319999999999</c:v>
                </c:pt>
              </c:numCache>
            </c:numRef>
          </c:val>
          <c:smooth val="0"/>
          <c:extLst>
            <c:ext xmlns:c16="http://schemas.microsoft.com/office/drawing/2014/chart" uri="{C3380CC4-5D6E-409C-BE32-E72D297353CC}">
              <c16:uniqueId val="{00000004-D845-4ECB-BA50-E23D46A95023}"/>
            </c:ext>
          </c:extLst>
        </c:ser>
        <c:ser>
          <c:idx val="1"/>
          <c:order val="1"/>
          <c:tx>
            <c:strRef>
              <c:f>'F9.3'!$B$32</c:f>
              <c:strCache>
                <c:ptCount val="1"/>
                <c:pt idx="0">
                  <c:v>Quintile 5</c:v>
                </c:pt>
              </c:strCache>
            </c:strRef>
          </c:tx>
          <c:spPr>
            <a:ln>
              <a:noFill/>
            </a:ln>
          </c:spPr>
          <c:marker>
            <c:spPr>
              <a:solidFill>
                <a:schemeClr val="tx2">
                  <a:lumMod val="75000"/>
                </a:schemeClr>
              </a:solidFill>
              <a:ln>
                <a:solidFill>
                  <a:schemeClr val="accent1">
                    <a:lumMod val="50000"/>
                  </a:schemeClr>
                </a:solid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'F9.3'!$C$29:$P$30</c:f>
              <c:multiLvlStrCache>
                <c:ptCount val="14"/>
                <c:lvl>
                  <c:pt idx="0">
                    <c:v>2014</c:v>
                  </c:pt>
                  <c:pt idx="1">
                    <c:v>1998</c:v>
                  </c:pt>
                  <c:pt idx="2">
                    <c:v>2014</c:v>
                  </c:pt>
                  <c:pt idx="3">
                    <c:v>1998</c:v>
                  </c:pt>
                  <c:pt idx="4">
                    <c:v>2014</c:v>
                  </c:pt>
                  <c:pt idx="5">
                    <c:v>2014</c:v>
                  </c:pt>
                  <c:pt idx="6">
                    <c:v>1998</c:v>
                  </c:pt>
                  <c:pt idx="7">
                    <c:v>2014</c:v>
                  </c:pt>
                  <c:pt idx="8">
                    <c:v>1998</c:v>
                  </c:pt>
                  <c:pt idx="9">
                    <c:v>2014</c:v>
                  </c:pt>
                  <c:pt idx="10">
                    <c:v>1998</c:v>
                  </c:pt>
                  <c:pt idx="11">
                    <c:v>2014</c:v>
                  </c:pt>
                  <c:pt idx="12">
                    <c:v>1998</c:v>
                  </c:pt>
                  <c:pt idx="13">
                    <c:v>2014</c:v>
                  </c:pt>
                </c:lvl>
                <c:lvl>
                  <c:pt idx="0">
                    <c:v>Mexico</c:v>
                  </c:pt>
                  <c:pt idx="1">
                    <c:v>Peru</c:v>
                  </c:pt>
                  <c:pt idx="3">
                    <c:v>Honduras</c:v>
                  </c:pt>
                  <c:pt idx="5">
                    <c:v>Colombia</c:v>
                  </c:pt>
                  <c:pt idx="6">
                    <c:v>Brazil</c:v>
                  </c:pt>
                  <c:pt idx="8">
                    <c:v>Argentina</c:v>
                  </c:pt>
                  <c:pt idx="10">
                    <c:v>Chile</c:v>
                  </c:pt>
                  <c:pt idx="12">
                    <c:v>Costa Rica</c:v>
                  </c:pt>
                </c:lvl>
              </c:multiLvlStrCache>
            </c:multiLvlStrRef>
          </c:cat>
          <c:val>
            <c:numRef>
              <c:f>'F9.3'!$C$32:$P$32</c:f>
              <c:numCache>
                <c:formatCode>0</c:formatCode>
                <c:ptCount val="14"/>
                <c:pt idx="0">
                  <c:v>55.014470000000003</c:v>
                </c:pt>
                <c:pt idx="1">
                  <c:v>49.670160000000003</c:v>
                </c:pt>
                <c:pt idx="2">
                  <c:v>59.486310000000003</c:v>
                </c:pt>
                <c:pt idx="3">
                  <c:v>6.2063879999999996</c:v>
                </c:pt>
                <c:pt idx="4">
                  <c:v>66.296599999999998</c:v>
                </c:pt>
                <c:pt idx="5">
                  <c:v>71.614369999999994</c:v>
                </c:pt>
                <c:pt idx="6">
                  <c:v>37.953530000000001</c:v>
                </c:pt>
                <c:pt idx="7">
                  <c:v>70.19</c:v>
                </c:pt>
                <c:pt idx="8">
                  <c:v>78.493510000000001</c:v>
                </c:pt>
                <c:pt idx="9">
                  <c:v>74.140479999999997</c:v>
                </c:pt>
                <c:pt idx="10">
                  <c:v>54.274850000000001</c:v>
                </c:pt>
                <c:pt idx="11">
                  <c:v>78.918549999999996</c:v>
                </c:pt>
                <c:pt idx="12">
                  <c:v>67.397019999999998</c:v>
                </c:pt>
                <c:pt idx="13">
                  <c:v>93.451679999999996</c:v>
                </c:pt>
              </c:numCache>
            </c:numRef>
          </c:val>
          <c:smooth val="0"/>
          <c:extLst>
            <c:ext xmlns:c16="http://schemas.microsoft.com/office/drawing/2014/chart" uri="{C3380CC4-5D6E-409C-BE32-E72D297353CC}">
              <c16:uniqueId val="{00000005-D845-4ECB-BA50-E23D46A95023}"/>
            </c:ext>
          </c:extLst>
        </c:ser>
        <c:dLbls>
          <c:showLegendKey val="0"/>
          <c:showVal val="1"/>
          <c:showCatName val="0"/>
          <c:showSerName val="0"/>
          <c:showPercent val="0"/>
          <c:showBubbleSize val="0"/>
        </c:dLbls>
        <c:upDownBars>
          <c:gapWidth val="75"/>
          <c:upBars/>
          <c:downBars/>
        </c:upDownBars>
        <c:marker val="1"/>
        <c:smooth val="0"/>
        <c:axId val="266750976"/>
        <c:axId val="266752768"/>
      </c:lineChart>
      <c:catAx>
        <c:axId val="266750976"/>
        <c:scaling>
          <c:orientation val="minMax"/>
        </c:scaling>
        <c:delete val="0"/>
        <c:axPos val="b"/>
        <c:numFmt formatCode="General" sourceLinked="0"/>
        <c:majorTickMark val="none"/>
        <c:minorTickMark val="none"/>
        <c:tickLblPos val="nextTo"/>
        <c:txPr>
          <a:bodyPr/>
          <a:lstStyle/>
          <a:p>
            <a:pPr>
              <a:defRPr sz="1100">
                <a:latin typeface="Times New Roman" panose="02020603050405020304" pitchFamily="18" charset="0"/>
                <a:cs typeface="Times New Roman" panose="02020603050405020304" pitchFamily="18" charset="0"/>
              </a:defRPr>
            </a:pPr>
            <a:endParaRPr lang="en-US"/>
          </a:p>
        </c:txPr>
        <c:crossAx val="266752768"/>
        <c:crosses val="autoZero"/>
        <c:auto val="1"/>
        <c:lblAlgn val="ctr"/>
        <c:lblOffset val="100"/>
        <c:noMultiLvlLbl val="0"/>
      </c:catAx>
      <c:valAx>
        <c:axId val="266752768"/>
        <c:scaling>
          <c:orientation val="minMax"/>
        </c:scaling>
        <c:delete val="1"/>
        <c:axPos val="l"/>
        <c:numFmt formatCode="0" sourceLinked="1"/>
        <c:majorTickMark val="none"/>
        <c:minorTickMark val="none"/>
        <c:tickLblPos val="nextTo"/>
        <c:crossAx val="266750976"/>
        <c:crosses val="autoZero"/>
        <c:crossBetween val="between"/>
      </c:valAx>
    </c:plotArea>
    <c:legend>
      <c:legendPos val="t"/>
      <c:overlay val="0"/>
      <c:txPr>
        <a:bodyPr/>
        <a:lstStyle/>
        <a:p>
          <a:pPr>
            <a:defRPr sz="120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Times New Roman" panose="02020603050405020304" pitchFamily="18" charset="0"/>
                <a:cs typeface="Times New Roman" panose="02020603050405020304" pitchFamily="18" charset="0"/>
              </a:defRPr>
            </a:pPr>
            <a:r>
              <a:rPr lang="en-US" sz="1200">
                <a:latin typeface="Times New Roman" panose="02020603050405020304" pitchFamily="18" charset="0"/>
                <a:cs typeface="Times New Roman" panose="02020603050405020304" pitchFamily="18" charset="0"/>
              </a:rPr>
              <a:t>b. Convergence in years of schooling</a:t>
            </a:r>
          </a:p>
        </c:rich>
      </c:tx>
      <c:overlay val="0"/>
    </c:title>
    <c:autoTitleDeleted val="0"/>
    <c:plotArea>
      <c:layout>
        <c:manualLayout>
          <c:layoutTarget val="inner"/>
          <c:xMode val="edge"/>
          <c:yMode val="edge"/>
          <c:x val="8.0274994908213396E-2"/>
          <c:y val="7.9351444943727589E-2"/>
          <c:w val="0.86674306268085499"/>
          <c:h val="0.84083439831801132"/>
        </c:manualLayout>
      </c:layout>
      <c:areaChart>
        <c:grouping val="standard"/>
        <c:varyColors val="0"/>
        <c:ser>
          <c:idx val="2"/>
          <c:order val="0"/>
          <c:tx>
            <c:strRef>
              <c:f>'F3.2'!$R$78</c:f>
              <c:strCache>
                <c:ptCount val="1"/>
                <c:pt idx="0">
                  <c:v>US</c:v>
                </c:pt>
              </c:strCache>
            </c:strRef>
          </c:tx>
          <c:spPr>
            <a:solidFill>
              <a:srgbClr val="002060"/>
            </a:solidFill>
          </c:spPr>
          <c:cat>
            <c:numRef>
              <c:f>'F3.2'!$P$79:$P$90</c:f>
              <c:numCache>
                <c:formatCode>General</c:formatCode>
                <c:ptCount val="12"/>
                <c:pt idx="0">
                  <c:v>1900</c:v>
                </c:pt>
                <c:pt idx="1">
                  <c:v>1910</c:v>
                </c:pt>
                <c:pt idx="2">
                  <c:v>1920</c:v>
                </c:pt>
                <c:pt idx="3">
                  <c:v>1930</c:v>
                </c:pt>
                <c:pt idx="4">
                  <c:v>1940</c:v>
                </c:pt>
                <c:pt idx="5">
                  <c:v>1950</c:v>
                </c:pt>
                <c:pt idx="6">
                  <c:v>1960</c:v>
                </c:pt>
                <c:pt idx="7">
                  <c:v>1970</c:v>
                </c:pt>
                <c:pt idx="8">
                  <c:v>1980</c:v>
                </c:pt>
                <c:pt idx="9">
                  <c:v>1990</c:v>
                </c:pt>
                <c:pt idx="10">
                  <c:v>2000</c:v>
                </c:pt>
                <c:pt idx="11">
                  <c:v>2010</c:v>
                </c:pt>
              </c:numCache>
            </c:numRef>
          </c:cat>
          <c:val>
            <c:numRef>
              <c:f>'F3.2'!$R$79:$R$90</c:f>
              <c:numCache>
                <c:formatCode>General</c:formatCode>
                <c:ptCount val="12"/>
                <c:pt idx="0">
                  <c:v>6.38</c:v>
                </c:pt>
                <c:pt idx="1">
                  <c:v>6.76</c:v>
                </c:pt>
                <c:pt idx="2">
                  <c:v>7.2</c:v>
                </c:pt>
                <c:pt idx="3">
                  <c:v>7.9</c:v>
                </c:pt>
                <c:pt idx="4">
                  <c:v>8.68</c:v>
                </c:pt>
                <c:pt idx="5">
                  <c:v>8.74</c:v>
                </c:pt>
                <c:pt idx="6">
                  <c:v>9.6300000000000008</c:v>
                </c:pt>
                <c:pt idx="7">
                  <c:v>11.1</c:v>
                </c:pt>
                <c:pt idx="8">
                  <c:v>12.28</c:v>
                </c:pt>
                <c:pt idx="9">
                  <c:v>12.55</c:v>
                </c:pt>
                <c:pt idx="10">
                  <c:v>13.1</c:v>
                </c:pt>
                <c:pt idx="11">
                  <c:v>13.24</c:v>
                </c:pt>
              </c:numCache>
            </c:numRef>
          </c:val>
          <c:extLst>
            <c:ext xmlns:c16="http://schemas.microsoft.com/office/drawing/2014/chart" uri="{C3380CC4-5D6E-409C-BE32-E72D297353CC}">
              <c16:uniqueId val="{00000000-8140-44B1-97D5-FE023A59D968}"/>
            </c:ext>
          </c:extLst>
        </c:ser>
        <c:ser>
          <c:idx val="1"/>
          <c:order val="1"/>
          <c:tx>
            <c:strRef>
              <c:f>'F3.2'!$Q$78</c:f>
              <c:strCache>
                <c:ptCount val="1"/>
                <c:pt idx="0">
                  <c:v>Advanced Economies</c:v>
                </c:pt>
              </c:strCache>
            </c:strRef>
          </c:tx>
          <c:spPr>
            <a:pattFill prst="wdDnDiag">
              <a:fgClr>
                <a:srgbClr val="002060"/>
              </a:fgClr>
              <a:bgClr>
                <a:schemeClr val="bg1"/>
              </a:bgClr>
            </a:pattFill>
            <a:ln w="19050">
              <a:solidFill>
                <a:schemeClr val="tx2"/>
              </a:solidFill>
            </a:ln>
          </c:spPr>
          <c:cat>
            <c:numRef>
              <c:f>'F3.2'!$P$79:$P$90</c:f>
              <c:numCache>
                <c:formatCode>General</c:formatCode>
                <c:ptCount val="12"/>
                <c:pt idx="0">
                  <c:v>1900</c:v>
                </c:pt>
                <c:pt idx="1">
                  <c:v>1910</c:v>
                </c:pt>
                <c:pt idx="2">
                  <c:v>1920</c:v>
                </c:pt>
                <c:pt idx="3">
                  <c:v>1930</c:v>
                </c:pt>
                <c:pt idx="4">
                  <c:v>1940</c:v>
                </c:pt>
                <c:pt idx="5">
                  <c:v>1950</c:v>
                </c:pt>
                <c:pt idx="6">
                  <c:v>1960</c:v>
                </c:pt>
                <c:pt idx="7">
                  <c:v>1970</c:v>
                </c:pt>
                <c:pt idx="8">
                  <c:v>1980</c:v>
                </c:pt>
                <c:pt idx="9">
                  <c:v>1990</c:v>
                </c:pt>
                <c:pt idx="10">
                  <c:v>2000</c:v>
                </c:pt>
                <c:pt idx="11">
                  <c:v>2010</c:v>
                </c:pt>
              </c:numCache>
            </c:numRef>
          </c:cat>
          <c:val>
            <c:numRef>
              <c:f>'F3.2'!$Q$79:$Q$90</c:f>
              <c:numCache>
                <c:formatCode>General</c:formatCode>
                <c:ptCount val="12"/>
                <c:pt idx="0">
                  <c:v>2.81</c:v>
                </c:pt>
                <c:pt idx="1">
                  <c:v>3.31</c:v>
                </c:pt>
                <c:pt idx="2">
                  <c:v>3.9</c:v>
                </c:pt>
                <c:pt idx="3">
                  <c:v>4.55</c:v>
                </c:pt>
                <c:pt idx="4">
                  <c:v>5.25</c:v>
                </c:pt>
                <c:pt idx="5">
                  <c:v>6.03</c:v>
                </c:pt>
                <c:pt idx="6">
                  <c:v>6.61</c:v>
                </c:pt>
                <c:pt idx="7">
                  <c:v>7.6</c:v>
                </c:pt>
                <c:pt idx="8">
                  <c:v>8.7899999999999991</c:v>
                </c:pt>
                <c:pt idx="9">
                  <c:v>9.65</c:v>
                </c:pt>
                <c:pt idx="10">
                  <c:v>10.56</c:v>
                </c:pt>
                <c:pt idx="11">
                  <c:v>11.52</c:v>
                </c:pt>
              </c:numCache>
            </c:numRef>
          </c:val>
          <c:extLst>
            <c:ext xmlns:c16="http://schemas.microsoft.com/office/drawing/2014/chart" uri="{C3380CC4-5D6E-409C-BE32-E72D297353CC}">
              <c16:uniqueId val="{00000001-8140-44B1-97D5-FE023A59D968}"/>
            </c:ext>
          </c:extLst>
        </c:ser>
        <c:ser>
          <c:idx val="0"/>
          <c:order val="2"/>
          <c:tx>
            <c:strRef>
              <c:f>'F3.2'!$S$78</c:f>
              <c:strCache>
                <c:ptCount val="1"/>
                <c:pt idx="0">
                  <c:v>Panama</c:v>
                </c:pt>
              </c:strCache>
            </c:strRef>
          </c:tx>
          <c:spPr>
            <a:solidFill>
              <a:schemeClr val="bg2">
                <a:lumMod val="50000"/>
              </a:schemeClr>
            </a:solidFill>
          </c:spPr>
          <c:cat>
            <c:numRef>
              <c:f>'F3.2'!$P$79:$P$90</c:f>
              <c:numCache>
                <c:formatCode>General</c:formatCode>
                <c:ptCount val="12"/>
                <c:pt idx="0">
                  <c:v>1900</c:v>
                </c:pt>
                <c:pt idx="1">
                  <c:v>1910</c:v>
                </c:pt>
                <c:pt idx="2">
                  <c:v>1920</c:v>
                </c:pt>
                <c:pt idx="3">
                  <c:v>1930</c:v>
                </c:pt>
                <c:pt idx="4">
                  <c:v>1940</c:v>
                </c:pt>
                <c:pt idx="5">
                  <c:v>1950</c:v>
                </c:pt>
                <c:pt idx="6">
                  <c:v>1960</c:v>
                </c:pt>
                <c:pt idx="7">
                  <c:v>1970</c:v>
                </c:pt>
                <c:pt idx="8">
                  <c:v>1980</c:v>
                </c:pt>
                <c:pt idx="9">
                  <c:v>1990</c:v>
                </c:pt>
                <c:pt idx="10">
                  <c:v>2000</c:v>
                </c:pt>
                <c:pt idx="11">
                  <c:v>2010</c:v>
                </c:pt>
              </c:numCache>
            </c:numRef>
          </c:cat>
          <c:val>
            <c:numRef>
              <c:f>'F3.2'!$S$79:$S$90</c:f>
              <c:numCache>
                <c:formatCode>General</c:formatCode>
                <c:ptCount val="12"/>
                <c:pt idx="0">
                  <c:v>0.87392304012345678</c:v>
                </c:pt>
                <c:pt idx="1">
                  <c:v>1.5319356820987655</c:v>
                </c:pt>
                <c:pt idx="2">
                  <c:v>2.0048822685185184</c:v>
                </c:pt>
                <c:pt idx="3">
                  <c:v>2.549798987654321</c:v>
                </c:pt>
                <c:pt idx="4">
                  <c:v>3.2592188672839506</c:v>
                </c:pt>
                <c:pt idx="5">
                  <c:v>3.9789201944444446</c:v>
                </c:pt>
                <c:pt idx="6">
                  <c:v>4.8836875771604937</c:v>
                </c:pt>
                <c:pt idx="7">
                  <c:v>5.5417002191358025</c:v>
                </c:pt>
                <c:pt idx="8">
                  <c:v>7.0839173487654321</c:v>
                </c:pt>
                <c:pt idx="9">
                  <c:v>8.3074096049382717</c:v>
                </c:pt>
                <c:pt idx="10">
                  <c:v>9.5000575185185188</c:v>
                </c:pt>
                <c:pt idx="11">
                  <c:v>9.9935670000000005</c:v>
                </c:pt>
              </c:numCache>
            </c:numRef>
          </c:val>
          <c:extLst>
            <c:ext xmlns:c16="http://schemas.microsoft.com/office/drawing/2014/chart" uri="{C3380CC4-5D6E-409C-BE32-E72D297353CC}">
              <c16:uniqueId val="{00000002-8140-44B1-97D5-FE023A59D968}"/>
            </c:ext>
          </c:extLst>
        </c:ser>
        <c:ser>
          <c:idx val="3"/>
          <c:order val="3"/>
          <c:tx>
            <c:strRef>
              <c:f>'F3.2'!$T$78</c:f>
              <c:strCache>
                <c:ptCount val="1"/>
                <c:pt idx="0">
                  <c:v>Comparison Countries</c:v>
                </c:pt>
              </c:strCache>
            </c:strRef>
          </c:tx>
          <c:spPr>
            <a:solidFill>
              <a:schemeClr val="bg1">
                <a:lumMod val="50000"/>
              </a:schemeClr>
            </a:solidFill>
          </c:spPr>
          <c:cat>
            <c:numRef>
              <c:f>'F3.2'!$P$79:$P$90</c:f>
              <c:numCache>
                <c:formatCode>General</c:formatCode>
                <c:ptCount val="12"/>
                <c:pt idx="0">
                  <c:v>1900</c:v>
                </c:pt>
                <c:pt idx="1">
                  <c:v>1910</c:v>
                </c:pt>
                <c:pt idx="2">
                  <c:v>1920</c:v>
                </c:pt>
                <c:pt idx="3">
                  <c:v>1930</c:v>
                </c:pt>
                <c:pt idx="4">
                  <c:v>1940</c:v>
                </c:pt>
                <c:pt idx="5">
                  <c:v>1950</c:v>
                </c:pt>
                <c:pt idx="6">
                  <c:v>1960</c:v>
                </c:pt>
                <c:pt idx="7">
                  <c:v>1970</c:v>
                </c:pt>
                <c:pt idx="8">
                  <c:v>1980</c:v>
                </c:pt>
                <c:pt idx="9">
                  <c:v>1990</c:v>
                </c:pt>
                <c:pt idx="10">
                  <c:v>2000</c:v>
                </c:pt>
                <c:pt idx="11">
                  <c:v>2010</c:v>
                </c:pt>
              </c:numCache>
            </c:numRef>
          </c:cat>
          <c:val>
            <c:numRef>
              <c:f>'F3.2'!$T$79:$T$90</c:f>
              <c:numCache>
                <c:formatCode>General</c:formatCode>
                <c:ptCount val="12"/>
                <c:pt idx="0">
                  <c:v>0.69</c:v>
                </c:pt>
                <c:pt idx="1">
                  <c:v>0.96</c:v>
                </c:pt>
                <c:pt idx="2">
                  <c:v>1.37</c:v>
                </c:pt>
                <c:pt idx="3">
                  <c:v>1.7</c:v>
                </c:pt>
                <c:pt idx="4">
                  <c:v>2.14</c:v>
                </c:pt>
                <c:pt idx="5">
                  <c:v>2.68</c:v>
                </c:pt>
                <c:pt idx="6">
                  <c:v>3.26</c:v>
                </c:pt>
                <c:pt idx="7">
                  <c:v>4.26</c:v>
                </c:pt>
                <c:pt idx="8">
                  <c:v>5.57</c:v>
                </c:pt>
                <c:pt idx="9">
                  <c:v>6.73</c:v>
                </c:pt>
                <c:pt idx="10">
                  <c:v>7.94</c:v>
                </c:pt>
                <c:pt idx="11">
                  <c:v>9.26</c:v>
                </c:pt>
              </c:numCache>
            </c:numRef>
          </c:val>
          <c:extLst>
            <c:ext xmlns:c16="http://schemas.microsoft.com/office/drawing/2014/chart" uri="{C3380CC4-5D6E-409C-BE32-E72D297353CC}">
              <c16:uniqueId val="{00000003-8140-44B1-97D5-FE023A59D968}"/>
            </c:ext>
          </c:extLst>
        </c:ser>
        <c:ser>
          <c:idx val="4"/>
          <c:order val="4"/>
          <c:tx>
            <c:strRef>
              <c:f>'F3.2'!$M$100</c:f>
              <c:strCache>
                <c:ptCount val="1"/>
                <c:pt idx="0">
                  <c:v>LAC2</c:v>
                </c:pt>
              </c:strCache>
            </c:strRef>
          </c:tx>
          <c:spPr>
            <a:noFill/>
            <a:ln w="69850">
              <a:solidFill>
                <a:schemeClr val="bg2">
                  <a:lumMod val="50000"/>
                </a:schemeClr>
              </a:solidFill>
            </a:ln>
          </c:spPr>
          <c:cat>
            <c:numRef>
              <c:f>'F3.2'!$P$79:$P$90</c:f>
              <c:numCache>
                <c:formatCode>General</c:formatCode>
                <c:ptCount val="12"/>
                <c:pt idx="0">
                  <c:v>1900</c:v>
                </c:pt>
                <c:pt idx="1">
                  <c:v>1910</c:v>
                </c:pt>
                <c:pt idx="2">
                  <c:v>1920</c:v>
                </c:pt>
                <c:pt idx="3">
                  <c:v>1930</c:v>
                </c:pt>
                <c:pt idx="4">
                  <c:v>1940</c:v>
                </c:pt>
                <c:pt idx="5">
                  <c:v>1950</c:v>
                </c:pt>
                <c:pt idx="6">
                  <c:v>1960</c:v>
                </c:pt>
                <c:pt idx="7">
                  <c:v>1970</c:v>
                </c:pt>
                <c:pt idx="8">
                  <c:v>1980</c:v>
                </c:pt>
                <c:pt idx="9">
                  <c:v>1990</c:v>
                </c:pt>
                <c:pt idx="10">
                  <c:v>2000</c:v>
                </c:pt>
                <c:pt idx="11">
                  <c:v>2010</c:v>
                </c:pt>
              </c:numCache>
            </c:numRef>
          </c:cat>
          <c:val>
            <c:numRef>
              <c:f>'F3.2'!$M$101:$M$112</c:f>
              <c:numCache>
                <c:formatCode>General</c:formatCode>
                <c:ptCount val="12"/>
                <c:pt idx="0">
                  <c:v>0.69</c:v>
                </c:pt>
                <c:pt idx="1">
                  <c:v>0.96</c:v>
                </c:pt>
                <c:pt idx="2">
                  <c:v>1.37</c:v>
                </c:pt>
                <c:pt idx="3">
                  <c:v>1.7</c:v>
                </c:pt>
                <c:pt idx="4">
                  <c:v>2.14</c:v>
                </c:pt>
                <c:pt idx="5">
                  <c:v>2.68</c:v>
                </c:pt>
                <c:pt idx="6">
                  <c:v>3.26</c:v>
                </c:pt>
                <c:pt idx="7">
                  <c:v>4.26</c:v>
                </c:pt>
                <c:pt idx="8">
                  <c:v>5.57</c:v>
                </c:pt>
                <c:pt idx="9">
                  <c:v>6.73</c:v>
                </c:pt>
                <c:pt idx="10">
                  <c:v>7.94</c:v>
                </c:pt>
                <c:pt idx="11">
                  <c:v>9.26</c:v>
                </c:pt>
              </c:numCache>
            </c:numRef>
          </c:val>
          <c:extLst>
            <c:ext xmlns:c16="http://schemas.microsoft.com/office/drawing/2014/chart" uri="{C3380CC4-5D6E-409C-BE32-E72D297353CC}">
              <c16:uniqueId val="{00000004-8140-44B1-97D5-FE023A59D968}"/>
            </c:ext>
          </c:extLst>
        </c:ser>
        <c:ser>
          <c:idx val="5"/>
          <c:order val="5"/>
          <c:tx>
            <c:strRef>
              <c:f>'F3.2'!$L$100</c:f>
              <c:strCache>
                <c:ptCount val="1"/>
                <c:pt idx="0">
                  <c:v>xxx</c:v>
                </c:pt>
              </c:strCache>
            </c:strRef>
          </c:tx>
          <c:spPr>
            <a:solidFill>
              <a:schemeClr val="bg1">
                <a:lumMod val="50000"/>
              </a:schemeClr>
            </a:solidFill>
            <a:ln w="50800">
              <a:solidFill>
                <a:schemeClr val="bg1">
                  <a:lumMod val="50000"/>
                </a:schemeClr>
              </a:solidFill>
            </a:ln>
          </c:spPr>
          <c:cat>
            <c:numRef>
              <c:f>'F3.2'!$P$79:$P$90</c:f>
              <c:numCache>
                <c:formatCode>General</c:formatCode>
                <c:ptCount val="12"/>
                <c:pt idx="0">
                  <c:v>1900</c:v>
                </c:pt>
                <c:pt idx="1">
                  <c:v>1910</c:v>
                </c:pt>
                <c:pt idx="2">
                  <c:v>1920</c:v>
                </c:pt>
                <c:pt idx="3">
                  <c:v>1930</c:v>
                </c:pt>
                <c:pt idx="4">
                  <c:v>1940</c:v>
                </c:pt>
                <c:pt idx="5">
                  <c:v>1950</c:v>
                </c:pt>
                <c:pt idx="6">
                  <c:v>1960</c:v>
                </c:pt>
                <c:pt idx="7">
                  <c:v>1970</c:v>
                </c:pt>
                <c:pt idx="8">
                  <c:v>1980</c:v>
                </c:pt>
                <c:pt idx="9">
                  <c:v>1990</c:v>
                </c:pt>
                <c:pt idx="10">
                  <c:v>2000</c:v>
                </c:pt>
                <c:pt idx="11">
                  <c:v>2010</c:v>
                </c:pt>
              </c:numCache>
            </c:numRef>
          </c:cat>
          <c:val>
            <c:numRef>
              <c:f>'F3.2'!$L$101:$L$112</c:f>
              <c:numCache>
                <c:formatCode>General</c:formatCode>
                <c:ptCount val="12"/>
                <c:pt idx="0">
                  <c:v>0.69</c:v>
                </c:pt>
                <c:pt idx="1">
                  <c:v>0</c:v>
                </c:pt>
                <c:pt idx="2">
                  <c:v>0</c:v>
                </c:pt>
                <c:pt idx="3">
                  <c:v>0</c:v>
                </c:pt>
                <c:pt idx="4">
                  <c:v>0</c:v>
                </c:pt>
                <c:pt idx="5">
                  <c:v>0</c:v>
                </c:pt>
                <c:pt idx="6">
                  <c:v>0</c:v>
                </c:pt>
                <c:pt idx="7">
                  <c:v>0</c:v>
                </c:pt>
                <c:pt idx="8">
                  <c:v>0</c:v>
                </c:pt>
                <c:pt idx="9">
                  <c:v>0</c:v>
                </c:pt>
                <c:pt idx="10">
                  <c:v>0</c:v>
                </c:pt>
                <c:pt idx="11">
                  <c:v>9.26</c:v>
                </c:pt>
              </c:numCache>
            </c:numRef>
          </c:val>
          <c:extLst>
            <c:ext xmlns:c16="http://schemas.microsoft.com/office/drawing/2014/chart" uri="{C3380CC4-5D6E-409C-BE32-E72D297353CC}">
              <c16:uniqueId val="{00000005-8140-44B1-97D5-FE023A59D968}"/>
            </c:ext>
          </c:extLst>
        </c:ser>
        <c:dLbls>
          <c:showLegendKey val="0"/>
          <c:showVal val="0"/>
          <c:showCatName val="0"/>
          <c:showSerName val="0"/>
          <c:showPercent val="0"/>
          <c:showBubbleSize val="0"/>
        </c:dLbls>
        <c:axId val="259171072"/>
        <c:axId val="259172608"/>
      </c:areaChart>
      <c:catAx>
        <c:axId val="259171072"/>
        <c:scaling>
          <c:orientation val="minMax"/>
        </c:scaling>
        <c:delete val="0"/>
        <c:axPos val="b"/>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59172608"/>
        <c:crosses val="autoZero"/>
        <c:auto val="1"/>
        <c:lblAlgn val="ctr"/>
        <c:lblOffset val="100"/>
        <c:noMultiLvlLbl val="0"/>
      </c:catAx>
      <c:valAx>
        <c:axId val="259172608"/>
        <c:scaling>
          <c:orientation val="minMax"/>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Years of Education</a:t>
                </a:r>
              </a:p>
            </c:rich>
          </c:tx>
          <c:overlay val="0"/>
        </c:title>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59171072"/>
        <c:crosses val="autoZero"/>
        <c:crossBetween val="midCat"/>
      </c:valAx>
      <c:spPr>
        <a:noFill/>
        <a:ln w="25400">
          <a:noFill/>
        </a:ln>
      </c:spPr>
    </c:plotArea>
    <c:legend>
      <c:legendPos val="l"/>
      <c:legendEntry>
        <c:idx val="4"/>
        <c:delete val="1"/>
      </c:legendEntry>
      <c:legendEntry>
        <c:idx val="5"/>
        <c:delete val="1"/>
      </c:legendEntry>
      <c:layout>
        <c:manualLayout>
          <c:xMode val="edge"/>
          <c:yMode val="edge"/>
          <c:x val="0.104391711741322"/>
          <c:y val="0.1163472811971802"/>
          <c:w val="0.25913679255661293"/>
          <c:h val="0.1817698699264802"/>
        </c:manualLayout>
      </c:layout>
      <c:overlay val="1"/>
      <c:txPr>
        <a:bodyPr/>
        <a:lstStyle/>
        <a:p>
          <a:pPr>
            <a:defRPr sz="1200">
              <a:latin typeface="Times New Roman" panose="02020603050405020304" pitchFamily="18" charset="0"/>
              <a:cs typeface="Times New Roman" panose="02020603050405020304" pitchFamily="18" charset="0"/>
            </a:defRPr>
          </a:pPr>
          <a:endParaRPr lang="en-US"/>
        </a:p>
      </c:txPr>
    </c:legend>
    <c:plotVisOnly val="1"/>
    <c:dispBlanksAs val="zero"/>
    <c:showDLblsOverMax val="0"/>
  </c:chart>
  <c:spPr>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barChart>
        <c:barDir val="col"/>
        <c:grouping val="clustered"/>
        <c:varyColors val="0"/>
        <c:ser>
          <c:idx val="0"/>
          <c:order val="0"/>
          <c:tx>
            <c:strRef>
              <c:f>'F9.4'!$I$34</c:f>
              <c:strCache>
                <c:ptCount val="1"/>
                <c:pt idx="0">
                  <c:v>CIRCA 2001</c:v>
                </c:pt>
              </c:strCache>
            </c:strRef>
          </c:tx>
          <c:invertIfNegative val="0"/>
          <c:dLbls>
            <c:spPr>
              <a:noFill/>
              <a:ln>
                <a:noFill/>
              </a:ln>
              <a:effectLst/>
            </c:spPr>
            <c:txPr>
              <a:bodyPr/>
              <a:lstStyle/>
              <a:p>
                <a:pPr>
                  <a:defRPr>
                    <a:latin typeface="Times New Roman" panose="02020603050405020304" pitchFamily="18" charset="0"/>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'F9.4'!$H$35:$H$42</c:f>
              <c:strCache>
                <c:ptCount val="8"/>
                <c:pt idx="0">
                  <c:v>Peru</c:v>
                </c:pt>
                <c:pt idx="1">
                  <c:v>Chile</c:v>
                </c:pt>
                <c:pt idx="2">
                  <c:v>Brazil</c:v>
                </c:pt>
                <c:pt idx="3">
                  <c:v>Mexico</c:v>
                </c:pt>
                <c:pt idx="4">
                  <c:v>Argentina</c:v>
                </c:pt>
                <c:pt idx="5">
                  <c:v>USA</c:v>
                </c:pt>
                <c:pt idx="6">
                  <c:v>Honduras</c:v>
                </c:pt>
                <c:pt idx="7">
                  <c:v>OECD</c:v>
                </c:pt>
              </c:strCache>
            </c:strRef>
          </c:cat>
          <c:val>
            <c:numRef>
              <c:f>'F9.4'!$I$35:$I$42</c:f>
              <c:numCache>
                <c:formatCode>0.0</c:formatCode>
                <c:ptCount val="8"/>
                <c:pt idx="0">
                  <c:v>0.69145999999999996</c:v>
                </c:pt>
                <c:pt idx="1">
                  <c:v>0.39660000000000001</c:v>
                </c:pt>
                <c:pt idx="2">
                  <c:v>0.73077000000000003</c:v>
                </c:pt>
                <c:pt idx="3">
                  <c:v>0.60419</c:v>
                </c:pt>
                <c:pt idx="4">
                  <c:v>0.82537000000000005</c:v>
                </c:pt>
                <c:pt idx="5">
                  <c:v>0.89839000000000002</c:v>
                </c:pt>
                <c:pt idx="7">
                  <c:v>0.8758119230769229</c:v>
                </c:pt>
              </c:numCache>
            </c:numRef>
          </c:val>
          <c:extLst>
            <c:ext xmlns:c16="http://schemas.microsoft.com/office/drawing/2014/chart" uri="{C3380CC4-5D6E-409C-BE32-E72D297353CC}">
              <c16:uniqueId val="{00000000-4EBE-41C9-853B-046390720BCA}"/>
            </c:ext>
          </c:extLst>
        </c:ser>
        <c:ser>
          <c:idx val="1"/>
          <c:order val="1"/>
          <c:tx>
            <c:strRef>
              <c:f>'F9.4'!$J$34</c:f>
              <c:strCache>
                <c:ptCount val="1"/>
                <c:pt idx="0">
                  <c:v>CIRCA 2012</c:v>
                </c:pt>
              </c:strCache>
            </c:strRef>
          </c:tx>
          <c:invertIfNegative val="0"/>
          <c:dLbls>
            <c:spPr>
              <a:noFill/>
              <a:ln>
                <a:noFill/>
              </a:ln>
              <a:effectLst/>
            </c:spPr>
            <c:txPr>
              <a:bodyPr/>
              <a:lstStyle/>
              <a:p>
                <a:pPr>
                  <a:defRPr>
                    <a:latin typeface="Times New Roman" panose="02020603050405020304" pitchFamily="18" charset="0"/>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'F9.4'!$H$35:$H$42</c:f>
              <c:strCache>
                <c:ptCount val="8"/>
                <c:pt idx="0">
                  <c:v>Peru</c:v>
                </c:pt>
                <c:pt idx="1">
                  <c:v>Chile</c:v>
                </c:pt>
                <c:pt idx="2">
                  <c:v>Brazil</c:v>
                </c:pt>
                <c:pt idx="3">
                  <c:v>Mexico</c:v>
                </c:pt>
                <c:pt idx="4">
                  <c:v>Argentina</c:v>
                </c:pt>
                <c:pt idx="5">
                  <c:v>USA</c:v>
                </c:pt>
                <c:pt idx="6">
                  <c:v>Honduras</c:v>
                </c:pt>
                <c:pt idx="7">
                  <c:v>OECD</c:v>
                </c:pt>
              </c:strCache>
            </c:strRef>
          </c:cat>
          <c:val>
            <c:numRef>
              <c:f>'F9.4'!$J$35:$J$42</c:f>
              <c:numCache>
                <c:formatCode>0.0</c:formatCode>
                <c:ptCount val="8"/>
                <c:pt idx="0">
                  <c:v>0.49518000000000001</c:v>
                </c:pt>
                <c:pt idx="1">
                  <c:v>0.59682999999999997</c:v>
                </c:pt>
                <c:pt idx="2">
                  <c:v>0.81574999999999998</c:v>
                </c:pt>
                <c:pt idx="3">
                  <c:v>0.84853000000000001</c:v>
                </c:pt>
                <c:pt idx="4">
                  <c:v>0.95799999999999996</c:v>
                </c:pt>
                <c:pt idx="5">
                  <c:v>0.96621000000000001</c:v>
                </c:pt>
                <c:pt idx="6">
                  <c:v>0.97428999999999999</c:v>
                </c:pt>
                <c:pt idx="7">
                  <c:v>1.0058199999999999</c:v>
                </c:pt>
              </c:numCache>
            </c:numRef>
          </c:val>
          <c:extLst>
            <c:ext xmlns:c16="http://schemas.microsoft.com/office/drawing/2014/chart" uri="{C3380CC4-5D6E-409C-BE32-E72D297353CC}">
              <c16:uniqueId val="{00000001-4EBE-41C9-853B-046390720BCA}"/>
            </c:ext>
          </c:extLst>
        </c:ser>
        <c:dLbls>
          <c:showLegendKey val="0"/>
          <c:showVal val="1"/>
          <c:showCatName val="0"/>
          <c:showSerName val="0"/>
          <c:showPercent val="0"/>
          <c:showBubbleSize val="0"/>
        </c:dLbls>
        <c:gapWidth val="75"/>
        <c:axId val="266713344"/>
        <c:axId val="266714496"/>
      </c:barChart>
      <c:catAx>
        <c:axId val="266713344"/>
        <c:scaling>
          <c:orientation val="minMax"/>
        </c:scaling>
        <c:delete val="0"/>
        <c:axPos val="b"/>
        <c:numFmt formatCode="General" sourceLinked="0"/>
        <c:majorTickMark val="none"/>
        <c:minorTickMark val="none"/>
        <c:tickLblPos val="nextTo"/>
        <c:txPr>
          <a:bodyPr/>
          <a:lstStyle/>
          <a:p>
            <a:pPr>
              <a:defRPr sz="1100">
                <a:latin typeface="Times New Roman" panose="02020603050405020304" pitchFamily="18" charset="0"/>
                <a:cs typeface="Times New Roman" panose="02020603050405020304" pitchFamily="18" charset="0"/>
              </a:defRPr>
            </a:pPr>
            <a:endParaRPr lang="en-US"/>
          </a:p>
        </c:txPr>
        <c:crossAx val="266714496"/>
        <c:crosses val="autoZero"/>
        <c:auto val="1"/>
        <c:lblAlgn val="ctr"/>
        <c:lblOffset val="100"/>
        <c:noMultiLvlLbl val="0"/>
      </c:catAx>
      <c:valAx>
        <c:axId val="266714496"/>
        <c:scaling>
          <c:orientation val="minMax"/>
        </c:scaling>
        <c:delete val="0"/>
        <c:axPos val="l"/>
        <c:numFmt formatCode="0.0" sourceLinked="1"/>
        <c:majorTickMark val="none"/>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6713344"/>
        <c:crosses val="autoZero"/>
        <c:crossBetween val="between"/>
      </c:valAx>
    </c:plotArea>
    <c:legend>
      <c:legendPos val="b"/>
      <c:overlay val="0"/>
      <c:txPr>
        <a:bodyPr/>
        <a:lstStyle/>
        <a:p>
          <a:pPr>
            <a:defRPr sz="120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manualLayout>
          <c:layoutTarget val="inner"/>
          <c:xMode val="edge"/>
          <c:yMode val="edge"/>
          <c:x val="6.3037134587598603E-2"/>
          <c:y val="3.6978815897413302E-2"/>
          <c:w val="0.91929287079044997"/>
          <c:h val="0.80654257520022221"/>
        </c:manualLayout>
      </c:layout>
      <c:barChart>
        <c:barDir val="col"/>
        <c:grouping val="clustered"/>
        <c:varyColors val="0"/>
        <c:ser>
          <c:idx val="0"/>
          <c:order val="0"/>
          <c:tx>
            <c:strRef>
              <c:f>'F9.5'!$C$28</c:f>
              <c:strCache>
                <c:ptCount val="1"/>
                <c:pt idx="0">
                  <c:v>CIRCA 2003</c:v>
                </c:pt>
              </c:strCache>
            </c:strRef>
          </c:tx>
          <c:invertIfNegative val="0"/>
          <c:dLbls>
            <c:spPr>
              <a:noFill/>
              <a:ln>
                <a:noFill/>
              </a:ln>
              <a:effectLst/>
            </c:spPr>
            <c:txPr>
              <a:bodyPr/>
              <a:lstStyle/>
              <a:p>
                <a:pPr>
                  <a:defRPr>
                    <a:latin typeface="Times New Roman" panose="02020603050405020304" pitchFamily="18"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'F9.5'!$B$29:$B$36</c:f>
              <c:strCache>
                <c:ptCount val="8"/>
                <c:pt idx="0">
                  <c:v>Brazil</c:v>
                </c:pt>
                <c:pt idx="1">
                  <c:v>Chile</c:v>
                </c:pt>
                <c:pt idx="2">
                  <c:v>Costa Rica</c:v>
                </c:pt>
                <c:pt idx="3">
                  <c:v>Peru</c:v>
                </c:pt>
                <c:pt idx="4">
                  <c:v>Honduras</c:v>
                </c:pt>
                <c:pt idx="5">
                  <c:v>Colombia</c:v>
                </c:pt>
                <c:pt idx="6">
                  <c:v>Mexico</c:v>
                </c:pt>
                <c:pt idx="7">
                  <c:v>Argentina</c:v>
                </c:pt>
              </c:strCache>
            </c:strRef>
          </c:cat>
          <c:val>
            <c:numRef>
              <c:f>'F9.5'!$C$29:$C$36</c:f>
              <c:numCache>
                <c:formatCode>0</c:formatCode>
                <c:ptCount val="8"/>
                <c:pt idx="0">
                  <c:v>71.390110000000007</c:v>
                </c:pt>
                <c:pt idx="1">
                  <c:v>49.425910000000002</c:v>
                </c:pt>
                <c:pt idx="2">
                  <c:v>64.82253</c:v>
                </c:pt>
                <c:pt idx="3">
                  <c:v>39.190339999999999</c:v>
                </c:pt>
                <c:pt idx="4">
                  <c:v>19.624300000000002</c:v>
                </c:pt>
                <c:pt idx="5">
                  <c:v>45.07273</c:v>
                </c:pt>
                <c:pt idx="6">
                  <c:v>27.497250000000001</c:v>
                </c:pt>
                <c:pt idx="7">
                  <c:v>20.973510000000001</c:v>
                </c:pt>
              </c:numCache>
            </c:numRef>
          </c:val>
          <c:extLst>
            <c:ext xmlns:c16="http://schemas.microsoft.com/office/drawing/2014/chart" uri="{C3380CC4-5D6E-409C-BE32-E72D297353CC}">
              <c16:uniqueId val="{00000000-9D1F-4B7E-8FDF-FB6DC26007F2}"/>
            </c:ext>
          </c:extLst>
        </c:ser>
        <c:ser>
          <c:idx val="1"/>
          <c:order val="1"/>
          <c:tx>
            <c:strRef>
              <c:f>'F9.5'!$D$28</c:f>
              <c:strCache>
                <c:ptCount val="1"/>
                <c:pt idx="0">
                  <c:v>CIRCA 2014</c:v>
                </c:pt>
              </c:strCache>
            </c:strRef>
          </c:tx>
          <c:invertIfNegative val="0"/>
          <c:dLbls>
            <c:spPr>
              <a:noFill/>
              <a:ln>
                <a:noFill/>
              </a:ln>
              <a:effectLst/>
            </c:spPr>
            <c:txPr>
              <a:bodyPr/>
              <a:lstStyle/>
              <a:p>
                <a:pPr>
                  <a:defRPr>
                    <a:latin typeface="Times New Roman" panose="02020603050405020304" pitchFamily="18"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'F9.5'!$B$29:$B$36</c:f>
              <c:strCache>
                <c:ptCount val="8"/>
                <c:pt idx="0">
                  <c:v>Brazil</c:v>
                </c:pt>
                <c:pt idx="1">
                  <c:v>Chile</c:v>
                </c:pt>
                <c:pt idx="2">
                  <c:v>Costa Rica</c:v>
                </c:pt>
                <c:pt idx="3">
                  <c:v>Peru</c:v>
                </c:pt>
                <c:pt idx="4">
                  <c:v>Honduras</c:v>
                </c:pt>
                <c:pt idx="5">
                  <c:v>Colombia</c:v>
                </c:pt>
                <c:pt idx="6">
                  <c:v>Mexico</c:v>
                </c:pt>
                <c:pt idx="7">
                  <c:v>Argentina</c:v>
                </c:pt>
              </c:strCache>
            </c:strRef>
          </c:cat>
          <c:val>
            <c:numRef>
              <c:f>'F9.5'!$D$29:$D$36</c:f>
              <c:numCache>
                <c:formatCode>0</c:formatCode>
                <c:ptCount val="8"/>
                <c:pt idx="0">
                  <c:v>73.967879999999994</c:v>
                </c:pt>
                <c:pt idx="1">
                  <c:v>68.536810000000003</c:v>
                </c:pt>
                <c:pt idx="2">
                  <c:v>66.968689999999995</c:v>
                </c:pt>
                <c:pt idx="3">
                  <c:v>66.224770000000007</c:v>
                </c:pt>
                <c:pt idx="4">
                  <c:v>34.774430000000002</c:v>
                </c:pt>
                <c:pt idx="5">
                  <c:v>33.937649999999998</c:v>
                </c:pt>
                <c:pt idx="6">
                  <c:v>31.43214</c:v>
                </c:pt>
                <c:pt idx="7">
                  <c:v>21.947189999999999</c:v>
                </c:pt>
              </c:numCache>
            </c:numRef>
          </c:val>
          <c:extLst>
            <c:ext xmlns:c16="http://schemas.microsoft.com/office/drawing/2014/chart" uri="{C3380CC4-5D6E-409C-BE32-E72D297353CC}">
              <c16:uniqueId val="{00000001-9D1F-4B7E-8FDF-FB6DC26007F2}"/>
            </c:ext>
          </c:extLst>
        </c:ser>
        <c:dLbls>
          <c:showLegendKey val="0"/>
          <c:showVal val="0"/>
          <c:showCatName val="0"/>
          <c:showSerName val="0"/>
          <c:showPercent val="0"/>
          <c:showBubbleSize val="0"/>
        </c:dLbls>
        <c:gapWidth val="150"/>
        <c:axId val="265053312"/>
        <c:axId val="265054848"/>
      </c:barChart>
      <c:catAx>
        <c:axId val="265053312"/>
        <c:scaling>
          <c:orientation val="minMax"/>
        </c:scaling>
        <c:delete val="0"/>
        <c:axPos val="b"/>
        <c:numFmt formatCode="General" sourceLinked="0"/>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5054848"/>
        <c:crosses val="autoZero"/>
        <c:auto val="1"/>
        <c:lblAlgn val="ctr"/>
        <c:lblOffset val="100"/>
        <c:noMultiLvlLbl val="0"/>
      </c:catAx>
      <c:valAx>
        <c:axId val="265054848"/>
        <c:scaling>
          <c:orientation val="minMax"/>
        </c:scaling>
        <c:delete val="0"/>
        <c:axPos val="l"/>
        <c:numFmt formatCode="0"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5053312"/>
        <c:crosses val="autoZero"/>
        <c:crossBetween val="between"/>
      </c:valAx>
    </c:plotArea>
    <c:legend>
      <c:legendPos val="b"/>
      <c:overlay val="0"/>
      <c:txPr>
        <a:bodyPr/>
        <a:lstStyle/>
        <a:p>
          <a:pPr>
            <a:defRPr sz="110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'F9.6'!$B$36</c:f>
              <c:strCache>
                <c:ptCount val="1"/>
                <c:pt idx="0">
                  <c:v>Quintile 1 and 2</c:v>
                </c:pt>
              </c:strCache>
            </c:strRef>
          </c:tx>
          <c:spPr>
            <a:ln>
              <a:noFill/>
            </a:ln>
          </c:spPr>
          <c:marker>
            <c:spPr>
              <a:ln>
                <a:solidFill>
                  <a:schemeClr val="accent1"/>
                </a:solidFill>
              </a:ln>
            </c:spPr>
          </c:marker>
          <c:dLbls>
            <c:dLbl>
              <c:idx val="8"/>
              <c:layout>
                <c:manualLayout>
                  <c:x val="-2.2962965812620244E-2"/>
                  <c:y val="-3.64159839009555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5C-4B25-A418-BBDCAC521E0C}"/>
                </c:ext>
              </c:extLst>
            </c:dLbl>
            <c:spPr>
              <a:noFill/>
              <a:ln>
                <a:noFill/>
              </a:ln>
              <a:effectLst/>
            </c:spPr>
            <c:txPr>
              <a:bodyPr/>
              <a:lstStyle/>
              <a:p>
                <a:pPr>
                  <a:defRPr sz="1050">
                    <a:latin typeface="Times New Roman" panose="02020603050405020304" pitchFamily="18" charset="0"/>
                    <a:cs typeface="Times New Roman" panose="02020603050405020304" pitchFamily="18"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'F9.6'!$C$34:$Q$35</c:f>
              <c:multiLvlStrCache>
                <c:ptCount val="15"/>
                <c:lvl>
                  <c:pt idx="0">
                    <c:v>2003</c:v>
                  </c:pt>
                  <c:pt idx="1">
                    <c:v>2014</c:v>
                  </c:pt>
                  <c:pt idx="2">
                    <c:v>2014</c:v>
                  </c:pt>
                  <c:pt idx="3">
                    <c:v>1998</c:v>
                  </c:pt>
                  <c:pt idx="4">
                    <c:v>2014</c:v>
                  </c:pt>
                  <c:pt idx="5">
                    <c:v>2002</c:v>
                  </c:pt>
                  <c:pt idx="6">
                    <c:v>2014</c:v>
                  </c:pt>
                  <c:pt idx="7">
                    <c:v>1998</c:v>
                  </c:pt>
                  <c:pt idx="8">
                    <c:v>2013</c:v>
                  </c:pt>
                  <c:pt idx="9">
                    <c:v>2001</c:v>
                  </c:pt>
                  <c:pt idx="10">
                    <c:v>2014</c:v>
                  </c:pt>
                  <c:pt idx="11">
                    <c:v>1998</c:v>
                  </c:pt>
                  <c:pt idx="12">
                    <c:v>2014</c:v>
                  </c:pt>
                  <c:pt idx="13">
                    <c:v>2000</c:v>
                  </c:pt>
                  <c:pt idx="14">
                    <c:v>2014</c:v>
                  </c:pt>
                </c:lvl>
                <c:lvl>
                  <c:pt idx="0">
                    <c:v>Argentina</c:v>
                  </c:pt>
                  <c:pt idx="2">
                    <c:v>Mexico</c:v>
                  </c:pt>
                  <c:pt idx="3">
                    <c:v>Honduras</c:v>
                  </c:pt>
                  <c:pt idx="5">
                    <c:v>Colombia</c:v>
                  </c:pt>
                  <c:pt idx="7">
                    <c:v>Chile</c:v>
                  </c:pt>
                  <c:pt idx="9">
                    <c:v>Costa Rica</c:v>
                  </c:pt>
                  <c:pt idx="11">
                    <c:v>Peru</c:v>
                  </c:pt>
                  <c:pt idx="13">
                    <c:v>Brazil</c:v>
                  </c:pt>
                </c:lvl>
              </c:multiLvlStrCache>
            </c:multiLvlStrRef>
          </c:cat>
          <c:val>
            <c:numRef>
              <c:f>'F9.6'!$C$36:$Q$36</c:f>
              <c:numCache>
                <c:formatCode>0</c:formatCode>
                <c:ptCount val="15"/>
                <c:pt idx="0">
                  <c:v>14.424630000000001</c:v>
                </c:pt>
                <c:pt idx="1">
                  <c:v>15.79069</c:v>
                </c:pt>
                <c:pt idx="2">
                  <c:v>17.350750000000001</c:v>
                </c:pt>
                <c:pt idx="3">
                  <c:v>20.31429</c:v>
                </c:pt>
                <c:pt idx="4">
                  <c:v>18.388780000000001</c:v>
                </c:pt>
                <c:pt idx="5">
                  <c:v>50.78219</c:v>
                </c:pt>
                <c:pt idx="6">
                  <c:v>31.00517</c:v>
                </c:pt>
                <c:pt idx="7">
                  <c:v>33.119370000000004</c:v>
                </c:pt>
                <c:pt idx="8">
                  <c:v>63.337040000000002</c:v>
                </c:pt>
                <c:pt idx="9">
                  <c:v>37.654319999999998</c:v>
                </c:pt>
                <c:pt idx="10">
                  <c:v>36.721310000000003</c:v>
                </c:pt>
                <c:pt idx="11">
                  <c:v>18.181819999999998</c:v>
                </c:pt>
                <c:pt idx="12">
                  <c:v>37.029710000000001</c:v>
                </c:pt>
                <c:pt idx="13">
                  <c:v>60.47054</c:v>
                </c:pt>
                <c:pt idx="14">
                  <c:v>71.041489999999996</c:v>
                </c:pt>
              </c:numCache>
            </c:numRef>
          </c:val>
          <c:smooth val="0"/>
          <c:extLst>
            <c:ext xmlns:c16="http://schemas.microsoft.com/office/drawing/2014/chart" uri="{C3380CC4-5D6E-409C-BE32-E72D297353CC}">
              <c16:uniqueId val="{00000001-C45C-4B25-A418-BBDCAC521E0C}"/>
            </c:ext>
          </c:extLst>
        </c:ser>
        <c:ser>
          <c:idx val="1"/>
          <c:order val="1"/>
          <c:tx>
            <c:strRef>
              <c:f>'F9.6'!$B$37</c:f>
              <c:strCache>
                <c:ptCount val="1"/>
                <c:pt idx="0">
                  <c:v>Quintile 5</c:v>
                </c:pt>
              </c:strCache>
            </c:strRef>
          </c:tx>
          <c:spPr>
            <a:ln>
              <a:noFill/>
            </a:ln>
          </c:spPr>
          <c:marker>
            <c:symbol val="square"/>
            <c:size val="7"/>
            <c:spPr>
              <a:solidFill>
                <a:schemeClr val="tx2">
                  <a:lumMod val="75000"/>
                </a:schemeClr>
              </a:solidFill>
              <a:ln>
                <a:solidFill>
                  <a:schemeClr val="accent1">
                    <a:lumMod val="50000"/>
                  </a:schemeClr>
                </a:solidFill>
              </a:ln>
            </c:spPr>
          </c:marker>
          <c:dLbls>
            <c:dLbl>
              <c:idx val="8"/>
              <c:layout>
                <c:manualLayout>
                  <c:x val="-2.2962965812620244E-2"/>
                  <c:y val="4.30993607639468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5C-4B25-A418-BBDCAC521E0C}"/>
                </c:ext>
              </c:extLst>
            </c:dLbl>
            <c:spPr>
              <a:noFill/>
              <a:ln>
                <a:noFill/>
              </a:ln>
              <a:effectLst/>
            </c:spPr>
            <c:txPr>
              <a:bodyPr/>
              <a:lstStyle/>
              <a:p>
                <a:pPr>
                  <a:defRPr sz="1050">
                    <a:latin typeface="Times New Roman" panose="02020603050405020304" pitchFamily="18" charset="0"/>
                    <a:cs typeface="Times New Roman" panose="02020603050405020304" pitchFamily="18"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'F9.6'!$C$34:$Q$35</c:f>
              <c:multiLvlStrCache>
                <c:ptCount val="15"/>
                <c:lvl>
                  <c:pt idx="0">
                    <c:v>2003</c:v>
                  </c:pt>
                  <c:pt idx="1">
                    <c:v>2014</c:v>
                  </c:pt>
                  <c:pt idx="2">
                    <c:v>2014</c:v>
                  </c:pt>
                  <c:pt idx="3">
                    <c:v>1998</c:v>
                  </c:pt>
                  <c:pt idx="4">
                    <c:v>2014</c:v>
                  </c:pt>
                  <c:pt idx="5">
                    <c:v>2002</c:v>
                  </c:pt>
                  <c:pt idx="6">
                    <c:v>2014</c:v>
                  </c:pt>
                  <c:pt idx="7">
                    <c:v>1998</c:v>
                  </c:pt>
                  <c:pt idx="8">
                    <c:v>2013</c:v>
                  </c:pt>
                  <c:pt idx="9">
                    <c:v>2001</c:v>
                  </c:pt>
                  <c:pt idx="10">
                    <c:v>2014</c:v>
                  </c:pt>
                  <c:pt idx="11">
                    <c:v>1998</c:v>
                  </c:pt>
                  <c:pt idx="12">
                    <c:v>2014</c:v>
                  </c:pt>
                  <c:pt idx="13">
                    <c:v>2000</c:v>
                  </c:pt>
                  <c:pt idx="14">
                    <c:v>2014</c:v>
                  </c:pt>
                </c:lvl>
                <c:lvl>
                  <c:pt idx="0">
                    <c:v>Argentina</c:v>
                  </c:pt>
                  <c:pt idx="2">
                    <c:v>Mexico</c:v>
                  </c:pt>
                  <c:pt idx="3">
                    <c:v>Honduras</c:v>
                  </c:pt>
                  <c:pt idx="5">
                    <c:v>Colombia</c:v>
                  </c:pt>
                  <c:pt idx="7">
                    <c:v>Chile</c:v>
                  </c:pt>
                  <c:pt idx="9">
                    <c:v>Costa Rica</c:v>
                  </c:pt>
                  <c:pt idx="11">
                    <c:v>Peru</c:v>
                  </c:pt>
                  <c:pt idx="13">
                    <c:v>Brazil</c:v>
                  </c:pt>
                </c:lvl>
              </c:multiLvlStrCache>
            </c:multiLvlStrRef>
          </c:cat>
          <c:val>
            <c:numRef>
              <c:f>'F9.6'!$C$37:$Q$37</c:f>
              <c:numCache>
                <c:formatCode>0</c:formatCode>
                <c:ptCount val="15"/>
                <c:pt idx="0">
                  <c:v>22.339020000000001</c:v>
                </c:pt>
                <c:pt idx="1">
                  <c:v>21.853999999999999</c:v>
                </c:pt>
                <c:pt idx="2">
                  <c:v>38.860100000000003</c:v>
                </c:pt>
                <c:pt idx="3">
                  <c:v>23.038039999999999</c:v>
                </c:pt>
                <c:pt idx="4">
                  <c:v>40.321779999999997</c:v>
                </c:pt>
                <c:pt idx="5">
                  <c:v>64.251890000000003</c:v>
                </c:pt>
                <c:pt idx="6">
                  <c:v>49.610970000000002</c:v>
                </c:pt>
                <c:pt idx="7">
                  <c:v>41.317360000000001</c:v>
                </c:pt>
                <c:pt idx="8">
                  <c:v>57.81006</c:v>
                </c:pt>
                <c:pt idx="9">
                  <c:v>57.430729999999997</c:v>
                </c:pt>
                <c:pt idx="10">
                  <c:v>59.465739999999997</c:v>
                </c:pt>
                <c:pt idx="11">
                  <c:v>40.350879999999997</c:v>
                </c:pt>
                <c:pt idx="12">
                  <c:v>66.390050000000002</c:v>
                </c:pt>
                <c:pt idx="13">
                  <c:v>78.109970000000004</c:v>
                </c:pt>
                <c:pt idx="14">
                  <c:v>77.789280000000005</c:v>
                </c:pt>
              </c:numCache>
            </c:numRef>
          </c:val>
          <c:smooth val="0"/>
          <c:extLst>
            <c:ext xmlns:c16="http://schemas.microsoft.com/office/drawing/2014/chart" uri="{C3380CC4-5D6E-409C-BE32-E72D297353CC}">
              <c16:uniqueId val="{00000003-C45C-4B25-A418-BBDCAC521E0C}"/>
            </c:ext>
          </c:extLst>
        </c:ser>
        <c:dLbls>
          <c:showLegendKey val="0"/>
          <c:showVal val="1"/>
          <c:showCatName val="0"/>
          <c:showSerName val="0"/>
          <c:showPercent val="0"/>
          <c:showBubbleSize val="0"/>
        </c:dLbls>
        <c:upDownBars>
          <c:gapWidth val="150"/>
          <c:upBars/>
          <c:downBars>
            <c:spPr>
              <a:solidFill>
                <a:schemeClr val="bg1">
                  <a:lumMod val="65000"/>
                  <a:alpha val="53000"/>
                </a:schemeClr>
              </a:solidFill>
            </c:spPr>
          </c:downBars>
        </c:upDownBars>
        <c:marker val="1"/>
        <c:smooth val="0"/>
        <c:axId val="265148288"/>
        <c:axId val="265149824"/>
      </c:lineChart>
      <c:catAx>
        <c:axId val="265148288"/>
        <c:scaling>
          <c:orientation val="minMax"/>
        </c:scaling>
        <c:delete val="0"/>
        <c:axPos val="b"/>
        <c:numFmt formatCode="General" sourceLinked="0"/>
        <c:majorTickMark val="none"/>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5149824"/>
        <c:crosses val="autoZero"/>
        <c:auto val="1"/>
        <c:lblAlgn val="ctr"/>
        <c:lblOffset val="100"/>
        <c:noMultiLvlLbl val="0"/>
      </c:catAx>
      <c:valAx>
        <c:axId val="265149824"/>
        <c:scaling>
          <c:orientation val="minMax"/>
        </c:scaling>
        <c:delete val="1"/>
        <c:axPos val="l"/>
        <c:numFmt formatCode="0" sourceLinked="1"/>
        <c:majorTickMark val="out"/>
        <c:minorTickMark val="none"/>
        <c:tickLblPos val="nextTo"/>
        <c:crossAx val="265148288"/>
        <c:crosses val="autoZero"/>
        <c:crossBetween val="between"/>
      </c:valAx>
    </c:plotArea>
    <c:legend>
      <c:legendPos val="b"/>
      <c:overlay val="0"/>
      <c:txPr>
        <a:bodyPr/>
        <a:lstStyle/>
        <a:p>
          <a:pPr>
            <a:defRPr sz="110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manualLayout>
          <c:layoutTarget val="inner"/>
          <c:xMode val="edge"/>
          <c:yMode val="edge"/>
          <c:x val="0.28341728564077617"/>
          <c:y val="4.54780139682937E-2"/>
          <c:w val="0.66631041124535284"/>
          <c:h val="0.81491783031134102"/>
        </c:manualLayout>
      </c:layout>
      <c:barChart>
        <c:barDir val="bar"/>
        <c:grouping val="clustered"/>
        <c:varyColors val="0"/>
        <c:ser>
          <c:idx val="0"/>
          <c:order val="0"/>
          <c:invertIfNegative val="0"/>
          <c:dLbls>
            <c:spPr>
              <a:noFill/>
              <a:ln>
                <a:noFill/>
              </a:ln>
              <a:effectLst/>
            </c:spPr>
            <c:txPr>
              <a:bodyPr/>
              <a:lstStyle/>
              <a:p>
                <a:pPr>
                  <a:defRPr sz="1100">
                    <a:latin typeface="Times New Roman" panose="02020603050405020304" pitchFamily="18" charset="0"/>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'F9.7'!$B$32:$B$41</c:f>
              <c:strCache>
                <c:ptCount val="10"/>
                <c:pt idx="0">
                  <c:v>Argentina</c:v>
                </c:pt>
                <c:pt idx="1">
                  <c:v>Colombia</c:v>
                </c:pt>
                <c:pt idx="2">
                  <c:v>Honduras</c:v>
                </c:pt>
                <c:pt idx="3">
                  <c:v>Venezuela</c:v>
                </c:pt>
                <c:pt idx="4">
                  <c:v>Mexico</c:v>
                </c:pt>
                <c:pt idx="5">
                  <c:v>Chile</c:v>
                </c:pt>
                <c:pt idx="6">
                  <c:v>Brazil</c:v>
                </c:pt>
                <c:pt idx="7">
                  <c:v>Uruguay</c:v>
                </c:pt>
                <c:pt idx="8">
                  <c:v>Bolivia</c:v>
                </c:pt>
                <c:pt idx="9">
                  <c:v>Dominican Republic</c:v>
                </c:pt>
              </c:strCache>
            </c:strRef>
          </c:cat>
          <c:val>
            <c:numRef>
              <c:f>'F9.7'!$C$32:$C$41</c:f>
              <c:numCache>
                <c:formatCode>0%</c:formatCode>
                <c:ptCount val="10"/>
                <c:pt idx="0">
                  <c:v>0.4</c:v>
                </c:pt>
                <c:pt idx="1">
                  <c:v>0.48</c:v>
                </c:pt>
                <c:pt idx="2">
                  <c:v>0.49</c:v>
                </c:pt>
                <c:pt idx="3">
                  <c:v>0.52</c:v>
                </c:pt>
                <c:pt idx="4">
                  <c:v>0.53</c:v>
                </c:pt>
                <c:pt idx="5">
                  <c:v>0.54</c:v>
                </c:pt>
                <c:pt idx="6">
                  <c:v>0.59</c:v>
                </c:pt>
                <c:pt idx="7">
                  <c:v>0.72</c:v>
                </c:pt>
                <c:pt idx="8">
                  <c:v>0.73</c:v>
                </c:pt>
                <c:pt idx="9">
                  <c:v>0.76</c:v>
                </c:pt>
              </c:numCache>
            </c:numRef>
          </c:val>
          <c:extLst>
            <c:ext xmlns:c16="http://schemas.microsoft.com/office/drawing/2014/chart" uri="{C3380CC4-5D6E-409C-BE32-E72D297353CC}">
              <c16:uniqueId val="{00000000-5C26-489A-B1AB-6E16F5D81257}"/>
            </c:ext>
          </c:extLst>
        </c:ser>
        <c:dLbls>
          <c:showLegendKey val="0"/>
          <c:showVal val="0"/>
          <c:showCatName val="0"/>
          <c:showSerName val="0"/>
          <c:showPercent val="0"/>
          <c:showBubbleSize val="0"/>
        </c:dLbls>
        <c:gapWidth val="150"/>
        <c:axId val="266308608"/>
        <c:axId val="266314496"/>
      </c:barChart>
      <c:catAx>
        <c:axId val="266308608"/>
        <c:scaling>
          <c:orientation val="minMax"/>
        </c:scaling>
        <c:delete val="0"/>
        <c:axPos val="l"/>
        <c:numFmt formatCode="General" sourceLinked="0"/>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6314496"/>
        <c:crosses val="autoZero"/>
        <c:auto val="1"/>
        <c:lblAlgn val="ctr"/>
        <c:lblOffset val="100"/>
        <c:noMultiLvlLbl val="0"/>
      </c:catAx>
      <c:valAx>
        <c:axId val="266314496"/>
        <c:scaling>
          <c:orientation val="minMax"/>
        </c:scaling>
        <c:delete val="0"/>
        <c:axPos val="b"/>
        <c:numFmt formatCode="0%"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630860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latin typeface="Times New Roman" panose="02020603050405020304" pitchFamily="18" charset="0"/>
                <a:cs typeface="Times New Roman" panose="02020603050405020304" pitchFamily="18" charset="0"/>
              </a:rPr>
              <a:t>Evolution of Wages Conditional on Initial Employment</a:t>
            </a:r>
          </a:p>
          <a:p>
            <a:pPr>
              <a:defRPr/>
            </a:pPr>
            <a:r>
              <a:rPr lang="en-US" sz="1200">
                <a:latin typeface="Times New Roman" panose="02020603050405020304" pitchFamily="18" charset="0"/>
                <a:cs typeface="Times New Roman" panose="02020603050405020304" pitchFamily="18" charset="0"/>
              </a:rPr>
              <a:t>Real Wages Index Avg SC-T-Large=100</a:t>
            </a:r>
          </a:p>
        </c:rich>
      </c:tx>
      <c:overlay val="0"/>
    </c:title>
    <c:autoTitleDeleted val="0"/>
    <c:plotArea>
      <c:layout/>
      <c:lineChart>
        <c:grouping val="standard"/>
        <c:varyColors val="0"/>
        <c:ser>
          <c:idx val="0"/>
          <c:order val="0"/>
          <c:tx>
            <c:strRef>
              <c:f>'F10.2'!$B$37</c:f>
              <c:strCache>
                <c:ptCount val="1"/>
                <c:pt idx="0">
                  <c:v>Secondary Incomplete - Non-tradable SME</c:v>
                </c:pt>
              </c:strCache>
            </c:strRef>
          </c:tx>
          <c:spPr>
            <a:ln>
              <a:solidFill>
                <a:schemeClr val="accent4">
                  <a:lumMod val="75000"/>
                </a:schemeClr>
              </a:solidFill>
              <a:prstDash val="dash"/>
            </a:ln>
          </c:spPr>
          <c:marker>
            <c:symbol val="circle"/>
            <c:size val="4"/>
            <c:spPr>
              <a:solidFill>
                <a:schemeClr val="tx1"/>
              </a:solidFill>
            </c:spPr>
          </c:marker>
          <c:dLbls>
            <c:dLbl>
              <c:idx val="0"/>
              <c:layout>
                <c:manualLayout>
                  <c:x val="-2.6294484778303564E-3"/>
                  <c:y val="3.92814246933702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AE-474A-BF86-D4F0BA0D8C11}"/>
                </c:ext>
              </c:extLst>
            </c:dLbl>
            <c:dLbl>
              <c:idx val="1"/>
              <c:layout>
                <c:manualLayout>
                  <c:x val="-5.9790643731556506E-3"/>
                  <c:y val="3.13710753196061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AE-474A-BF86-D4F0BA0D8C11}"/>
                </c:ext>
              </c:extLst>
            </c:dLbl>
            <c:spPr>
              <a:noFill/>
              <a:ln>
                <a:noFill/>
              </a:ln>
              <a:effectLst/>
            </c:spPr>
            <c:txPr>
              <a:bodyPr/>
              <a:lstStyle/>
              <a:p>
                <a:pPr>
                  <a:defRPr b="1">
                    <a:latin typeface="Times New Roman" panose="02020603050405020304" pitchFamily="18" charset="0"/>
                    <a:cs typeface="Times New Roman" panose="02020603050405020304" pitchFamily="18"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'F10.2'!$C$36:$D$36</c:f>
              <c:strCache>
                <c:ptCount val="2"/>
                <c:pt idx="0">
                  <c:v>25-35</c:v>
                </c:pt>
                <c:pt idx="1">
                  <c:v>32-42</c:v>
                </c:pt>
              </c:strCache>
            </c:strRef>
          </c:cat>
          <c:val>
            <c:numRef>
              <c:f>'F10.2'!$C$37:$D$37</c:f>
              <c:numCache>
                <c:formatCode>General</c:formatCode>
                <c:ptCount val="2"/>
                <c:pt idx="0">
                  <c:v>49</c:v>
                </c:pt>
                <c:pt idx="1">
                  <c:v>52</c:v>
                </c:pt>
              </c:numCache>
            </c:numRef>
          </c:val>
          <c:smooth val="0"/>
          <c:extLst>
            <c:ext xmlns:c16="http://schemas.microsoft.com/office/drawing/2014/chart" uri="{C3380CC4-5D6E-409C-BE32-E72D297353CC}">
              <c16:uniqueId val="{00000002-61AE-474A-BF86-D4F0BA0D8C11}"/>
            </c:ext>
          </c:extLst>
        </c:ser>
        <c:ser>
          <c:idx val="1"/>
          <c:order val="1"/>
          <c:tx>
            <c:strRef>
              <c:f>'F10.2'!$B$38</c:f>
              <c:strCache>
                <c:ptCount val="1"/>
                <c:pt idx="0">
                  <c:v>Secondary Complete - Non-tradable SME</c:v>
                </c:pt>
              </c:strCache>
            </c:strRef>
          </c:tx>
          <c:spPr>
            <a:ln>
              <a:solidFill>
                <a:srgbClr val="00B0F0"/>
              </a:solidFill>
              <a:prstDash val="dash"/>
            </a:ln>
          </c:spPr>
          <c:marker>
            <c:symbol val="diamond"/>
            <c:size val="4"/>
            <c:spPr>
              <a:solidFill>
                <a:schemeClr val="tx1"/>
              </a:solidFill>
              <a:ln>
                <a:solidFill>
                  <a:schemeClr val="tx1"/>
                </a:solidFill>
                <a:prstDash val="solid"/>
              </a:ln>
            </c:spPr>
          </c:marker>
          <c:dLbls>
            <c:dLbl>
              <c:idx val="0"/>
              <c:layout>
                <c:manualLayout>
                  <c:x val="3.2323793389889091E-3"/>
                  <c:y val="-2.79567526043423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AE-474A-BF86-D4F0BA0D8C11}"/>
                </c:ext>
              </c:extLst>
            </c:dLbl>
            <c:dLbl>
              <c:idx val="1"/>
              <c:layout>
                <c:manualLayout>
                  <c:x val="-3.3496158953252946E-3"/>
                  <c:y val="-5.932762030323005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AE-474A-BF86-D4F0BA0D8C11}"/>
                </c:ext>
              </c:extLst>
            </c:dLbl>
            <c:spPr>
              <a:noFill/>
              <a:ln>
                <a:noFill/>
              </a:ln>
              <a:effectLst/>
            </c:spPr>
            <c:txPr>
              <a:bodyPr/>
              <a:lstStyle/>
              <a:p>
                <a:pPr>
                  <a:defRPr b="1">
                    <a:latin typeface="Times New Roman" panose="02020603050405020304" pitchFamily="18" charset="0"/>
                    <a:cs typeface="Times New Roman" panose="02020603050405020304" pitchFamily="18"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'F10.2'!$C$36:$D$36</c:f>
              <c:strCache>
                <c:ptCount val="2"/>
                <c:pt idx="0">
                  <c:v>25-35</c:v>
                </c:pt>
                <c:pt idx="1">
                  <c:v>32-42</c:v>
                </c:pt>
              </c:strCache>
            </c:strRef>
          </c:cat>
          <c:val>
            <c:numRef>
              <c:f>'F10.2'!$C$38:$D$38</c:f>
              <c:numCache>
                <c:formatCode>General</c:formatCode>
                <c:ptCount val="2"/>
                <c:pt idx="0">
                  <c:v>87</c:v>
                </c:pt>
                <c:pt idx="1">
                  <c:v>94</c:v>
                </c:pt>
              </c:numCache>
            </c:numRef>
          </c:val>
          <c:smooth val="0"/>
          <c:extLst>
            <c:ext xmlns:c16="http://schemas.microsoft.com/office/drawing/2014/chart" uri="{C3380CC4-5D6E-409C-BE32-E72D297353CC}">
              <c16:uniqueId val="{00000005-61AE-474A-BF86-D4F0BA0D8C11}"/>
            </c:ext>
          </c:extLst>
        </c:ser>
        <c:ser>
          <c:idx val="2"/>
          <c:order val="2"/>
          <c:tx>
            <c:strRef>
              <c:f>'F10.2'!$B$39</c:f>
              <c:strCache>
                <c:ptCount val="1"/>
                <c:pt idx="0">
                  <c:v>Secondary Incomplete - Tradable Large</c:v>
                </c:pt>
              </c:strCache>
            </c:strRef>
          </c:tx>
          <c:spPr>
            <a:ln>
              <a:solidFill>
                <a:srgbClr val="8508AC"/>
              </a:solidFill>
              <a:prstDash val="dash"/>
            </a:ln>
          </c:spPr>
          <c:marker>
            <c:symbol val="triangle"/>
            <c:size val="5"/>
            <c:spPr>
              <a:solidFill>
                <a:schemeClr val="tx1"/>
              </a:solidFill>
            </c:spPr>
          </c:marker>
          <c:dLbls>
            <c:dLbl>
              <c:idx val="0"/>
              <c:layout>
                <c:manualLayout>
                  <c:x val="-5.9790643731556506E-3"/>
                  <c:y val="-3.98220690442698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1AE-474A-BF86-D4F0BA0D8C11}"/>
                </c:ext>
              </c:extLst>
            </c:dLbl>
            <c:dLbl>
              <c:idx val="1"/>
              <c:layout>
                <c:manualLayout>
                  <c:x val="-4.304256425493003E-3"/>
                  <c:y val="-1.08174546738018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1AE-474A-BF86-D4F0BA0D8C11}"/>
                </c:ext>
              </c:extLst>
            </c:dLbl>
            <c:spPr>
              <a:noFill/>
              <a:ln>
                <a:noFill/>
              </a:ln>
              <a:effectLst/>
            </c:spPr>
            <c:txPr>
              <a:bodyPr/>
              <a:lstStyle/>
              <a:p>
                <a:pPr>
                  <a:defRPr b="1">
                    <a:latin typeface="Times New Roman" panose="02020603050405020304" pitchFamily="18" charset="0"/>
                    <a:cs typeface="Times New Roman" panose="02020603050405020304" pitchFamily="18"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'F10.2'!$C$36:$D$36</c:f>
              <c:strCache>
                <c:ptCount val="2"/>
                <c:pt idx="0">
                  <c:v>25-35</c:v>
                </c:pt>
                <c:pt idx="1">
                  <c:v>32-42</c:v>
                </c:pt>
              </c:strCache>
            </c:strRef>
          </c:cat>
          <c:val>
            <c:numRef>
              <c:f>'F10.2'!$C$39:$D$39</c:f>
              <c:numCache>
                <c:formatCode>General</c:formatCode>
                <c:ptCount val="2"/>
                <c:pt idx="0">
                  <c:v>48</c:v>
                </c:pt>
                <c:pt idx="1">
                  <c:v>57</c:v>
                </c:pt>
              </c:numCache>
            </c:numRef>
          </c:val>
          <c:smooth val="0"/>
          <c:extLst>
            <c:ext xmlns:c16="http://schemas.microsoft.com/office/drawing/2014/chart" uri="{C3380CC4-5D6E-409C-BE32-E72D297353CC}">
              <c16:uniqueId val="{00000008-61AE-474A-BF86-D4F0BA0D8C11}"/>
            </c:ext>
          </c:extLst>
        </c:ser>
        <c:ser>
          <c:idx val="3"/>
          <c:order val="3"/>
          <c:tx>
            <c:strRef>
              <c:f>'F10.2'!$B$40</c:f>
              <c:strCache>
                <c:ptCount val="1"/>
                <c:pt idx="0">
                  <c:v>Secondary Complete - Tradable Large</c:v>
                </c:pt>
              </c:strCache>
            </c:strRef>
          </c:tx>
          <c:spPr>
            <a:ln>
              <a:solidFill>
                <a:srgbClr val="C00000"/>
              </a:solidFill>
              <a:prstDash val="dash"/>
            </a:ln>
          </c:spPr>
          <c:marker>
            <c:symbol val="x"/>
            <c:size val="4"/>
            <c:spPr>
              <a:solidFill>
                <a:schemeClr val="tx1"/>
              </a:solidFill>
              <a:ln>
                <a:solidFill>
                  <a:schemeClr val="tx1"/>
                </a:solidFill>
              </a:ln>
            </c:spPr>
          </c:marker>
          <c:dLbls>
            <c:dLbl>
              <c:idx val="0"/>
              <c:layout>
                <c:manualLayout>
                  <c:x val="-1.013324745656668E-3"/>
                  <c:y val="-3.32301112327999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1AE-474A-BF86-D4F0BA0D8C11}"/>
                </c:ext>
              </c:extLst>
            </c:dLbl>
            <c:dLbl>
              <c:idx val="1"/>
              <c:layout>
                <c:manualLayout>
                  <c:x val="-2.7627737404356268E-4"/>
                  <c:y val="4.614370468029004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1AE-474A-BF86-D4F0BA0D8C11}"/>
                </c:ext>
              </c:extLst>
            </c:dLbl>
            <c:spPr>
              <a:noFill/>
              <a:ln>
                <a:noFill/>
              </a:ln>
              <a:effectLst/>
            </c:spPr>
            <c:txPr>
              <a:bodyPr/>
              <a:lstStyle/>
              <a:p>
                <a:pPr>
                  <a:defRPr b="1">
                    <a:latin typeface="Times New Roman" panose="02020603050405020304" pitchFamily="18" charset="0"/>
                    <a:cs typeface="Times New Roman" panose="02020603050405020304" pitchFamily="18"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'F10.2'!$C$36:$D$36</c:f>
              <c:strCache>
                <c:ptCount val="2"/>
                <c:pt idx="0">
                  <c:v>25-35</c:v>
                </c:pt>
                <c:pt idx="1">
                  <c:v>32-42</c:v>
                </c:pt>
              </c:strCache>
            </c:strRef>
          </c:cat>
          <c:val>
            <c:numRef>
              <c:f>'F10.2'!$C$40:$D$40</c:f>
              <c:numCache>
                <c:formatCode>General</c:formatCode>
                <c:ptCount val="2"/>
                <c:pt idx="0">
                  <c:v>100</c:v>
                </c:pt>
                <c:pt idx="1">
                  <c:v>127</c:v>
                </c:pt>
              </c:numCache>
            </c:numRef>
          </c:val>
          <c:smooth val="0"/>
          <c:extLst>
            <c:ext xmlns:c16="http://schemas.microsoft.com/office/drawing/2014/chart" uri="{C3380CC4-5D6E-409C-BE32-E72D297353CC}">
              <c16:uniqueId val="{0000000B-61AE-474A-BF86-D4F0BA0D8C11}"/>
            </c:ext>
          </c:extLst>
        </c:ser>
        <c:dLbls>
          <c:dLblPos val="t"/>
          <c:showLegendKey val="0"/>
          <c:showVal val="1"/>
          <c:showCatName val="0"/>
          <c:showSerName val="0"/>
          <c:showPercent val="0"/>
          <c:showBubbleSize val="0"/>
        </c:dLbls>
        <c:marker val="1"/>
        <c:smooth val="0"/>
        <c:axId val="266962048"/>
        <c:axId val="266963584"/>
      </c:lineChart>
      <c:catAx>
        <c:axId val="266962048"/>
        <c:scaling>
          <c:orientation val="minMax"/>
        </c:scaling>
        <c:delete val="0"/>
        <c:axPos val="b"/>
        <c:numFmt formatCode="General" sourceLinked="0"/>
        <c:majorTickMark val="out"/>
        <c:minorTickMark val="none"/>
        <c:tickLblPos val="nextTo"/>
        <c:txPr>
          <a:bodyPr/>
          <a:lstStyle/>
          <a:p>
            <a:pPr>
              <a:defRPr>
                <a:latin typeface="Times New Roman" panose="02020603050405020304" pitchFamily="18" charset="0"/>
                <a:cs typeface="Times New Roman" panose="02020603050405020304" pitchFamily="18" charset="0"/>
              </a:defRPr>
            </a:pPr>
            <a:endParaRPr lang="en-US"/>
          </a:p>
        </c:txPr>
        <c:crossAx val="266963584"/>
        <c:crosses val="autoZero"/>
        <c:auto val="1"/>
        <c:lblAlgn val="ctr"/>
        <c:lblOffset val="100"/>
        <c:noMultiLvlLbl val="0"/>
      </c:catAx>
      <c:valAx>
        <c:axId val="266963584"/>
        <c:scaling>
          <c:orientation val="minMax"/>
          <c:max val="130"/>
          <c:min val="40"/>
        </c:scaling>
        <c:delete val="0"/>
        <c:axPos val="l"/>
        <c:majorGridlines>
          <c:spPr>
            <a:ln>
              <a:solidFill>
                <a:schemeClr val="bg1"/>
              </a:solidFill>
            </a:ln>
          </c:spPr>
        </c:majorGridlines>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6962048"/>
        <c:crosses val="autoZero"/>
        <c:crossBetween val="midCat"/>
        <c:majorUnit val="20"/>
      </c:valAx>
      <c:spPr>
        <a:solidFill>
          <a:schemeClr val="bg1">
            <a:lumMod val="85000"/>
          </a:schemeClr>
        </a:solidFill>
      </c:spPr>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455914897587435E-2"/>
          <c:y val="5.9742010307955735E-2"/>
          <c:w val="1.2525879972694987E-2"/>
          <c:h val="2.023616268985301E-2"/>
        </c:manualLayout>
      </c:layout>
      <c:areaChart>
        <c:grouping val="percentStacked"/>
        <c:varyColors val="0"/>
        <c:ser>
          <c:idx val="0"/>
          <c:order val="0"/>
          <c:tx>
            <c:strRef>
              <c:f>'F10.3'!$E$83</c:f>
              <c:strCache>
                <c:ptCount val="1"/>
                <c:pt idx="0">
                  <c:v>Employed-Formal</c:v>
                </c:pt>
              </c:strCache>
            </c:strRef>
          </c:tx>
          <c:spPr>
            <a:solidFill>
              <a:srgbClr val="918477"/>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'F10.3'!$L$84:$L$119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0-E142-49C0-8069-9B29C5EBBA06}"/>
            </c:ext>
          </c:extLst>
        </c:ser>
        <c:ser>
          <c:idx val="1"/>
          <c:order val="1"/>
          <c:tx>
            <c:strRef>
              <c:f>'F10.3'!$F$83</c:f>
              <c:strCache>
                <c:ptCount val="1"/>
                <c:pt idx="0">
                  <c:v>Employed-Informal</c:v>
                </c:pt>
              </c:strCache>
            </c:strRef>
          </c:tx>
          <c:spPr>
            <a:solidFill>
              <a:srgbClr val="8269B5"/>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'F10.3'!$M$84:$M$119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1-E142-49C0-8069-9B29C5EBBA06}"/>
            </c:ext>
          </c:extLst>
        </c:ser>
        <c:ser>
          <c:idx val="2"/>
          <c:order val="2"/>
          <c:tx>
            <c:strRef>
              <c:f>'F10.3'!$G$83</c:f>
              <c:strCache>
                <c:ptCount val="1"/>
                <c:pt idx="0">
                  <c:v>Self-Employed</c:v>
                </c:pt>
              </c:strCache>
            </c:strRef>
          </c:tx>
          <c:spPr>
            <a:solidFill>
              <a:srgbClr val="D6A300"/>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'F10.3'!$N$84:$N$119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2-E142-49C0-8069-9B29C5EBBA06}"/>
            </c:ext>
          </c:extLst>
        </c:ser>
        <c:ser>
          <c:idx val="3"/>
          <c:order val="3"/>
          <c:tx>
            <c:strRef>
              <c:f>'F10.3'!$H$83</c:f>
              <c:strCache>
                <c:ptCount val="1"/>
                <c:pt idx="0">
                  <c:v>Employers</c:v>
                </c:pt>
              </c:strCache>
            </c:strRef>
          </c:tx>
          <c:spPr>
            <a:solidFill>
              <a:schemeClr val="accent1">
                <a:lumMod val="75000"/>
              </a:schemeClr>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'F10.3'!$O$84:$O$119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3-E142-49C0-8069-9B29C5EBBA06}"/>
            </c:ext>
          </c:extLst>
        </c:ser>
        <c:ser>
          <c:idx val="4"/>
          <c:order val="4"/>
          <c:tx>
            <c:strRef>
              <c:f>'F10.3'!$I$83</c:f>
              <c:strCache>
                <c:ptCount val="1"/>
                <c:pt idx="0">
                  <c:v>Unemployed</c:v>
                </c:pt>
              </c:strCache>
            </c:strRef>
          </c:tx>
          <c:spPr>
            <a:solidFill>
              <a:schemeClr val="accent5"/>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'F10.3'!$P$84:$P$119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4-E142-49C0-8069-9B29C5EBBA06}"/>
            </c:ext>
          </c:extLst>
        </c:ser>
        <c:ser>
          <c:idx val="5"/>
          <c:order val="5"/>
          <c:tx>
            <c:strRef>
              <c:f>'F10.3'!$J$83</c:f>
              <c:strCache>
                <c:ptCount val="1"/>
                <c:pt idx="0">
                  <c:v>Inactive</c:v>
                </c:pt>
              </c:strCache>
            </c:strRef>
          </c:tx>
          <c:spPr>
            <a:solidFill>
              <a:srgbClr val="D973F9"/>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'F10.3'!$Q$84:$Q$119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5-E142-49C0-8069-9B29C5EBBA06}"/>
            </c:ext>
          </c:extLst>
        </c:ser>
        <c:dLbls>
          <c:showLegendKey val="0"/>
          <c:showVal val="0"/>
          <c:showCatName val="0"/>
          <c:showSerName val="0"/>
          <c:showPercent val="0"/>
          <c:showBubbleSize val="0"/>
        </c:dLbls>
        <c:axId val="266253440"/>
        <c:axId val="266254976"/>
      </c:areaChart>
      <c:catAx>
        <c:axId val="266253440"/>
        <c:scaling>
          <c:orientation val="minMax"/>
        </c:scaling>
        <c:delete val="1"/>
        <c:axPos val="b"/>
        <c:numFmt formatCode="#,##0" sourceLinked="0"/>
        <c:majorTickMark val="none"/>
        <c:minorTickMark val="none"/>
        <c:tickLblPos val="nextTo"/>
        <c:crossAx val="266254976"/>
        <c:crosses val="autoZero"/>
        <c:auto val="1"/>
        <c:lblAlgn val="ctr"/>
        <c:lblOffset val="100"/>
        <c:tickLblSkip val="7"/>
        <c:noMultiLvlLbl val="0"/>
      </c:catAx>
      <c:valAx>
        <c:axId val="266254976"/>
        <c:scaling>
          <c:orientation val="minMax"/>
          <c:min val="0"/>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266253440"/>
        <c:crosses val="autoZero"/>
        <c:crossBetween val="midCat"/>
        <c:majorUnit val="0.1"/>
      </c:valAx>
      <c:spPr>
        <a:noFill/>
        <a:ln>
          <a:noFill/>
        </a:ln>
        <a:effectLst/>
      </c:spPr>
    </c:plotArea>
    <c:legend>
      <c:legendPos val="b"/>
      <c:layout>
        <c:manualLayout>
          <c:xMode val="edge"/>
          <c:yMode val="edge"/>
          <c:x val="9.702367561197707E-2"/>
          <c:y val="0.89481393592924174"/>
          <c:w val="0.86385780372671606"/>
          <c:h val="8.0625247186567425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1">
                <a:solidFill>
                  <a:sysClr val="windowText" lastClr="000000"/>
                </a:solidFill>
                <a:latin typeface="Times New Roman" panose="02020603050405020304" pitchFamily="18" charset="0"/>
                <a:cs typeface="Times New Roman" panose="02020603050405020304" pitchFamily="18" charset="0"/>
              </a:rPr>
              <a:t>A.</a:t>
            </a:r>
            <a:r>
              <a:rPr lang="en-US" sz="1200" b="1" baseline="0">
                <a:solidFill>
                  <a:sysClr val="windowText" lastClr="000000"/>
                </a:solidFill>
                <a:latin typeface="Times New Roman" panose="02020603050405020304" pitchFamily="18" charset="0"/>
                <a:cs typeface="Times New Roman" panose="02020603050405020304" pitchFamily="18" charset="0"/>
              </a:rPr>
              <a:t> </a:t>
            </a:r>
            <a:r>
              <a:rPr lang="en-US" sz="1200" b="1">
                <a:solidFill>
                  <a:sysClr val="windowText" lastClr="000000"/>
                </a:solidFill>
                <a:latin typeface="Times New Roman" panose="02020603050405020304" pitchFamily="18" charset="0"/>
                <a:cs typeface="Times New Roman" panose="02020603050405020304" pitchFamily="18" charset="0"/>
              </a:rPr>
              <a:t>Men</a:t>
            </a:r>
          </a:p>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1">
                <a:solidFill>
                  <a:sysClr val="windowText" lastClr="000000"/>
                </a:solidFill>
                <a:latin typeface="Times New Roman" panose="02020603050405020304" pitchFamily="18" charset="0"/>
                <a:cs typeface="Times New Roman" panose="02020603050405020304" pitchFamily="18" charset="0"/>
              </a:rPr>
              <a:t>Less</a:t>
            </a:r>
            <a:r>
              <a:rPr lang="en-US" sz="1200" b="1" baseline="0">
                <a:solidFill>
                  <a:sysClr val="windowText" lastClr="000000"/>
                </a:solidFill>
                <a:latin typeface="Times New Roman" panose="02020603050405020304" pitchFamily="18" charset="0"/>
                <a:cs typeface="Times New Roman" panose="02020603050405020304" pitchFamily="18" charset="0"/>
              </a:rPr>
              <a:t> than Secondary School</a:t>
            </a:r>
            <a:endParaRPr lang="en-US" sz="1200" b="1">
              <a:solidFill>
                <a:sysClr val="windowText" lastClr="000000"/>
              </a:solidFill>
              <a:latin typeface="Times New Roman" panose="02020603050405020304" pitchFamily="18" charset="0"/>
              <a:cs typeface="Times New Roman" panose="02020603050405020304" pitchFamily="18" charset="0"/>
            </a:endParaRPr>
          </a:p>
        </c:rich>
      </c:tx>
      <c:overlay val="0"/>
      <c:spPr>
        <a:noFill/>
        <a:ln>
          <a:noFill/>
        </a:ln>
        <a:effectLst/>
      </c:spPr>
    </c:title>
    <c:autoTitleDeleted val="0"/>
    <c:plotArea>
      <c:layout>
        <c:manualLayout>
          <c:layoutTarget val="inner"/>
          <c:xMode val="edge"/>
          <c:yMode val="edge"/>
          <c:x val="0.14966174888781761"/>
          <c:y val="0.22481145130346131"/>
          <c:w val="0.79352683063123319"/>
          <c:h val="0.64918435121718077"/>
        </c:manualLayout>
      </c:layout>
      <c:areaChart>
        <c:grouping val="percentStacked"/>
        <c:varyColors val="0"/>
        <c:ser>
          <c:idx val="0"/>
          <c:order val="0"/>
          <c:tx>
            <c:strRef>
              <c:f>'F10.3'!$E$83</c:f>
              <c:strCache>
                <c:ptCount val="1"/>
                <c:pt idx="0">
                  <c:v>Employed-Formal</c:v>
                </c:pt>
              </c:strCache>
            </c:strRef>
          </c:tx>
          <c:spPr>
            <a:solidFill>
              <a:srgbClr val="918477"/>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'F10.3'!$E$84:$E$119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0-9F9C-422F-88BD-B736FBC2C750}"/>
            </c:ext>
          </c:extLst>
        </c:ser>
        <c:ser>
          <c:idx val="1"/>
          <c:order val="1"/>
          <c:tx>
            <c:strRef>
              <c:f>'F10.3'!$F$83</c:f>
              <c:strCache>
                <c:ptCount val="1"/>
                <c:pt idx="0">
                  <c:v>Employed-Informal</c:v>
                </c:pt>
              </c:strCache>
            </c:strRef>
          </c:tx>
          <c:spPr>
            <a:solidFill>
              <a:srgbClr val="8269B5"/>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'F10.3'!$F$84:$F$119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1-9F9C-422F-88BD-B736FBC2C750}"/>
            </c:ext>
          </c:extLst>
        </c:ser>
        <c:ser>
          <c:idx val="2"/>
          <c:order val="2"/>
          <c:tx>
            <c:strRef>
              <c:f>'F10.3'!$G$83</c:f>
              <c:strCache>
                <c:ptCount val="1"/>
                <c:pt idx="0">
                  <c:v>Self-Employed</c:v>
                </c:pt>
              </c:strCache>
            </c:strRef>
          </c:tx>
          <c:spPr>
            <a:solidFill>
              <a:srgbClr val="D6A300"/>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'F10.3'!$G$84:$G$119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2-9F9C-422F-88BD-B736FBC2C750}"/>
            </c:ext>
          </c:extLst>
        </c:ser>
        <c:ser>
          <c:idx val="3"/>
          <c:order val="3"/>
          <c:tx>
            <c:strRef>
              <c:f>'F10.3'!$H$83</c:f>
              <c:strCache>
                <c:ptCount val="1"/>
                <c:pt idx="0">
                  <c:v>Employers</c:v>
                </c:pt>
              </c:strCache>
            </c:strRef>
          </c:tx>
          <c:spPr>
            <a:solidFill>
              <a:schemeClr val="accent1">
                <a:lumMod val="75000"/>
              </a:schemeClr>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'F10.3'!$H$84:$H$119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3-9F9C-422F-88BD-B736FBC2C750}"/>
            </c:ext>
          </c:extLst>
        </c:ser>
        <c:ser>
          <c:idx val="4"/>
          <c:order val="4"/>
          <c:tx>
            <c:strRef>
              <c:f>'F10.3'!$I$83</c:f>
              <c:strCache>
                <c:ptCount val="1"/>
                <c:pt idx="0">
                  <c:v>Unemployed</c:v>
                </c:pt>
              </c:strCache>
            </c:strRef>
          </c:tx>
          <c:spPr>
            <a:solidFill>
              <a:schemeClr val="accent5"/>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'F10.3'!$I$84:$I$119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4-9F9C-422F-88BD-B736FBC2C750}"/>
            </c:ext>
          </c:extLst>
        </c:ser>
        <c:ser>
          <c:idx val="5"/>
          <c:order val="5"/>
          <c:tx>
            <c:strRef>
              <c:f>'F10.3'!$J$83</c:f>
              <c:strCache>
                <c:ptCount val="1"/>
                <c:pt idx="0">
                  <c:v>Inactive</c:v>
                </c:pt>
              </c:strCache>
            </c:strRef>
          </c:tx>
          <c:spPr>
            <a:solidFill>
              <a:srgbClr val="D973F9"/>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'F10.3'!$J$84:$J$119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5-9F9C-422F-88BD-B736FBC2C750}"/>
            </c:ext>
          </c:extLst>
        </c:ser>
        <c:dLbls>
          <c:showLegendKey val="0"/>
          <c:showVal val="0"/>
          <c:showCatName val="0"/>
          <c:showSerName val="0"/>
          <c:showPercent val="0"/>
          <c:showBubbleSize val="0"/>
        </c:dLbls>
        <c:axId val="268354304"/>
        <c:axId val="268355840"/>
      </c:areaChart>
      <c:catAx>
        <c:axId val="268354304"/>
        <c:scaling>
          <c:orientation val="minMax"/>
        </c:scaling>
        <c:delete val="0"/>
        <c:axPos val="b"/>
        <c:numFmt formatCode="#,##0" sourceLinked="0"/>
        <c:majorTickMark val="none"/>
        <c:minorTickMark val="none"/>
        <c:tickLblPos val="nextTo"/>
        <c:spPr>
          <a:noFill/>
          <a:ln w="9525" cap="flat" cmpd="sng" algn="ctr">
            <a:solidFill>
              <a:schemeClr val="tx1">
                <a:lumMod val="25000"/>
                <a:lumOff val="75000"/>
              </a:schemeClr>
            </a:solidFill>
            <a:round/>
          </a:ln>
          <a:effectLst>
            <a:softEdge rad="76200"/>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8355840"/>
        <c:crosses val="autoZero"/>
        <c:auto val="1"/>
        <c:lblAlgn val="ctr"/>
        <c:lblOffset val="100"/>
        <c:tickLblSkip val="7"/>
        <c:tickMarkSkip val="1"/>
        <c:noMultiLvlLbl val="0"/>
      </c:catAx>
      <c:valAx>
        <c:axId val="26835584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Share of total population</a:t>
                </a:r>
              </a:p>
            </c:rich>
          </c:tx>
          <c:overlay val="0"/>
          <c:spPr>
            <a:noFill/>
            <a:ln>
              <a:noFill/>
            </a:ln>
            <a:effectLst/>
          </c:sp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8354304"/>
        <c:crosses val="autoZero"/>
        <c:crossBetween val="midCat"/>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1" baseline="0">
                <a:solidFill>
                  <a:sysClr val="windowText" lastClr="000000"/>
                </a:solidFill>
                <a:latin typeface="Times New Roman" panose="02020603050405020304" pitchFamily="18" charset="0"/>
                <a:cs typeface="Times New Roman" panose="02020603050405020304" pitchFamily="18" charset="0"/>
              </a:rPr>
              <a:t>Secondary School or more</a:t>
            </a:r>
            <a:endParaRPr lang="en-US" sz="1200" b="1">
              <a:solidFill>
                <a:sysClr val="windowText" lastClr="000000"/>
              </a:solidFill>
              <a:latin typeface="Times New Roman" panose="02020603050405020304" pitchFamily="18" charset="0"/>
              <a:cs typeface="Times New Roman" panose="02020603050405020304" pitchFamily="18" charset="0"/>
            </a:endParaRPr>
          </a:p>
        </c:rich>
      </c:tx>
      <c:overlay val="0"/>
      <c:spPr>
        <a:noFill/>
        <a:ln>
          <a:noFill/>
        </a:ln>
        <a:effectLst/>
      </c:spPr>
    </c:title>
    <c:autoTitleDeleted val="0"/>
    <c:plotArea>
      <c:layout>
        <c:manualLayout>
          <c:layoutTarget val="inner"/>
          <c:xMode val="edge"/>
          <c:yMode val="edge"/>
          <c:x val="0.1643702072647624"/>
          <c:y val="0.14350022378068908"/>
          <c:w val="0.7788183722542884"/>
          <c:h val="0.61019166791533352"/>
        </c:manualLayout>
      </c:layout>
      <c:areaChart>
        <c:grouping val="percentStacked"/>
        <c:varyColors val="0"/>
        <c:ser>
          <c:idx val="0"/>
          <c:order val="0"/>
          <c:tx>
            <c:strRef>
              <c:f>'F10.3'!$E$83</c:f>
              <c:strCache>
                <c:ptCount val="1"/>
                <c:pt idx="0">
                  <c:v>Employed-Formal</c:v>
                </c:pt>
              </c:strCache>
            </c:strRef>
          </c:tx>
          <c:spPr>
            <a:solidFill>
              <a:srgbClr val="918477"/>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'F10.3'!$L$84:$L$119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0-85FB-4654-BE80-7A43384C4FF9}"/>
            </c:ext>
          </c:extLst>
        </c:ser>
        <c:ser>
          <c:idx val="1"/>
          <c:order val="1"/>
          <c:tx>
            <c:strRef>
              <c:f>'F10.3'!$F$83</c:f>
              <c:strCache>
                <c:ptCount val="1"/>
                <c:pt idx="0">
                  <c:v>Employed-Informal</c:v>
                </c:pt>
              </c:strCache>
            </c:strRef>
          </c:tx>
          <c:spPr>
            <a:solidFill>
              <a:srgbClr val="8269B5"/>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'F10.3'!$M$84:$M$119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1-85FB-4654-BE80-7A43384C4FF9}"/>
            </c:ext>
          </c:extLst>
        </c:ser>
        <c:ser>
          <c:idx val="2"/>
          <c:order val="2"/>
          <c:tx>
            <c:strRef>
              <c:f>'F10.3'!$G$83</c:f>
              <c:strCache>
                <c:ptCount val="1"/>
                <c:pt idx="0">
                  <c:v>Self-Employed</c:v>
                </c:pt>
              </c:strCache>
            </c:strRef>
          </c:tx>
          <c:spPr>
            <a:solidFill>
              <a:srgbClr val="D6A300"/>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'F10.3'!$N$84:$N$119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2-85FB-4654-BE80-7A43384C4FF9}"/>
            </c:ext>
          </c:extLst>
        </c:ser>
        <c:ser>
          <c:idx val="3"/>
          <c:order val="3"/>
          <c:tx>
            <c:strRef>
              <c:f>'F10.3'!$H$83</c:f>
              <c:strCache>
                <c:ptCount val="1"/>
                <c:pt idx="0">
                  <c:v>Employers</c:v>
                </c:pt>
              </c:strCache>
            </c:strRef>
          </c:tx>
          <c:spPr>
            <a:solidFill>
              <a:schemeClr val="accent1">
                <a:lumMod val="75000"/>
              </a:schemeClr>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'F10.3'!$O$84:$O$119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3-85FB-4654-BE80-7A43384C4FF9}"/>
            </c:ext>
          </c:extLst>
        </c:ser>
        <c:ser>
          <c:idx val="4"/>
          <c:order val="4"/>
          <c:tx>
            <c:strRef>
              <c:f>'F10.3'!$I$83</c:f>
              <c:strCache>
                <c:ptCount val="1"/>
                <c:pt idx="0">
                  <c:v>Unemployed</c:v>
                </c:pt>
              </c:strCache>
            </c:strRef>
          </c:tx>
          <c:spPr>
            <a:solidFill>
              <a:schemeClr val="accent5"/>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'F10.3'!$P$84:$P$119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4-85FB-4654-BE80-7A43384C4FF9}"/>
            </c:ext>
          </c:extLst>
        </c:ser>
        <c:ser>
          <c:idx val="5"/>
          <c:order val="5"/>
          <c:tx>
            <c:strRef>
              <c:f>'F10.3'!$J$83</c:f>
              <c:strCache>
                <c:ptCount val="1"/>
                <c:pt idx="0">
                  <c:v>Inactive</c:v>
                </c:pt>
              </c:strCache>
            </c:strRef>
          </c:tx>
          <c:spPr>
            <a:solidFill>
              <a:srgbClr val="D973F9"/>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'F10.3'!$Q$84:$Q$119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5-85FB-4654-BE80-7A43384C4FF9}"/>
            </c:ext>
          </c:extLst>
        </c:ser>
        <c:dLbls>
          <c:showLegendKey val="0"/>
          <c:showVal val="0"/>
          <c:showCatName val="0"/>
          <c:showSerName val="0"/>
          <c:showPercent val="0"/>
          <c:showBubbleSize val="0"/>
        </c:dLbls>
        <c:axId val="268415744"/>
        <c:axId val="268417664"/>
      </c:areaChart>
      <c:catAx>
        <c:axId val="268415744"/>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en-US" sz="900" b="1"/>
                  <a:t>Age</a:t>
                </a:r>
              </a:p>
            </c:rich>
          </c:tx>
          <c:overlay val="0"/>
          <c:spPr>
            <a:noFill/>
            <a:ln>
              <a:noFill/>
            </a:ln>
            <a:effectLst/>
          </c:spPr>
        </c:title>
        <c:numFmt formatCode="#,##0" sourceLinked="0"/>
        <c:majorTickMark val="none"/>
        <c:minorTickMark val="none"/>
        <c:tickLblPos val="nextTo"/>
        <c:spPr>
          <a:noFill/>
          <a:ln w="9525" cap="flat" cmpd="sng" algn="ctr">
            <a:solidFill>
              <a:schemeClr val="tx1">
                <a:lumMod val="25000"/>
                <a:lumOff val="75000"/>
              </a:schemeClr>
            </a:solidFill>
            <a:round/>
          </a:ln>
          <a:effectLst>
            <a:softEdge rad="76200"/>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8417664"/>
        <c:crosses val="autoZero"/>
        <c:auto val="1"/>
        <c:lblAlgn val="ctr"/>
        <c:lblOffset val="100"/>
        <c:tickLblSkip val="7"/>
        <c:noMultiLvlLbl val="0"/>
      </c:catAx>
      <c:valAx>
        <c:axId val="26841766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Share of total population</a:t>
                </a:r>
              </a:p>
            </c:rich>
          </c:tx>
          <c:overlay val="0"/>
          <c:spPr>
            <a:noFill/>
            <a:ln>
              <a:noFill/>
            </a:ln>
            <a:effectLst/>
          </c:sp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8415744"/>
        <c:crosses val="autoZero"/>
        <c:crossBetween val="midCat"/>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1">
                <a:solidFill>
                  <a:sysClr val="windowText" lastClr="000000"/>
                </a:solidFill>
                <a:latin typeface="Times New Roman" panose="02020603050405020304" pitchFamily="18" charset="0"/>
                <a:cs typeface="Times New Roman" panose="02020603050405020304" pitchFamily="18" charset="0"/>
              </a:rPr>
              <a:t>B. Women</a:t>
            </a:r>
          </a:p>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1">
                <a:solidFill>
                  <a:sysClr val="windowText" lastClr="000000"/>
                </a:solidFill>
                <a:latin typeface="Times New Roman" panose="02020603050405020304" pitchFamily="18" charset="0"/>
                <a:cs typeface="Times New Roman" panose="02020603050405020304" pitchFamily="18" charset="0"/>
              </a:rPr>
              <a:t>Less</a:t>
            </a:r>
            <a:r>
              <a:rPr lang="en-US" sz="1200" b="1" baseline="0">
                <a:solidFill>
                  <a:sysClr val="windowText" lastClr="000000"/>
                </a:solidFill>
                <a:latin typeface="Times New Roman" panose="02020603050405020304" pitchFamily="18" charset="0"/>
                <a:cs typeface="Times New Roman" panose="02020603050405020304" pitchFamily="18" charset="0"/>
              </a:rPr>
              <a:t> than Secondary School</a:t>
            </a:r>
            <a:endParaRPr lang="en-US" sz="1200" b="1">
              <a:solidFill>
                <a:sysClr val="windowText" lastClr="000000"/>
              </a:solidFill>
              <a:latin typeface="Times New Roman" panose="02020603050405020304" pitchFamily="18" charset="0"/>
              <a:cs typeface="Times New Roman" panose="02020603050405020304" pitchFamily="18" charset="0"/>
            </a:endParaRPr>
          </a:p>
        </c:rich>
      </c:tx>
      <c:overlay val="0"/>
      <c:spPr>
        <a:noFill/>
        <a:ln>
          <a:noFill/>
        </a:ln>
        <a:effectLst/>
      </c:spPr>
    </c:title>
    <c:autoTitleDeleted val="0"/>
    <c:plotArea>
      <c:layout>
        <c:manualLayout>
          <c:layoutTarget val="inner"/>
          <c:xMode val="edge"/>
          <c:yMode val="edge"/>
          <c:x val="8.6433618671635098E-2"/>
          <c:y val="0.23103030196192492"/>
          <c:w val="0.85675496084741565"/>
          <c:h val="0.64296550055871726"/>
        </c:manualLayout>
      </c:layout>
      <c:areaChart>
        <c:grouping val="percentStacked"/>
        <c:varyColors val="0"/>
        <c:ser>
          <c:idx val="0"/>
          <c:order val="0"/>
          <c:tx>
            <c:strRef>
              <c:f>'F10.3'!$E$83</c:f>
              <c:strCache>
                <c:ptCount val="1"/>
                <c:pt idx="0">
                  <c:v>Employed-Formal</c:v>
                </c:pt>
              </c:strCache>
            </c:strRef>
          </c:tx>
          <c:spPr>
            <a:solidFill>
              <a:srgbClr val="918477"/>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'F10.3'!$T$84:$T$119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0-6F38-40D6-957E-264FF76B18A4}"/>
            </c:ext>
          </c:extLst>
        </c:ser>
        <c:ser>
          <c:idx val="1"/>
          <c:order val="1"/>
          <c:tx>
            <c:strRef>
              <c:f>'F10.3'!$F$83</c:f>
              <c:strCache>
                <c:ptCount val="1"/>
                <c:pt idx="0">
                  <c:v>Employed-Informal</c:v>
                </c:pt>
              </c:strCache>
            </c:strRef>
          </c:tx>
          <c:spPr>
            <a:solidFill>
              <a:srgbClr val="8269B5"/>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'F10.3'!$U$84:$U$119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1-6F38-40D6-957E-264FF76B18A4}"/>
            </c:ext>
          </c:extLst>
        </c:ser>
        <c:ser>
          <c:idx val="2"/>
          <c:order val="2"/>
          <c:tx>
            <c:strRef>
              <c:f>'F10.3'!$G$83</c:f>
              <c:strCache>
                <c:ptCount val="1"/>
                <c:pt idx="0">
                  <c:v>Self-Employed</c:v>
                </c:pt>
              </c:strCache>
            </c:strRef>
          </c:tx>
          <c:spPr>
            <a:solidFill>
              <a:srgbClr val="D6A300"/>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'F10.3'!$V$84:$V$119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2-6F38-40D6-957E-264FF76B18A4}"/>
            </c:ext>
          </c:extLst>
        </c:ser>
        <c:ser>
          <c:idx val="3"/>
          <c:order val="3"/>
          <c:tx>
            <c:strRef>
              <c:f>'F10.3'!$H$83</c:f>
              <c:strCache>
                <c:ptCount val="1"/>
                <c:pt idx="0">
                  <c:v>Employers</c:v>
                </c:pt>
              </c:strCache>
            </c:strRef>
          </c:tx>
          <c:spPr>
            <a:solidFill>
              <a:srgbClr val="002060"/>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'F10.3'!$W$84:$W$119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3-6F38-40D6-957E-264FF76B18A4}"/>
            </c:ext>
          </c:extLst>
        </c:ser>
        <c:ser>
          <c:idx val="4"/>
          <c:order val="4"/>
          <c:tx>
            <c:strRef>
              <c:f>'F10.3'!$I$83</c:f>
              <c:strCache>
                <c:ptCount val="1"/>
                <c:pt idx="0">
                  <c:v>Unemployed</c:v>
                </c:pt>
              </c:strCache>
            </c:strRef>
          </c:tx>
          <c:spPr>
            <a:solidFill>
              <a:schemeClr val="accent5"/>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'F10.3'!$X$84:$X$119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4-6F38-40D6-957E-264FF76B18A4}"/>
            </c:ext>
          </c:extLst>
        </c:ser>
        <c:ser>
          <c:idx val="5"/>
          <c:order val="5"/>
          <c:tx>
            <c:strRef>
              <c:f>'F10.3'!$J$83</c:f>
              <c:strCache>
                <c:ptCount val="1"/>
                <c:pt idx="0">
                  <c:v>Inactive</c:v>
                </c:pt>
              </c:strCache>
            </c:strRef>
          </c:tx>
          <c:spPr>
            <a:solidFill>
              <a:srgbClr val="D973F9"/>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'F10.3'!$Y$84:$Y$119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5-6F38-40D6-957E-264FF76B18A4}"/>
            </c:ext>
          </c:extLst>
        </c:ser>
        <c:dLbls>
          <c:showLegendKey val="0"/>
          <c:showVal val="0"/>
          <c:showCatName val="0"/>
          <c:showSerName val="0"/>
          <c:showPercent val="0"/>
          <c:showBubbleSize val="0"/>
        </c:dLbls>
        <c:axId val="268682752"/>
        <c:axId val="268684288"/>
      </c:areaChart>
      <c:catAx>
        <c:axId val="268682752"/>
        <c:scaling>
          <c:orientation val="minMax"/>
        </c:scaling>
        <c:delete val="0"/>
        <c:axPos val="b"/>
        <c:numFmt formatCode="#,##0" sourceLinked="0"/>
        <c:majorTickMark val="none"/>
        <c:minorTickMark val="none"/>
        <c:tickLblPos val="nextTo"/>
        <c:spPr>
          <a:noFill/>
          <a:ln w="9525" cap="flat" cmpd="sng" algn="ctr">
            <a:solidFill>
              <a:schemeClr val="tx1">
                <a:lumMod val="25000"/>
                <a:lumOff val="75000"/>
              </a:schemeClr>
            </a:solidFill>
            <a:round/>
          </a:ln>
          <a:effectLst>
            <a:softEdge rad="76200"/>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8684288"/>
        <c:crosses val="autoZero"/>
        <c:auto val="1"/>
        <c:lblAlgn val="ctr"/>
        <c:lblOffset val="100"/>
        <c:tickLblSkip val="7"/>
        <c:tickMarkSkip val="1"/>
        <c:noMultiLvlLbl val="0"/>
      </c:catAx>
      <c:valAx>
        <c:axId val="26868428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8682752"/>
        <c:crosses val="autoZero"/>
        <c:crossBetween val="midCat"/>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1" baseline="0">
                <a:solidFill>
                  <a:sysClr val="windowText" lastClr="000000"/>
                </a:solidFill>
                <a:latin typeface="Times New Roman" panose="02020603050405020304" pitchFamily="18" charset="0"/>
                <a:cs typeface="Times New Roman" panose="02020603050405020304" pitchFamily="18" charset="0"/>
              </a:rPr>
              <a:t>Secondary School or more</a:t>
            </a:r>
            <a:endParaRPr lang="en-US" sz="1200" b="1">
              <a:solidFill>
                <a:sysClr val="windowText" lastClr="000000"/>
              </a:solidFill>
              <a:latin typeface="Times New Roman" panose="02020603050405020304" pitchFamily="18" charset="0"/>
              <a:cs typeface="Times New Roman" panose="02020603050405020304" pitchFamily="18" charset="0"/>
            </a:endParaRPr>
          </a:p>
        </c:rich>
      </c:tx>
      <c:overlay val="0"/>
      <c:spPr>
        <a:noFill/>
        <a:ln>
          <a:noFill/>
        </a:ln>
        <a:effectLst/>
      </c:spPr>
    </c:title>
    <c:autoTitleDeleted val="0"/>
    <c:plotArea>
      <c:layout>
        <c:manualLayout>
          <c:layoutTarget val="inner"/>
          <c:xMode val="edge"/>
          <c:yMode val="edge"/>
          <c:x val="7.1725160294690338E-2"/>
          <c:y val="0.14971907443915272"/>
          <c:w val="0.87146341922436044"/>
          <c:h val="0.60397281725686991"/>
        </c:manualLayout>
      </c:layout>
      <c:areaChart>
        <c:grouping val="percentStacked"/>
        <c:varyColors val="0"/>
        <c:ser>
          <c:idx val="0"/>
          <c:order val="0"/>
          <c:tx>
            <c:strRef>
              <c:f>'F10.3'!$E$83</c:f>
              <c:strCache>
                <c:ptCount val="1"/>
                <c:pt idx="0">
                  <c:v>Employed-Formal</c:v>
                </c:pt>
              </c:strCache>
            </c:strRef>
          </c:tx>
          <c:spPr>
            <a:solidFill>
              <a:srgbClr val="918477"/>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'F10.3'!$AB$84:$AB$119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0-C3FA-4B4C-8E5F-DDCCDBCC6EEF}"/>
            </c:ext>
          </c:extLst>
        </c:ser>
        <c:ser>
          <c:idx val="1"/>
          <c:order val="1"/>
          <c:tx>
            <c:strRef>
              <c:f>'F10.3'!$F$83</c:f>
              <c:strCache>
                <c:ptCount val="1"/>
                <c:pt idx="0">
                  <c:v>Employed-Informal</c:v>
                </c:pt>
              </c:strCache>
            </c:strRef>
          </c:tx>
          <c:spPr>
            <a:solidFill>
              <a:srgbClr val="8269B5"/>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'F10.3'!$AC$84:$AC$119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1-C3FA-4B4C-8E5F-DDCCDBCC6EEF}"/>
            </c:ext>
          </c:extLst>
        </c:ser>
        <c:ser>
          <c:idx val="2"/>
          <c:order val="2"/>
          <c:tx>
            <c:strRef>
              <c:f>'F10.3'!$G$83</c:f>
              <c:strCache>
                <c:ptCount val="1"/>
                <c:pt idx="0">
                  <c:v>Self-Employed</c:v>
                </c:pt>
              </c:strCache>
            </c:strRef>
          </c:tx>
          <c:spPr>
            <a:solidFill>
              <a:srgbClr val="D6A300"/>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'F10.3'!$AD$84:$AD$119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2-C3FA-4B4C-8E5F-DDCCDBCC6EEF}"/>
            </c:ext>
          </c:extLst>
        </c:ser>
        <c:ser>
          <c:idx val="3"/>
          <c:order val="3"/>
          <c:tx>
            <c:strRef>
              <c:f>'F10.3'!$H$83</c:f>
              <c:strCache>
                <c:ptCount val="1"/>
                <c:pt idx="0">
                  <c:v>Employers</c:v>
                </c:pt>
              </c:strCache>
            </c:strRef>
          </c:tx>
          <c:spPr>
            <a:solidFill>
              <a:srgbClr val="002060"/>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'F10.3'!$AE$84:$AE$119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3-C3FA-4B4C-8E5F-DDCCDBCC6EEF}"/>
            </c:ext>
          </c:extLst>
        </c:ser>
        <c:ser>
          <c:idx val="4"/>
          <c:order val="4"/>
          <c:tx>
            <c:strRef>
              <c:f>'F10.3'!$I$83</c:f>
              <c:strCache>
                <c:ptCount val="1"/>
                <c:pt idx="0">
                  <c:v>Unemployed</c:v>
                </c:pt>
              </c:strCache>
            </c:strRef>
          </c:tx>
          <c:spPr>
            <a:solidFill>
              <a:schemeClr val="accent5"/>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'F10.3'!$AF$84:$AF$119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4-C3FA-4B4C-8E5F-DDCCDBCC6EEF}"/>
            </c:ext>
          </c:extLst>
        </c:ser>
        <c:ser>
          <c:idx val="5"/>
          <c:order val="5"/>
          <c:tx>
            <c:strRef>
              <c:f>'F10.3'!$J$83</c:f>
              <c:strCache>
                <c:ptCount val="1"/>
                <c:pt idx="0">
                  <c:v>Inactive</c:v>
                </c:pt>
              </c:strCache>
            </c:strRef>
          </c:tx>
          <c:spPr>
            <a:solidFill>
              <a:srgbClr val="D973F9"/>
            </a:solidFill>
            <a:ln w="25400">
              <a:noFill/>
            </a:ln>
            <a:effectLst/>
          </c:spPr>
          <c:cat>
            <c:numRef>
              <c:f>'F10.3'!$D$84:$D$119</c:f>
              <c:numCache>
                <c:formatCode>_(* #,##0_);_(* \(#,##0\);_(* "-"??_);_(@_)</c:formatCode>
                <c:ptCount val="3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numCache>
            </c:numRef>
          </c:cat>
          <c:val>
            <c:numRef>
              <c:f>'F10.3'!$AG$84:$AG$119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5-C3FA-4B4C-8E5F-DDCCDBCC6EEF}"/>
            </c:ext>
          </c:extLst>
        </c:ser>
        <c:dLbls>
          <c:showLegendKey val="0"/>
          <c:showVal val="0"/>
          <c:showCatName val="0"/>
          <c:showSerName val="0"/>
          <c:showPercent val="0"/>
          <c:showBubbleSize val="0"/>
        </c:dLbls>
        <c:axId val="268165888"/>
        <c:axId val="268167808"/>
      </c:areaChart>
      <c:catAx>
        <c:axId val="268165888"/>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en-US" sz="900" b="1"/>
                  <a:t>Age</a:t>
                </a:r>
              </a:p>
            </c:rich>
          </c:tx>
          <c:overlay val="0"/>
          <c:spPr>
            <a:noFill/>
            <a:ln>
              <a:noFill/>
            </a:ln>
            <a:effectLst/>
          </c:spPr>
        </c:title>
        <c:numFmt formatCode="#,##0" sourceLinked="0"/>
        <c:majorTickMark val="none"/>
        <c:minorTickMark val="none"/>
        <c:tickLblPos val="nextTo"/>
        <c:spPr>
          <a:noFill/>
          <a:ln w="9525" cap="flat" cmpd="sng" algn="ctr">
            <a:solidFill>
              <a:schemeClr val="tx1">
                <a:lumMod val="25000"/>
                <a:lumOff val="75000"/>
              </a:schemeClr>
            </a:solidFill>
            <a:round/>
          </a:ln>
          <a:effectLst>
            <a:softEdge rad="76200"/>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8167808"/>
        <c:crosses val="autoZero"/>
        <c:auto val="1"/>
        <c:lblAlgn val="ctr"/>
        <c:lblOffset val="100"/>
        <c:tickLblSkip val="7"/>
        <c:noMultiLvlLbl val="0"/>
      </c:catAx>
      <c:valAx>
        <c:axId val="2681678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8165888"/>
        <c:crosses val="autoZero"/>
        <c:crossBetween val="midCat"/>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Times New Roman" panose="02020603050405020304" pitchFamily="18" charset="0"/>
                <a:cs typeface="Times New Roman" panose="02020603050405020304" pitchFamily="18" charset="0"/>
              </a:defRPr>
            </a:pPr>
            <a:r>
              <a:rPr lang="en-US" sz="1200">
                <a:latin typeface="Times New Roman" panose="02020603050405020304" pitchFamily="18" charset="0"/>
                <a:cs typeface="Times New Roman" panose="02020603050405020304" pitchFamily="18" charset="0"/>
              </a:rPr>
              <a:t>a. Net school enrollment rates (6-25)</a:t>
            </a:r>
          </a:p>
        </c:rich>
      </c:tx>
      <c:overlay val="0"/>
    </c:title>
    <c:autoTitleDeleted val="0"/>
    <c:plotArea>
      <c:layout>
        <c:manualLayout>
          <c:layoutTarget val="inner"/>
          <c:xMode val="edge"/>
          <c:yMode val="edge"/>
          <c:x val="7.7963017463994352E-2"/>
          <c:y val="0.11755236990005355"/>
          <c:w val="0.90592195527536745"/>
          <c:h val="0.54592714191786262"/>
        </c:manualLayout>
      </c:layout>
      <c:barChart>
        <c:barDir val="col"/>
        <c:grouping val="stacked"/>
        <c:varyColors val="0"/>
        <c:ser>
          <c:idx val="0"/>
          <c:order val="0"/>
          <c:tx>
            <c:strRef>
              <c:f>'F3.2'!$D$100</c:f>
              <c:strCache>
                <c:ptCount val="1"/>
                <c:pt idx="0">
                  <c:v>1900</c:v>
                </c:pt>
              </c:strCache>
            </c:strRef>
          </c:tx>
          <c:spPr>
            <a:solidFill>
              <a:schemeClr val="tx2"/>
            </a:solidFill>
            <a:ln>
              <a:noFill/>
            </a:ln>
          </c:spPr>
          <c:invertIfNegative val="0"/>
          <c:dPt>
            <c:idx val="1"/>
            <c:invertIfNegative val="0"/>
            <c:bubble3D val="0"/>
            <c:spPr>
              <a:pattFill prst="wdDnDiag">
                <a:fgClr>
                  <a:schemeClr val="tx2"/>
                </a:fgClr>
                <a:bgClr>
                  <a:schemeClr val="bg1"/>
                </a:bgClr>
              </a:pattFill>
              <a:ln>
                <a:noFill/>
              </a:ln>
            </c:spPr>
            <c:extLst>
              <c:ext xmlns:c16="http://schemas.microsoft.com/office/drawing/2014/chart" uri="{C3380CC4-5D6E-409C-BE32-E72D297353CC}">
                <c16:uniqueId val="{00000001-FB75-4963-B995-6F4C187FFC85}"/>
              </c:ext>
            </c:extLst>
          </c:dPt>
          <c:dPt>
            <c:idx val="2"/>
            <c:invertIfNegative val="0"/>
            <c:bubble3D val="0"/>
            <c:spPr>
              <a:solidFill>
                <a:schemeClr val="accent2">
                  <a:lumMod val="75000"/>
                </a:schemeClr>
              </a:solidFill>
              <a:ln>
                <a:noFill/>
              </a:ln>
            </c:spPr>
            <c:extLst>
              <c:ext xmlns:c16="http://schemas.microsoft.com/office/drawing/2014/chart" uri="{C3380CC4-5D6E-409C-BE32-E72D297353CC}">
                <c16:uniqueId val="{00000003-FB75-4963-B995-6F4C187FFC85}"/>
              </c:ext>
            </c:extLst>
          </c:dPt>
          <c:dPt>
            <c:idx val="3"/>
            <c:invertIfNegative val="0"/>
            <c:bubble3D val="0"/>
            <c:spPr>
              <a:solidFill>
                <a:schemeClr val="bg2">
                  <a:lumMod val="50000"/>
                </a:schemeClr>
              </a:solidFill>
              <a:ln>
                <a:noFill/>
              </a:ln>
            </c:spPr>
            <c:extLst>
              <c:ext xmlns:c16="http://schemas.microsoft.com/office/drawing/2014/chart" uri="{C3380CC4-5D6E-409C-BE32-E72D297353CC}">
                <c16:uniqueId val="{00000005-FB75-4963-B995-6F4C187FFC85}"/>
              </c:ext>
            </c:extLst>
          </c:dPt>
          <c:dPt>
            <c:idx val="4"/>
            <c:invertIfNegative val="0"/>
            <c:bubble3D val="0"/>
            <c:spPr>
              <a:solidFill>
                <a:schemeClr val="bg1">
                  <a:lumMod val="50000"/>
                </a:schemeClr>
              </a:solidFill>
              <a:ln>
                <a:noFill/>
              </a:ln>
            </c:spPr>
            <c:extLst>
              <c:ext xmlns:c16="http://schemas.microsoft.com/office/drawing/2014/chart" uri="{C3380CC4-5D6E-409C-BE32-E72D297353CC}">
                <c16:uniqueId val="{00000007-E309-4147-9418-8CF8013BB398}"/>
              </c:ext>
            </c:extLst>
          </c:dPt>
          <c:dPt>
            <c:idx val="6"/>
            <c:invertIfNegative val="0"/>
            <c:bubble3D val="0"/>
            <c:extLst>
              <c:ext xmlns:c16="http://schemas.microsoft.com/office/drawing/2014/chart" uri="{C3380CC4-5D6E-409C-BE32-E72D297353CC}">
                <c16:uniqueId val="{00000007-FB75-4963-B995-6F4C187FFC85}"/>
              </c:ext>
            </c:extLst>
          </c:dPt>
          <c:dPt>
            <c:idx val="11"/>
            <c:invertIfNegative val="0"/>
            <c:bubble3D val="0"/>
            <c:spPr>
              <a:pattFill prst="wdDnDiag">
                <a:fgClr>
                  <a:schemeClr val="tx2"/>
                </a:fgClr>
                <a:bgClr>
                  <a:schemeClr val="bg1"/>
                </a:bgClr>
              </a:pattFill>
              <a:ln>
                <a:noFill/>
              </a:ln>
            </c:spPr>
            <c:extLst>
              <c:ext xmlns:c16="http://schemas.microsoft.com/office/drawing/2014/chart" uri="{C3380CC4-5D6E-409C-BE32-E72D297353CC}">
                <c16:uniqueId val="{00000009-FB75-4963-B995-6F4C187FFC85}"/>
              </c:ext>
            </c:extLst>
          </c:dPt>
          <c:cat>
            <c:multiLvlStrRef>
              <c:f>'F3.2'!$B$101:$C$117</c:f>
              <c:multiLvlStrCache>
                <c:ptCount val="17"/>
                <c:lvl>
                  <c:pt idx="0">
                    <c:v>US</c:v>
                  </c:pt>
                  <c:pt idx="1">
                    <c:v>Advanced Economies</c:v>
                  </c:pt>
                  <c:pt idx="2">
                    <c:v>Panama</c:v>
                  </c:pt>
                  <c:pt idx="3">
                    <c:v>Latin America</c:v>
                  </c:pt>
                  <c:pt idx="4">
                    <c:v>Comparison Countries</c:v>
                  </c:pt>
                  <c:pt idx="6">
                    <c:v>US</c:v>
                  </c:pt>
                  <c:pt idx="7">
                    <c:v>Advanced Economies</c:v>
                  </c:pt>
                  <c:pt idx="8">
                    <c:v>Panama</c:v>
                  </c:pt>
                  <c:pt idx="9">
                    <c:v>Latin America</c:v>
                  </c:pt>
                  <c:pt idx="10">
                    <c:v>Comparison Countries</c:v>
                  </c:pt>
                  <c:pt idx="12">
                    <c:v>US</c:v>
                  </c:pt>
                  <c:pt idx="13">
                    <c:v>Advanced Economies</c:v>
                  </c:pt>
                  <c:pt idx="14">
                    <c:v>Panama</c:v>
                  </c:pt>
                  <c:pt idx="15">
                    <c:v>Latin America</c:v>
                  </c:pt>
                  <c:pt idx="16">
                    <c:v>Comparison Countries</c:v>
                  </c:pt>
                </c:lvl>
                <c:lvl>
                  <c:pt idx="0">
                    <c:v>Childhood (Primary)</c:v>
                  </c:pt>
                  <c:pt idx="5">
                    <c:v>.</c:v>
                  </c:pt>
                  <c:pt idx="6">
                    <c:v>Adolescence (Secondary)</c:v>
                  </c:pt>
                  <c:pt idx="11">
                    <c:v>.</c:v>
                  </c:pt>
                  <c:pt idx="12">
                    <c:v>Young Adulthood (Tertiary)*</c:v>
                  </c:pt>
                </c:lvl>
              </c:multiLvlStrCache>
            </c:multiLvlStrRef>
          </c:cat>
          <c:val>
            <c:numRef>
              <c:f>'F3.2'!$D$101:$D$117</c:f>
              <c:numCache>
                <c:formatCode>General</c:formatCode>
                <c:ptCount val="17"/>
                <c:pt idx="0">
                  <c:v>100</c:v>
                </c:pt>
                <c:pt idx="1">
                  <c:v>73.400000000000006</c:v>
                </c:pt>
                <c:pt idx="2">
                  <c:v>20.087491037344396</c:v>
                </c:pt>
                <c:pt idx="3">
                  <c:v>31.05411296653061</c:v>
                </c:pt>
                <c:pt idx="4">
                  <c:v>19.3</c:v>
                </c:pt>
                <c:pt idx="6">
                  <c:v>17.2</c:v>
                </c:pt>
                <c:pt idx="7">
                  <c:v>2.6</c:v>
                </c:pt>
                <c:pt idx="8">
                  <c:v>0</c:v>
                </c:pt>
                <c:pt idx="9">
                  <c:v>0.48840876923076942</c:v>
                </c:pt>
                <c:pt idx="10">
                  <c:v>0.7</c:v>
                </c:pt>
                <c:pt idx="12">
                  <c:v>1.9</c:v>
                </c:pt>
                <c:pt idx="13">
                  <c:v>0.6</c:v>
                </c:pt>
                <c:pt idx="14">
                  <c:v>0</c:v>
                </c:pt>
                <c:pt idx="15">
                  <c:v>8.6909528E-2</c:v>
                </c:pt>
                <c:pt idx="16">
                  <c:v>0.1</c:v>
                </c:pt>
              </c:numCache>
            </c:numRef>
          </c:val>
          <c:extLst>
            <c:ext xmlns:c16="http://schemas.microsoft.com/office/drawing/2014/chart" uri="{C3380CC4-5D6E-409C-BE32-E72D297353CC}">
              <c16:uniqueId val="{0000000A-FB75-4963-B995-6F4C187FFC85}"/>
            </c:ext>
          </c:extLst>
        </c:ser>
        <c:ser>
          <c:idx val="1"/>
          <c:order val="1"/>
          <c:tx>
            <c:strRef>
              <c:f>'F3.2'!$E$100</c:f>
              <c:strCache>
                <c:ptCount val="1"/>
                <c:pt idx="0">
                  <c:v>1950</c:v>
                </c:pt>
              </c:strCache>
            </c:strRef>
          </c:tx>
          <c:spPr>
            <a:solidFill>
              <a:schemeClr val="tx2"/>
            </a:solidFill>
            <a:ln>
              <a:noFill/>
            </a:ln>
          </c:spPr>
          <c:invertIfNegative val="0"/>
          <c:dPt>
            <c:idx val="1"/>
            <c:invertIfNegative val="0"/>
            <c:bubble3D val="0"/>
            <c:spPr>
              <a:pattFill prst="wdDnDiag">
                <a:fgClr>
                  <a:schemeClr val="tx2"/>
                </a:fgClr>
                <a:bgClr>
                  <a:schemeClr val="bg1"/>
                </a:bgClr>
              </a:pattFill>
              <a:ln>
                <a:noFill/>
              </a:ln>
            </c:spPr>
            <c:extLst>
              <c:ext xmlns:c16="http://schemas.microsoft.com/office/drawing/2014/chart" uri="{C3380CC4-5D6E-409C-BE32-E72D297353CC}">
                <c16:uniqueId val="{0000000C-FB75-4963-B995-6F4C187FFC85}"/>
              </c:ext>
            </c:extLst>
          </c:dPt>
          <c:dPt>
            <c:idx val="2"/>
            <c:invertIfNegative val="0"/>
            <c:bubble3D val="0"/>
            <c:spPr>
              <a:solidFill>
                <a:schemeClr val="accent2">
                  <a:lumMod val="75000"/>
                </a:schemeClr>
              </a:solidFill>
              <a:ln>
                <a:noFill/>
              </a:ln>
            </c:spPr>
            <c:extLst>
              <c:ext xmlns:c16="http://schemas.microsoft.com/office/drawing/2014/chart" uri="{C3380CC4-5D6E-409C-BE32-E72D297353CC}">
                <c16:uniqueId val="{0000000E-FB75-4963-B995-6F4C187FFC85}"/>
              </c:ext>
            </c:extLst>
          </c:dPt>
          <c:dPt>
            <c:idx val="3"/>
            <c:invertIfNegative val="0"/>
            <c:bubble3D val="0"/>
            <c:spPr>
              <a:solidFill>
                <a:schemeClr val="bg2">
                  <a:lumMod val="50000"/>
                </a:schemeClr>
              </a:solidFill>
              <a:ln>
                <a:noFill/>
              </a:ln>
            </c:spPr>
            <c:extLst>
              <c:ext xmlns:c16="http://schemas.microsoft.com/office/drawing/2014/chart" uri="{C3380CC4-5D6E-409C-BE32-E72D297353CC}">
                <c16:uniqueId val="{00000010-FB75-4963-B995-6F4C187FFC85}"/>
              </c:ext>
            </c:extLst>
          </c:dPt>
          <c:dPt>
            <c:idx val="4"/>
            <c:invertIfNegative val="0"/>
            <c:bubble3D val="0"/>
            <c:spPr>
              <a:solidFill>
                <a:schemeClr val="bg1">
                  <a:lumMod val="50000"/>
                </a:schemeClr>
              </a:solidFill>
              <a:ln>
                <a:noFill/>
              </a:ln>
            </c:spPr>
            <c:extLst>
              <c:ext xmlns:c16="http://schemas.microsoft.com/office/drawing/2014/chart" uri="{C3380CC4-5D6E-409C-BE32-E72D297353CC}">
                <c16:uniqueId val="{00000012-E309-4147-9418-8CF8013BB398}"/>
              </c:ext>
            </c:extLst>
          </c:dPt>
          <c:dPt>
            <c:idx val="6"/>
            <c:invertIfNegative val="0"/>
            <c:bubble3D val="0"/>
            <c:extLst>
              <c:ext xmlns:c16="http://schemas.microsoft.com/office/drawing/2014/chart" uri="{C3380CC4-5D6E-409C-BE32-E72D297353CC}">
                <c16:uniqueId val="{00000012-FB75-4963-B995-6F4C187FFC85}"/>
              </c:ext>
            </c:extLst>
          </c:dPt>
          <c:dPt>
            <c:idx val="7"/>
            <c:invertIfNegative val="0"/>
            <c:bubble3D val="0"/>
            <c:spPr>
              <a:pattFill prst="wdDnDiag">
                <a:fgClr>
                  <a:schemeClr val="tx2"/>
                </a:fgClr>
                <a:bgClr>
                  <a:schemeClr val="bg1"/>
                </a:bgClr>
              </a:pattFill>
              <a:ln>
                <a:noFill/>
              </a:ln>
            </c:spPr>
            <c:extLst>
              <c:ext xmlns:c16="http://schemas.microsoft.com/office/drawing/2014/chart" uri="{C3380CC4-5D6E-409C-BE32-E72D297353CC}">
                <c16:uniqueId val="{00000014-FB75-4963-B995-6F4C187FFC85}"/>
              </c:ext>
            </c:extLst>
          </c:dPt>
          <c:dPt>
            <c:idx val="8"/>
            <c:invertIfNegative val="0"/>
            <c:bubble3D val="0"/>
            <c:spPr>
              <a:solidFill>
                <a:schemeClr val="bg1">
                  <a:lumMod val="50000"/>
                </a:schemeClr>
              </a:solidFill>
              <a:ln>
                <a:noFill/>
              </a:ln>
            </c:spPr>
            <c:extLst>
              <c:ext xmlns:c16="http://schemas.microsoft.com/office/drawing/2014/chart" uri="{C3380CC4-5D6E-409C-BE32-E72D297353CC}">
                <c16:uniqueId val="{00000016-FB75-4963-B995-6F4C187FFC85}"/>
              </c:ext>
            </c:extLst>
          </c:dPt>
          <c:dPt>
            <c:idx val="9"/>
            <c:invertIfNegative val="0"/>
            <c:bubble3D val="0"/>
            <c:spPr>
              <a:solidFill>
                <a:schemeClr val="bg2">
                  <a:lumMod val="50000"/>
                </a:schemeClr>
              </a:solidFill>
              <a:ln>
                <a:noFill/>
              </a:ln>
            </c:spPr>
            <c:extLst>
              <c:ext xmlns:c16="http://schemas.microsoft.com/office/drawing/2014/chart" uri="{C3380CC4-5D6E-409C-BE32-E72D297353CC}">
                <c16:uniqueId val="{00000019-E309-4147-9418-8CF8013BB398}"/>
              </c:ext>
            </c:extLst>
          </c:dPt>
          <c:dPt>
            <c:idx val="10"/>
            <c:invertIfNegative val="0"/>
            <c:bubble3D val="0"/>
            <c:spPr>
              <a:solidFill>
                <a:schemeClr val="bg1">
                  <a:lumMod val="50000"/>
                </a:schemeClr>
              </a:solidFill>
              <a:ln>
                <a:noFill/>
              </a:ln>
            </c:spPr>
            <c:extLst>
              <c:ext xmlns:c16="http://schemas.microsoft.com/office/drawing/2014/chart" uri="{C3380CC4-5D6E-409C-BE32-E72D297353CC}">
                <c16:uniqueId val="{0000001B-E309-4147-9418-8CF8013BB398}"/>
              </c:ext>
            </c:extLst>
          </c:dPt>
          <c:dPt>
            <c:idx val="11"/>
            <c:invertIfNegative val="0"/>
            <c:bubble3D val="0"/>
            <c:spPr>
              <a:pattFill prst="wdDnDiag">
                <a:fgClr>
                  <a:schemeClr val="tx2"/>
                </a:fgClr>
                <a:bgClr>
                  <a:schemeClr val="bg1"/>
                </a:bgClr>
              </a:pattFill>
              <a:ln>
                <a:noFill/>
              </a:ln>
            </c:spPr>
            <c:extLst>
              <c:ext xmlns:c16="http://schemas.microsoft.com/office/drawing/2014/chart" uri="{C3380CC4-5D6E-409C-BE32-E72D297353CC}">
                <c16:uniqueId val="{00000018-FB75-4963-B995-6F4C187FFC85}"/>
              </c:ext>
            </c:extLst>
          </c:dPt>
          <c:dPt>
            <c:idx val="12"/>
            <c:invertIfNegative val="0"/>
            <c:bubble3D val="0"/>
            <c:extLst>
              <c:ext xmlns:c16="http://schemas.microsoft.com/office/drawing/2014/chart" uri="{C3380CC4-5D6E-409C-BE32-E72D297353CC}">
                <c16:uniqueId val="{0000001A-FB75-4963-B995-6F4C187FFC85}"/>
              </c:ext>
            </c:extLst>
          </c:dPt>
          <c:cat>
            <c:multiLvlStrRef>
              <c:f>'F3.2'!$B$101:$C$117</c:f>
              <c:multiLvlStrCache>
                <c:ptCount val="17"/>
                <c:lvl>
                  <c:pt idx="0">
                    <c:v>US</c:v>
                  </c:pt>
                  <c:pt idx="1">
                    <c:v>Advanced Economies</c:v>
                  </c:pt>
                  <c:pt idx="2">
                    <c:v>Panama</c:v>
                  </c:pt>
                  <c:pt idx="3">
                    <c:v>Latin America</c:v>
                  </c:pt>
                  <c:pt idx="4">
                    <c:v>Comparison Countries</c:v>
                  </c:pt>
                  <c:pt idx="6">
                    <c:v>US</c:v>
                  </c:pt>
                  <c:pt idx="7">
                    <c:v>Advanced Economies</c:v>
                  </c:pt>
                  <c:pt idx="8">
                    <c:v>Panama</c:v>
                  </c:pt>
                  <c:pt idx="9">
                    <c:v>Latin America</c:v>
                  </c:pt>
                  <c:pt idx="10">
                    <c:v>Comparison Countries</c:v>
                  </c:pt>
                  <c:pt idx="12">
                    <c:v>US</c:v>
                  </c:pt>
                  <c:pt idx="13">
                    <c:v>Advanced Economies</c:v>
                  </c:pt>
                  <c:pt idx="14">
                    <c:v>Panama</c:v>
                  </c:pt>
                  <c:pt idx="15">
                    <c:v>Latin America</c:v>
                  </c:pt>
                  <c:pt idx="16">
                    <c:v>Comparison Countries</c:v>
                  </c:pt>
                </c:lvl>
                <c:lvl>
                  <c:pt idx="0">
                    <c:v>Childhood (Primary)</c:v>
                  </c:pt>
                  <c:pt idx="5">
                    <c:v>.</c:v>
                  </c:pt>
                  <c:pt idx="6">
                    <c:v>Adolescence (Secondary)</c:v>
                  </c:pt>
                  <c:pt idx="11">
                    <c:v>.</c:v>
                  </c:pt>
                  <c:pt idx="12">
                    <c:v>Young Adulthood (Tertiary)*</c:v>
                  </c:pt>
                </c:lvl>
              </c:multiLvlStrCache>
            </c:multiLvlStrRef>
          </c:cat>
          <c:val>
            <c:numRef>
              <c:f>'F3.2'!$E$101:$E$117</c:f>
              <c:numCache>
                <c:formatCode>General</c:formatCode>
                <c:ptCount val="17"/>
                <c:pt idx="0">
                  <c:v>0</c:v>
                </c:pt>
                <c:pt idx="1">
                  <c:v>20.699999999999989</c:v>
                </c:pt>
                <c:pt idx="2">
                  <c:v>53.703292365145231</c:v>
                </c:pt>
                <c:pt idx="3">
                  <c:v>32.724745626122456</c:v>
                </c:pt>
                <c:pt idx="4">
                  <c:v>49.3</c:v>
                </c:pt>
                <c:pt idx="6">
                  <c:v>11.600000000000001</c:v>
                </c:pt>
                <c:pt idx="7">
                  <c:v>20.799999999999997</c:v>
                </c:pt>
                <c:pt idx="8">
                  <c:v>15.415992826747722</c:v>
                </c:pt>
                <c:pt idx="9">
                  <c:v>5.0794512000000021</c:v>
                </c:pt>
                <c:pt idx="10">
                  <c:v>5.7</c:v>
                </c:pt>
                <c:pt idx="12">
                  <c:v>8.6</c:v>
                </c:pt>
                <c:pt idx="13">
                  <c:v>2.4</c:v>
                </c:pt>
                <c:pt idx="14">
                  <c:v>0.83979225000000002</c:v>
                </c:pt>
                <c:pt idx="15">
                  <c:v>0.695276224</c:v>
                </c:pt>
                <c:pt idx="16">
                  <c:v>1.7</c:v>
                </c:pt>
              </c:numCache>
            </c:numRef>
          </c:val>
          <c:extLst>
            <c:ext xmlns:c16="http://schemas.microsoft.com/office/drawing/2014/chart" uri="{C3380CC4-5D6E-409C-BE32-E72D297353CC}">
              <c16:uniqueId val="{0000001B-FB75-4963-B995-6F4C187FFC85}"/>
            </c:ext>
          </c:extLst>
        </c:ser>
        <c:ser>
          <c:idx val="2"/>
          <c:order val="5"/>
          <c:tx>
            <c:strRef>
              <c:f>'F3.2'!$F$100</c:f>
              <c:strCache>
                <c:ptCount val="1"/>
                <c:pt idx="0">
                  <c:v>2010</c:v>
                </c:pt>
              </c:strCache>
            </c:strRef>
          </c:tx>
          <c:spPr>
            <a:solidFill>
              <a:schemeClr val="tx2"/>
            </a:solidFill>
            <a:ln>
              <a:noFill/>
            </a:ln>
          </c:spPr>
          <c:invertIfNegative val="0"/>
          <c:dPt>
            <c:idx val="1"/>
            <c:invertIfNegative val="0"/>
            <c:bubble3D val="0"/>
            <c:spPr>
              <a:pattFill prst="wdDnDiag">
                <a:fgClr>
                  <a:schemeClr val="tx2"/>
                </a:fgClr>
                <a:bgClr>
                  <a:schemeClr val="bg1"/>
                </a:bgClr>
              </a:pattFill>
              <a:ln>
                <a:noFill/>
              </a:ln>
            </c:spPr>
            <c:extLst>
              <c:ext xmlns:c16="http://schemas.microsoft.com/office/drawing/2014/chart" uri="{C3380CC4-5D6E-409C-BE32-E72D297353CC}">
                <c16:uniqueId val="{0000001D-FB75-4963-B995-6F4C187FFC85}"/>
              </c:ext>
            </c:extLst>
          </c:dPt>
          <c:dPt>
            <c:idx val="2"/>
            <c:invertIfNegative val="0"/>
            <c:bubble3D val="0"/>
            <c:spPr>
              <a:solidFill>
                <a:schemeClr val="accent2">
                  <a:lumMod val="75000"/>
                </a:schemeClr>
              </a:solidFill>
              <a:ln>
                <a:noFill/>
              </a:ln>
            </c:spPr>
            <c:extLst>
              <c:ext xmlns:c16="http://schemas.microsoft.com/office/drawing/2014/chart" uri="{C3380CC4-5D6E-409C-BE32-E72D297353CC}">
                <c16:uniqueId val="{0000001F-FB75-4963-B995-6F4C187FFC85}"/>
              </c:ext>
            </c:extLst>
          </c:dPt>
          <c:dPt>
            <c:idx val="3"/>
            <c:invertIfNegative val="0"/>
            <c:bubble3D val="0"/>
            <c:spPr>
              <a:solidFill>
                <a:schemeClr val="bg2">
                  <a:lumMod val="50000"/>
                </a:schemeClr>
              </a:solidFill>
              <a:ln>
                <a:noFill/>
              </a:ln>
            </c:spPr>
            <c:extLst>
              <c:ext xmlns:c16="http://schemas.microsoft.com/office/drawing/2014/chart" uri="{C3380CC4-5D6E-409C-BE32-E72D297353CC}">
                <c16:uniqueId val="{00000021-FB75-4963-B995-6F4C187FFC85}"/>
              </c:ext>
            </c:extLst>
          </c:dPt>
          <c:dPt>
            <c:idx val="4"/>
            <c:invertIfNegative val="0"/>
            <c:bubble3D val="0"/>
            <c:spPr>
              <a:solidFill>
                <a:schemeClr val="bg1">
                  <a:lumMod val="50000"/>
                </a:schemeClr>
              </a:solidFill>
              <a:ln>
                <a:noFill/>
              </a:ln>
            </c:spPr>
            <c:extLst>
              <c:ext xmlns:c16="http://schemas.microsoft.com/office/drawing/2014/chart" uri="{C3380CC4-5D6E-409C-BE32-E72D297353CC}">
                <c16:uniqueId val="{00000026-E309-4147-9418-8CF8013BB398}"/>
              </c:ext>
            </c:extLst>
          </c:dPt>
          <c:dPt>
            <c:idx val="6"/>
            <c:invertIfNegative val="0"/>
            <c:bubble3D val="0"/>
            <c:extLst>
              <c:ext xmlns:c16="http://schemas.microsoft.com/office/drawing/2014/chart" uri="{C3380CC4-5D6E-409C-BE32-E72D297353CC}">
                <c16:uniqueId val="{00000023-FB75-4963-B995-6F4C187FFC85}"/>
              </c:ext>
            </c:extLst>
          </c:dPt>
          <c:dPt>
            <c:idx val="7"/>
            <c:invertIfNegative val="0"/>
            <c:bubble3D val="0"/>
            <c:spPr>
              <a:pattFill prst="wdDnDiag">
                <a:fgClr>
                  <a:schemeClr val="tx2"/>
                </a:fgClr>
                <a:bgClr>
                  <a:schemeClr val="bg1"/>
                </a:bgClr>
              </a:pattFill>
              <a:ln>
                <a:noFill/>
              </a:ln>
            </c:spPr>
            <c:extLst>
              <c:ext xmlns:c16="http://schemas.microsoft.com/office/drawing/2014/chart" uri="{C3380CC4-5D6E-409C-BE32-E72D297353CC}">
                <c16:uniqueId val="{00000025-FB75-4963-B995-6F4C187FFC85}"/>
              </c:ext>
            </c:extLst>
          </c:dPt>
          <c:dPt>
            <c:idx val="8"/>
            <c:invertIfNegative val="0"/>
            <c:bubble3D val="0"/>
            <c:spPr>
              <a:solidFill>
                <a:schemeClr val="accent2">
                  <a:lumMod val="75000"/>
                </a:schemeClr>
              </a:solidFill>
              <a:ln>
                <a:noFill/>
              </a:ln>
            </c:spPr>
            <c:extLst>
              <c:ext xmlns:c16="http://schemas.microsoft.com/office/drawing/2014/chart" uri="{C3380CC4-5D6E-409C-BE32-E72D297353CC}">
                <c16:uniqueId val="{00000027-FB75-4963-B995-6F4C187FFC85}"/>
              </c:ext>
            </c:extLst>
          </c:dPt>
          <c:dPt>
            <c:idx val="9"/>
            <c:invertIfNegative val="0"/>
            <c:bubble3D val="0"/>
            <c:spPr>
              <a:solidFill>
                <a:schemeClr val="bg2">
                  <a:lumMod val="50000"/>
                </a:schemeClr>
              </a:solidFill>
              <a:ln>
                <a:noFill/>
              </a:ln>
            </c:spPr>
            <c:extLst>
              <c:ext xmlns:c16="http://schemas.microsoft.com/office/drawing/2014/chart" uri="{C3380CC4-5D6E-409C-BE32-E72D297353CC}">
                <c16:uniqueId val="{0000002D-E309-4147-9418-8CF8013BB398}"/>
              </c:ext>
            </c:extLst>
          </c:dPt>
          <c:dPt>
            <c:idx val="10"/>
            <c:invertIfNegative val="0"/>
            <c:bubble3D val="0"/>
            <c:spPr>
              <a:solidFill>
                <a:schemeClr val="bg1">
                  <a:lumMod val="50000"/>
                </a:schemeClr>
              </a:solidFill>
              <a:ln>
                <a:noFill/>
              </a:ln>
            </c:spPr>
            <c:extLst>
              <c:ext xmlns:c16="http://schemas.microsoft.com/office/drawing/2014/chart" uri="{C3380CC4-5D6E-409C-BE32-E72D297353CC}">
                <c16:uniqueId val="{0000002F-E309-4147-9418-8CF8013BB398}"/>
              </c:ext>
            </c:extLst>
          </c:dPt>
          <c:dPt>
            <c:idx val="11"/>
            <c:invertIfNegative val="0"/>
            <c:bubble3D val="0"/>
            <c:spPr>
              <a:pattFill prst="wdDnDiag">
                <a:fgClr>
                  <a:schemeClr val="tx2"/>
                </a:fgClr>
                <a:bgClr>
                  <a:schemeClr val="bg1"/>
                </a:bgClr>
              </a:pattFill>
              <a:ln>
                <a:noFill/>
              </a:ln>
            </c:spPr>
            <c:extLst>
              <c:ext xmlns:c16="http://schemas.microsoft.com/office/drawing/2014/chart" uri="{C3380CC4-5D6E-409C-BE32-E72D297353CC}">
                <c16:uniqueId val="{00000029-FB75-4963-B995-6F4C187FFC85}"/>
              </c:ext>
            </c:extLst>
          </c:dPt>
          <c:dPt>
            <c:idx val="12"/>
            <c:invertIfNegative val="0"/>
            <c:bubble3D val="0"/>
            <c:extLst>
              <c:ext xmlns:c16="http://schemas.microsoft.com/office/drawing/2014/chart" uri="{C3380CC4-5D6E-409C-BE32-E72D297353CC}">
                <c16:uniqueId val="{0000002B-FB75-4963-B995-6F4C187FFC85}"/>
              </c:ext>
            </c:extLst>
          </c:dPt>
          <c:dPt>
            <c:idx val="13"/>
            <c:invertIfNegative val="0"/>
            <c:bubble3D val="0"/>
            <c:spPr>
              <a:pattFill prst="wdDnDiag">
                <a:fgClr>
                  <a:schemeClr val="tx2"/>
                </a:fgClr>
                <a:bgClr>
                  <a:schemeClr val="bg1"/>
                </a:bgClr>
              </a:pattFill>
              <a:ln>
                <a:noFill/>
              </a:ln>
            </c:spPr>
            <c:extLst>
              <c:ext xmlns:c16="http://schemas.microsoft.com/office/drawing/2014/chart" uri="{C3380CC4-5D6E-409C-BE32-E72D297353CC}">
                <c16:uniqueId val="{0000002D-FB75-4963-B995-6F4C187FFC85}"/>
              </c:ext>
            </c:extLst>
          </c:dPt>
          <c:dPt>
            <c:idx val="14"/>
            <c:invertIfNegative val="0"/>
            <c:bubble3D val="0"/>
            <c:spPr>
              <a:solidFill>
                <a:schemeClr val="accent2">
                  <a:lumMod val="75000"/>
                </a:schemeClr>
              </a:solidFill>
              <a:ln>
                <a:noFill/>
              </a:ln>
            </c:spPr>
            <c:extLst>
              <c:ext xmlns:c16="http://schemas.microsoft.com/office/drawing/2014/chart" uri="{C3380CC4-5D6E-409C-BE32-E72D297353CC}">
                <c16:uniqueId val="{00000036-E309-4147-9418-8CF8013BB398}"/>
              </c:ext>
            </c:extLst>
          </c:dPt>
          <c:dPt>
            <c:idx val="15"/>
            <c:invertIfNegative val="0"/>
            <c:bubble3D val="0"/>
            <c:spPr>
              <a:solidFill>
                <a:schemeClr val="bg2">
                  <a:lumMod val="50000"/>
                </a:schemeClr>
              </a:solidFill>
              <a:ln>
                <a:noFill/>
              </a:ln>
            </c:spPr>
            <c:extLst>
              <c:ext xmlns:c16="http://schemas.microsoft.com/office/drawing/2014/chart" uri="{C3380CC4-5D6E-409C-BE32-E72D297353CC}">
                <c16:uniqueId val="{00000038-E309-4147-9418-8CF8013BB398}"/>
              </c:ext>
            </c:extLst>
          </c:dPt>
          <c:dPt>
            <c:idx val="16"/>
            <c:invertIfNegative val="0"/>
            <c:bubble3D val="0"/>
            <c:spPr>
              <a:solidFill>
                <a:schemeClr val="bg1">
                  <a:lumMod val="50000"/>
                </a:schemeClr>
              </a:solidFill>
              <a:ln>
                <a:noFill/>
              </a:ln>
            </c:spPr>
            <c:extLst>
              <c:ext xmlns:c16="http://schemas.microsoft.com/office/drawing/2014/chart" uri="{C3380CC4-5D6E-409C-BE32-E72D297353CC}">
                <c16:uniqueId val="{0000003A-E309-4147-9418-8CF8013BB398}"/>
              </c:ext>
            </c:extLst>
          </c:dPt>
          <c:cat>
            <c:multiLvlStrRef>
              <c:f>'F3.2'!$B$101:$C$117</c:f>
              <c:multiLvlStrCache>
                <c:ptCount val="17"/>
                <c:lvl>
                  <c:pt idx="0">
                    <c:v>US</c:v>
                  </c:pt>
                  <c:pt idx="1">
                    <c:v>Advanced Economies</c:v>
                  </c:pt>
                  <c:pt idx="2">
                    <c:v>Panama</c:v>
                  </c:pt>
                  <c:pt idx="3">
                    <c:v>Latin America</c:v>
                  </c:pt>
                  <c:pt idx="4">
                    <c:v>Comparison Countries</c:v>
                  </c:pt>
                  <c:pt idx="6">
                    <c:v>US</c:v>
                  </c:pt>
                  <c:pt idx="7">
                    <c:v>Advanced Economies</c:v>
                  </c:pt>
                  <c:pt idx="8">
                    <c:v>Panama</c:v>
                  </c:pt>
                  <c:pt idx="9">
                    <c:v>Latin America</c:v>
                  </c:pt>
                  <c:pt idx="10">
                    <c:v>Comparison Countries</c:v>
                  </c:pt>
                  <c:pt idx="12">
                    <c:v>US</c:v>
                  </c:pt>
                  <c:pt idx="13">
                    <c:v>Advanced Economies</c:v>
                  </c:pt>
                  <c:pt idx="14">
                    <c:v>Panama</c:v>
                  </c:pt>
                  <c:pt idx="15">
                    <c:v>Latin America</c:v>
                  </c:pt>
                  <c:pt idx="16">
                    <c:v>Comparison Countries</c:v>
                  </c:pt>
                </c:lvl>
                <c:lvl>
                  <c:pt idx="0">
                    <c:v>Childhood (Primary)</c:v>
                  </c:pt>
                  <c:pt idx="5">
                    <c:v>.</c:v>
                  </c:pt>
                  <c:pt idx="6">
                    <c:v>Adolescence (Secondary)</c:v>
                  </c:pt>
                  <c:pt idx="11">
                    <c:v>.</c:v>
                  </c:pt>
                  <c:pt idx="12">
                    <c:v>Young Adulthood (Tertiary)*</c:v>
                  </c:pt>
                </c:lvl>
              </c:multiLvlStrCache>
            </c:multiLvlStrRef>
          </c:cat>
          <c:val>
            <c:numRef>
              <c:f>'F3.2'!$F$101:$F$117</c:f>
              <c:numCache>
                <c:formatCode>General</c:formatCode>
                <c:ptCount val="17"/>
                <c:pt idx="0">
                  <c:v>0</c:v>
                </c:pt>
                <c:pt idx="1">
                  <c:v>5</c:v>
                </c:pt>
                <c:pt idx="2">
                  <c:v>25.00687659751037</c:v>
                </c:pt>
                <c:pt idx="3">
                  <c:v>32.528200607346932</c:v>
                </c:pt>
                <c:pt idx="4">
                  <c:v>29.800000000000011</c:v>
                </c:pt>
                <c:pt idx="6">
                  <c:v>58.2</c:v>
                </c:pt>
                <c:pt idx="7">
                  <c:v>74.099999999999994</c:v>
                </c:pt>
                <c:pt idx="8">
                  <c:v>66.388227173252275</c:v>
                </c:pt>
                <c:pt idx="9">
                  <c:v>70.623908030769243</c:v>
                </c:pt>
                <c:pt idx="10">
                  <c:v>73.399999999999991</c:v>
                </c:pt>
                <c:pt idx="12">
                  <c:v>82.5</c:v>
                </c:pt>
                <c:pt idx="13">
                  <c:v>65.2</c:v>
                </c:pt>
                <c:pt idx="14">
                  <c:v>32.751897749999998</c:v>
                </c:pt>
                <c:pt idx="15">
                  <c:v>33.98162544800001</c:v>
                </c:pt>
                <c:pt idx="16">
                  <c:v>41.300000000000004</c:v>
                </c:pt>
              </c:numCache>
            </c:numRef>
          </c:val>
          <c:extLst>
            <c:ext xmlns:c16="http://schemas.microsoft.com/office/drawing/2014/chart" uri="{C3380CC4-5D6E-409C-BE32-E72D297353CC}">
              <c16:uniqueId val="{0000002E-FB75-4963-B995-6F4C187FFC85}"/>
            </c:ext>
          </c:extLst>
        </c:ser>
        <c:dLbls>
          <c:showLegendKey val="0"/>
          <c:showVal val="0"/>
          <c:showCatName val="0"/>
          <c:showSerName val="0"/>
          <c:showPercent val="0"/>
          <c:showBubbleSize val="0"/>
        </c:dLbls>
        <c:gapWidth val="150"/>
        <c:overlap val="100"/>
        <c:axId val="259272064"/>
        <c:axId val="259274240"/>
      </c:barChart>
      <c:lineChart>
        <c:grouping val="standard"/>
        <c:varyColors val="0"/>
        <c:ser>
          <c:idx val="3"/>
          <c:order val="2"/>
          <c:tx>
            <c:strRef>
              <c:f>'F3.2'!$G$100</c:f>
              <c:strCache>
                <c:ptCount val="1"/>
                <c:pt idx="0">
                  <c:v>Total</c:v>
                </c:pt>
              </c:strCache>
            </c:strRef>
          </c:tx>
          <c:spPr>
            <a:ln>
              <a:noFill/>
            </a:ln>
          </c:spPr>
          <c:marker>
            <c:symbol val="none"/>
          </c:marker>
          <c:dLbls>
            <c:spPr>
              <a:noFill/>
              <a:ln>
                <a:noFill/>
              </a:ln>
              <a:effectLst/>
            </c:spPr>
            <c:txPr>
              <a:bodyPr/>
              <a:lstStyle/>
              <a:p>
                <a:pPr>
                  <a:defRPr sz="1200" b="0">
                    <a:latin typeface="Times New Roman" panose="02020603050405020304" pitchFamily="18" charset="0"/>
                    <a:cs typeface="Times New Roman" panose="02020603050405020304" pitchFamily="18"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'F3.2'!$B$101:$C$117</c:f>
              <c:multiLvlStrCache>
                <c:ptCount val="17"/>
                <c:lvl>
                  <c:pt idx="0">
                    <c:v>US</c:v>
                  </c:pt>
                  <c:pt idx="1">
                    <c:v>Advanced Economies</c:v>
                  </c:pt>
                  <c:pt idx="2">
                    <c:v>Panama</c:v>
                  </c:pt>
                  <c:pt idx="3">
                    <c:v>Latin America</c:v>
                  </c:pt>
                  <c:pt idx="4">
                    <c:v>Comparison Countries</c:v>
                  </c:pt>
                  <c:pt idx="6">
                    <c:v>US</c:v>
                  </c:pt>
                  <c:pt idx="7">
                    <c:v>Advanced Economies</c:v>
                  </c:pt>
                  <c:pt idx="8">
                    <c:v>Panama</c:v>
                  </c:pt>
                  <c:pt idx="9">
                    <c:v>Latin America</c:v>
                  </c:pt>
                  <c:pt idx="10">
                    <c:v>Comparison Countries</c:v>
                  </c:pt>
                  <c:pt idx="12">
                    <c:v>US</c:v>
                  </c:pt>
                  <c:pt idx="13">
                    <c:v>Advanced Economies</c:v>
                  </c:pt>
                  <c:pt idx="14">
                    <c:v>Panama</c:v>
                  </c:pt>
                  <c:pt idx="15">
                    <c:v>Latin America</c:v>
                  </c:pt>
                  <c:pt idx="16">
                    <c:v>Comparison Countries</c:v>
                  </c:pt>
                </c:lvl>
                <c:lvl>
                  <c:pt idx="0">
                    <c:v>Childhood (Primary)</c:v>
                  </c:pt>
                  <c:pt idx="5">
                    <c:v>.</c:v>
                  </c:pt>
                  <c:pt idx="6">
                    <c:v>Adolescence (Secondary)</c:v>
                  </c:pt>
                  <c:pt idx="11">
                    <c:v>.</c:v>
                  </c:pt>
                  <c:pt idx="12">
                    <c:v>Young Adulthood (Tertiary)*</c:v>
                  </c:pt>
                </c:lvl>
              </c:multiLvlStrCache>
            </c:multiLvlStrRef>
          </c:cat>
          <c:val>
            <c:numRef>
              <c:f>'F3.2'!$G$101:$G$117</c:f>
              <c:numCache>
                <c:formatCode>0.0</c:formatCode>
                <c:ptCount val="17"/>
                <c:pt idx="0">
                  <c:v>100</c:v>
                </c:pt>
                <c:pt idx="1">
                  <c:v>99.1</c:v>
                </c:pt>
                <c:pt idx="2">
                  <c:v>98.797659999999993</c:v>
                </c:pt>
                <c:pt idx="3">
                  <c:v>96.307059199999998</c:v>
                </c:pt>
                <c:pt idx="4">
                  <c:v>98.4</c:v>
                </c:pt>
                <c:pt idx="6">
                  <c:v>87</c:v>
                </c:pt>
                <c:pt idx="7">
                  <c:v>97.5</c:v>
                </c:pt>
                <c:pt idx="8">
                  <c:v>81.804220000000001</c:v>
                </c:pt>
                <c:pt idx="9">
                  <c:v>76.19176800000001</c:v>
                </c:pt>
                <c:pt idx="10">
                  <c:v>79.8</c:v>
                </c:pt>
                <c:pt idx="12">
                  <c:v>93</c:v>
                </c:pt>
                <c:pt idx="13">
                  <c:v>68.2</c:v>
                </c:pt>
                <c:pt idx="14">
                  <c:v>33.59169</c:v>
                </c:pt>
                <c:pt idx="15">
                  <c:v>34.763811200000006</c:v>
                </c:pt>
                <c:pt idx="16">
                  <c:v>43.1</c:v>
                </c:pt>
              </c:numCache>
            </c:numRef>
          </c:val>
          <c:smooth val="0"/>
          <c:extLst>
            <c:ext xmlns:c16="http://schemas.microsoft.com/office/drawing/2014/chart" uri="{C3380CC4-5D6E-409C-BE32-E72D297353CC}">
              <c16:uniqueId val="{0000002F-FB75-4963-B995-6F4C187FFC85}"/>
            </c:ext>
          </c:extLst>
        </c:ser>
        <c:ser>
          <c:idx val="4"/>
          <c:order val="3"/>
          <c:tx>
            <c:strRef>
              <c:f>'F3.2'!$H$100</c:f>
              <c:strCache>
                <c:ptCount val="1"/>
                <c:pt idx="0">
                  <c:v>1900</c:v>
                </c:pt>
              </c:strCache>
            </c:strRef>
          </c:tx>
          <c:spPr>
            <a:ln w="28575">
              <a:noFill/>
            </a:ln>
          </c:spPr>
          <c:marker>
            <c:symbol val="circle"/>
            <c:size val="8"/>
            <c:spPr>
              <a:solidFill>
                <a:schemeClr val="bg1"/>
              </a:solidFill>
              <a:ln w="25400">
                <a:solidFill>
                  <a:schemeClr val="tx1"/>
                </a:solidFill>
              </a:ln>
            </c:spPr>
          </c:marker>
          <c:val>
            <c:numRef>
              <c:f>'F3.2'!$H$101:$H$117</c:f>
              <c:numCache>
                <c:formatCode>General</c:formatCode>
                <c:ptCount val="17"/>
                <c:pt idx="0">
                  <c:v>100</c:v>
                </c:pt>
                <c:pt idx="1">
                  <c:v>73.400000000000006</c:v>
                </c:pt>
                <c:pt idx="2">
                  <c:v>20.087491037344396</c:v>
                </c:pt>
                <c:pt idx="3">
                  <c:v>31.05411296653061</c:v>
                </c:pt>
                <c:pt idx="4">
                  <c:v>19.3</c:v>
                </c:pt>
                <c:pt idx="6">
                  <c:v>17.2</c:v>
                </c:pt>
                <c:pt idx="7">
                  <c:v>2.6</c:v>
                </c:pt>
                <c:pt idx="8">
                  <c:v>0</c:v>
                </c:pt>
                <c:pt idx="9">
                  <c:v>0.48840876923076942</c:v>
                </c:pt>
                <c:pt idx="10">
                  <c:v>0.7</c:v>
                </c:pt>
                <c:pt idx="12">
                  <c:v>1.9</c:v>
                </c:pt>
                <c:pt idx="13">
                  <c:v>0.6</c:v>
                </c:pt>
                <c:pt idx="14">
                  <c:v>0</c:v>
                </c:pt>
                <c:pt idx="15">
                  <c:v>8.6909528E-2</c:v>
                </c:pt>
                <c:pt idx="16">
                  <c:v>0.1</c:v>
                </c:pt>
              </c:numCache>
            </c:numRef>
          </c:val>
          <c:smooth val="0"/>
          <c:extLst>
            <c:ext xmlns:c16="http://schemas.microsoft.com/office/drawing/2014/chart" uri="{C3380CC4-5D6E-409C-BE32-E72D297353CC}">
              <c16:uniqueId val="{00000030-FB75-4963-B995-6F4C187FFC85}"/>
            </c:ext>
          </c:extLst>
        </c:ser>
        <c:ser>
          <c:idx val="5"/>
          <c:order val="4"/>
          <c:tx>
            <c:strRef>
              <c:f>'F3.2'!$I$100</c:f>
              <c:strCache>
                <c:ptCount val="1"/>
                <c:pt idx="0">
                  <c:v>1950</c:v>
                </c:pt>
              </c:strCache>
            </c:strRef>
          </c:tx>
          <c:spPr>
            <a:ln w="28575">
              <a:noFill/>
            </a:ln>
          </c:spPr>
          <c:marker>
            <c:symbol val="triangle"/>
            <c:size val="7"/>
            <c:spPr>
              <a:solidFill>
                <a:schemeClr val="bg1"/>
              </a:solidFill>
              <a:ln w="22225">
                <a:solidFill>
                  <a:srgbClr val="C00000"/>
                </a:solidFill>
              </a:ln>
            </c:spPr>
          </c:marker>
          <c:val>
            <c:numRef>
              <c:f>'F3.2'!$I$101:$I$117</c:f>
              <c:numCache>
                <c:formatCode>General</c:formatCode>
                <c:ptCount val="17"/>
                <c:pt idx="0">
                  <c:v>100</c:v>
                </c:pt>
                <c:pt idx="1">
                  <c:v>94.1</c:v>
                </c:pt>
                <c:pt idx="2">
                  <c:v>73.790783402489623</c:v>
                </c:pt>
                <c:pt idx="3">
                  <c:v>63.778858592653066</c:v>
                </c:pt>
                <c:pt idx="4">
                  <c:v>68.599999999999994</c:v>
                </c:pt>
                <c:pt idx="6">
                  <c:v>28.8</c:v>
                </c:pt>
                <c:pt idx="7">
                  <c:v>23.4</c:v>
                </c:pt>
                <c:pt idx="8">
                  <c:v>15.415992826747722</c:v>
                </c:pt>
                <c:pt idx="9">
                  <c:v>5.5678599692307715</c:v>
                </c:pt>
                <c:pt idx="10">
                  <c:v>6.4</c:v>
                </c:pt>
                <c:pt idx="12">
                  <c:v>10.5</c:v>
                </c:pt>
                <c:pt idx="13">
                  <c:v>3</c:v>
                </c:pt>
                <c:pt idx="14">
                  <c:v>0.83979225000000002</c:v>
                </c:pt>
                <c:pt idx="15">
                  <c:v>0.78218575199999996</c:v>
                </c:pt>
                <c:pt idx="16">
                  <c:v>1.8</c:v>
                </c:pt>
              </c:numCache>
            </c:numRef>
          </c:val>
          <c:smooth val="0"/>
          <c:extLst>
            <c:ext xmlns:c16="http://schemas.microsoft.com/office/drawing/2014/chart" uri="{C3380CC4-5D6E-409C-BE32-E72D297353CC}">
              <c16:uniqueId val="{00000031-FB75-4963-B995-6F4C187FFC85}"/>
            </c:ext>
          </c:extLst>
        </c:ser>
        <c:dLbls>
          <c:showLegendKey val="0"/>
          <c:showVal val="0"/>
          <c:showCatName val="0"/>
          <c:showSerName val="0"/>
          <c:showPercent val="0"/>
          <c:showBubbleSize val="0"/>
        </c:dLbls>
        <c:marker val="1"/>
        <c:smooth val="0"/>
        <c:axId val="259272064"/>
        <c:axId val="259274240"/>
      </c:lineChart>
      <c:catAx>
        <c:axId val="259272064"/>
        <c:scaling>
          <c:orientation val="minMax"/>
        </c:scaling>
        <c:delete val="0"/>
        <c:axPos val="b"/>
        <c:numFmt formatCode="General" sourceLinked="0"/>
        <c:majorTickMark val="out"/>
        <c:minorTickMark val="none"/>
        <c:tickLblPos val="nextTo"/>
        <c:txPr>
          <a:bodyPr/>
          <a:lstStyle/>
          <a:p>
            <a:pPr>
              <a:defRPr sz="900">
                <a:latin typeface="Times New Roman" panose="02020603050405020304" pitchFamily="18" charset="0"/>
                <a:cs typeface="Times New Roman" panose="02020603050405020304" pitchFamily="18" charset="0"/>
              </a:defRPr>
            </a:pPr>
            <a:endParaRPr lang="en-US"/>
          </a:p>
        </c:txPr>
        <c:crossAx val="259274240"/>
        <c:crosses val="autoZero"/>
        <c:auto val="1"/>
        <c:lblAlgn val="ctr"/>
        <c:lblOffset val="100"/>
        <c:tickMarkSkip val="1"/>
        <c:noMultiLvlLbl val="0"/>
      </c:catAx>
      <c:valAx>
        <c:axId val="259274240"/>
        <c:scaling>
          <c:orientation val="minMax"/>
          <c:max val="100"/>
        </c:scaling>
        <c:delete val="0"/>
        <c:axPos val="l"/>
        <c:title>
          <c:tx>
            <c:rich>
              <a:bodyPr rot="-5400000" vert="horz"/>
              <a:lstStyle/>
              <a:p>
                <a:pPr>
                  <a:defRPr sz="1100" b="0">
                    <a:latin typeface="Times New Roman" panose="02020603050405020304" pitchFamily="18" charset="0"/>
                    <a:cs typeface="Times New Roman" panose="02020603050405020304" pitchFamily="18" charset="0"/>
                  </a:defRPr>
                </a:pPr>
                <a:r>
                  <a:rPr lang="en-US" sz="1100" b="0">
                    <a:latin typeface="Times New Roman" panose="02020603050405020304" pitchFamily="18" charset="0"/>
                    <a:cs typeface="Times New Roman" panose="02020603050405020304" pitchFamily="18" charset="0"/>
                  </a:rPr>
                  <a:t>Percent</a:t>
                </a:r>
                <a:r>
                  <a:rPr lang="en-US" sz="1100" b="0" baseline="0">
                    <a:latin typeface="Times New Roman" panose="02020603050405020304" pitchFamily="18" charset="0"/>
                    <a:cs typeface="Times New Roman" panose="02020603050405020304" pitchFamily="18" charset="0"/>
                  </a:rPr>
                  <a:t> (%)</a:t>
                </a:r>
                <a:endParaRPr lang="en-US" sz="1100" b="0">
                  <a:latin typeface="Times New Roman" panose="02020603050405020304" pitchFamily="18" charset="0"/>
                  <a:cs typeface="Times New Roman" panose="02020603050405020304" pitchFamily="18" charset="0"/>
                </a:endParaRPr>
              </a:p>
            </c:rich>
          </c:tx>
          <c:overlay val="0"/>
        </c:title>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59272064"/>
        <c:crosses val="autoZero"/>
        <c:crossBetween val="between"/>
      </c:valAx>
    </c:plotArea>
    <c:legend>
      <c:legendPos val="b"/>
      <c:legendEntry>
        <c:idx val="0"/>
        <c:delete val="1"/>
      </c:legendEntry>
      <c:legendEntry>
        <c:idx val="1"/>
        <c:delete val="1"/>
      </c:legendEntry>
      <c:legendEntry>
        <c:idx val="3"/>
        <c:delete val="1"/>
      </c:legendEntry>
      <c:overlay val="0"/>
      <c:txPr>
        <a:bodyPr/>
        <a:lstStyle/>
        <a:p>
          <a:pPr>
            <a:defRPr sz="120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1">
                <a:solidFill>
                  <a:sysClr val="windowText" lastClr="000000"/>
                </a:solidFill>
                <a:latin typeface="Times New Roman" panose="02020603050405020304" pitchFamily="18" charset="0"/>
                <a:cs typeface="Times New Roman" panose="02020603050405020304" pitchFamily="18" charset="0"/>
              </a:rPr>
              <a:t>Share of Time Spent in Employment</a:t>
            </a:r>
            <a:r>
              <a:rPr lang="en-US" sz="1200" b="1" baseline="0">
                <a:solidFill>
                  <a:sysClr val="windowText" lastClr="000000"/>
                </a:solidFill>
                <a:latin typeface="Times New Roman" panose="02020603050405020304" pitchFamily="18" charset="0"/>
                <a:cs typeface="Times New Roman" panose="02020603050405020304" pitchFamily="18" charset="0"/>
              </a:rPr>
              <a:t> Status</a:t>
            </a:r>
          </a:p>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1" baseline="0">
                <a:solidFill>
                  <a:sysClr val="windowText" lastClr="000000"/>
                </a:solidFill>
                <a:latin typeface="Times New Roman" panose="02020603050405020304" pitchFamily="18" charset="0"/>
                <a:cs typeface="Times New Roman" panose="02020603050405020304" pitchFamily="18" charset="0"/>
              </a:rPr>
              <a:t>Conditional on 2002 Status</a:t>
            </a:r>
            <a:endParaRPr lang="en-US" sz="1200" b="1">
              <a:solidFill>
                <a:sysClr val="windowText" lastClr="000000"/>
              </a:solidFill>
              <a:latin typeface="Times New Roman" panose="02020603050405020304" pitchFamily="18" charset="0"/>
              <a:cs typeface="Times New Roman" panose="02020603050405020304" pitchFamily="18" charset="0"/>
            </a:endParaRPr>
          </a:p>
        </c:rich>
      </c:tx>
      <c:overlay val="0"/>
      <c:spPr>
        <a:noFill/>
        <a:ln>
          <a:noFill/>
        </a:ln>
        <a:effectLst/>
      </c:spPr>
    </c:title>
    <c:autoTitleDeleted val="0"/>
    <c:plotArea>
      <c:layout>
        <c:manualLayout>
          <c:layoutTarget val="inner"/>
          <c:xMode val="edge"/>
          <c:yMode val="edge"/>
          <c:x val="8.1264216972878389E-2"/>
          <c:y val="0.14861111111111111"/>
          <c:w val="1.3180227471566157E-2"/>
          <c:h val="1.6784047827354914E-2"/>
        </c:manualLayout>
      </c:layout>
      <c:barChart>
        <c:barDir val="col"/>
        <c:grouping val="stacked"/>
        <c:varyColors val="0"/>
        <c:ser>
          <c:idx val="0"/>
          <c:order val="0"/>
          <c:tx>
            <c:strRef>
              <c:f>'F10.4'!$B$37</c:f>
              <c:strCache>
                <c:ptCount val="1"/>
                <c:pt idx="0">
                  <c:v>Employed Formal</c:v>
                </c:pt>
              </c:strCache>
            </c:strRef>
          </c:tx>
          <c:spPr>
            <a:solidFill>
              <a:srgbClr val="918477"/>
            </a:solidFill>
            <a:ln>
              <a:noFill/>
            </a:ln>
            <a:effectLst/>
          </c:spPr>
          <c:invertIfNegative val="0"/>
          <c:cat>
            <c:strRef>
              <c:f>'F10.4'!$B$37:$B$41</c:f>
              <c:strCache>
                <c:ptCount val="5"/>
                <c:pt idx="0">
                  <c:v>Employed Formal</c:v>
                </c:pt>
                <c:pt idx="1">
                  <c:v>Employed Informal</c:v>
                </c:pt>
                <c:pt idx="2">
                  <c:v>Self-Employed</c:v>
                </c:pt>
                <c:pt idx="3">
                  <c:v>Employer</c:v>
                </c:pt>
                <c:pt idx="4">
                  <c:v>Other</c:v>
                </c:pt>
              </c:strCache>
            </c:strRef>
          </c:cat>
          <c:val>
            <c:numRef>
              <c:f>'F10.4'!$C$37:$G$37</c:f>
              <c:numCache>
                <c:formatCode>General</c:formatCode>
                <c:ptCount val="5"/>
                <c:pt idx="0">
                  <c:v>93.01849</c:v>
                </c:pt>
                <c:pt idx="1">
                  <c:v>3.4041000000000001</c:v>
                </c:pt>
                <c:pt idx="2">
                  <c:v>0.74756999999999996</c:v>
                </c:pt>
                <c:pt idx="3">
                  <c:v>0.73653000000000002</c:v>
                </c:pt>
                <c:pt idx="4">
                  <c:v>4.4733700000000001</c:v>
                </c:pt>
              </c:numCache>
            </c:numRef>
          </c:val>
          <c:extLst>
            <c:ext xmlns:c16="http://schemas.microsoft.com/office/drawing/2014/chart" uri="{C3380CC4-5D6E-409C-BE32-E72D297353CC}">
              <c16:uniqueId val="{00000000-0FEF-4F49-9D53-D1BB1D2A74E2}"/>
            </c:ext>
          </c:extLst>
        </c:ser>
        <c:ser>
          <c:idx val="1"/>
          <c:order val="1"/>
          <c:tx>
            <c:strRef>
              <c:f>'F10.4'!$B$38</c:f>
              <c:strCache>
                <c:ptCount val="1"/>
                <c:pt idx="0">
                  <c:v>Employed Informal</c:v>
                </c:pt>
              </c:strCache>
            </c:strRef>
          </c:tx>
          <c:spPr>
            <a:solidFill>
              <a:schemeClr val="accent2">
                <a:lumMod val="60000"/>
                <a:lumOff val="40000"/>
              </a:schemeClr>
            </a:solidFill>
            <a:ln>
              <a:noFill/>
            </a:ln>
            <a:effectLst/>
          </c:spPr>
          <c:invertIfNegative val="0"/>
          <c:cat>
            <c:strRef>
              <c:f>'F10.4'!$B$37:$B$41</c:f>
              <c:strCache>
                <c:ptCount val="5"/>
                <c:pt idx="0">
                  <c:v>Employed Formal</c:v>
                </c:pt>
                <c:pt idx="1">
                  <c:v>Employed Informal</c:v>
                </c:pt>
                <c:pt idx="2">
                  <c:v>Self-Employed</c:v>
                </c:pt>
                <c:pt idx="3">
                  <c:v>Employer</c:v>
                </c:pt>
                <c:pt idx="4">
                  <c:v>Other</c:v>
                </c:pt>
              </c:strCache>
            </c:strRef>
          </c:cat>
          <c:val>
            <c:numRef>
              <c:f>'F10.4'!$C$38:$G$38</c:f>
              <c:numCache>
                <c:formatCode>General</c:formatCode>
                <c:ptCount val="5"/>
                <c:pt idx="0">
                  <c:v>0.68774999999999997</c:v>
                </c:pt>
                <c:pt idx="1">
                  <c:v>84.773060000000001</c:v>
                </c:pt>
                <c:pt idx="2">
                  <c:v>6.4509999999999998E-2</c:v>
                </c:pt>
                <c:pt idx="3">
                  <c:v>0.10522000000000001</c:v>
                </c:pt>
                <c:pt idx="4">
                  <c:v>1.7525300000000001</c:v>
                </c:pt>
              </c:numCache>
            </c:numRef>
          </c:val>
          <c:extLst>
            <c:ext xmlns:c16="http://schemas.microsoft.com/office/drawing/2014/chart" uri="{C3380CC4-5D6E-409C-BE32-E72D297353CC}">
              <c16:uniqueId val="{00000001-0FEF-4F49-9D53-D1BB1D2A74E2}"/>
            </c:ext>
          </c:extLst>
        </c:ser>
        <c:ser>
          <c:idx val="2"/>
          <c:order val="2"/>
          <c:tx>
            <c:strRef>
              <c:f>'F10.4'!$B$39</c:f>
              <c:strCache>
                <c:ptCount val="1"/>
                <c:pt idx="0">
                  <c:v>Self-Employed</c:v>
                </c:pt>
              </c:strCache>
            </c:strRef>
          </c:tx>
          <c:spPr>
            <a:solidFill>
              <a:schemeClr val="accent4">
                <a:lumMod val="60000"/>
                <a:lumOff val="40000"/>
              </a:schemeClr>
            </a:solidFill>
            <a:ln>
              <a:noFill/>
            </a:ln>
            <a:effectLst/>
          </c:spPr>
          <c:invertIfNegative val="0"/>
          <c:cat>
            <c:strRef>
              <c:f>'F10.4'!$B$37:$B$41</c:f>
              <c:strCache>
                <c:ptCount val="5"/>
                <c:pt idx="0">
                  <c:v>Employed Formal</c:v>
                </c:pt>
                <c:pt idx="1">
                  <c:v>Employed Informal</c:v>
                </c:pt>
                <c:pt idx="2">
                  <c:v>Self-Employed</c:v>
                </c:pt>
                <c:pt idx="3">
                  <c:v>Employer</c:v>
                </c:pt>
                <c:pt idx="4">
                  <c:v>Other</c:v>
                </c:pt>
              </c:strCache>
            </c:strRef>
          </c:cat>
          <c:val>
            <c:numRef>
              <c:f>'F10.4'!$C$39:$G$39</c:f>
              <c:numCache>
                <c:formatCode>General</c:formatCode>
                <c:ptCount val="5"/>
                <c:pt idx="0">
                  <c:v>0.63627</c:v>
                </c:pt>
                <c:pt idx="1">
                  <c:v>1.28721</c:v>
                </c:pt>
                <c:pt idx="2">
                  <c:v>97.347450000000009</c:v>
                </c:pt>
                <c:pt idx="3">
                  <c:v>0.27357000000000004</c:v>
                </c:pt>
                <c:pt idx="4">
                  <c:v>0.92048000000000008</c:v>
                </c:pt>
              </c:numCache>
            </c:numRef>
          </c:val>
          <c:extLst>
            <c:ext xmlns:c16="http://schemas.microsoft.com/office/drawing/2014/chart" uri="{C3380CC4-5D6E-409C-BE32-E72D297353CC}">
              <c16:uniqueId val="{00000002-0FEF-4F49-9D53-D1BB1D2A74E2}"/>
            </c:ext>
          </c:extLst>
        </c:ser>
        <c:ser>
          <c:idx val="3"/>
          <c:order val="3"/>
          <c:tx>
            <c:strRef>
              <c:f>'F10.4'!$B$40</c:f>
              <c:strCache>
                <c:ptCount val="1"/>
                <c:pt idx="0">
                  <c:v>Employer</c:v>
                </c:pt>
              </c:strCache>
            </c:strRef>
          </c:tx>
          <c:spPr>
            <a:solidFill>
              <a:srgbClr val="92DAE2"/>
            </a:solidFill>
            <a:ln>
              <a:noFill/>
            </a:ln>
            <a:effectLst/>
          </c:spPr>
          <c:invertIfNegative val="0"/>
          <c:cat>
            <c:strRef>
              <c:f>'F10.4'!$B$37:$B$41</c:f>
              <c:strCache>
                <c:ptCount val="5"/>
                <c:pt idx="0">
                  <c:v>Employed Formal</c:v>
                </c:pt>
                <c:pt idx="1">
                  <c:v>Employed Informal</c:v>
                </c:pt>
                <c:pt idx="2">
                  <c:v>Self-Employed</c:v>
                </c:pt>
                <c:pt idx="3">
                  <c:v>Employer</c:v>
                </c:pt>
                <c:pt idx="4">
                  <c:v>Other</c:v>
                </c:pt>
              </c:strCache>
            </c:strRef>
          </c:cat>
          <c:val>
            <c:numRef>
              <c:f>'F10.4'!$C$40:$G$40</c:f>
              <c:numCache>
                <c:formatCode>General</c:formatCode>
                <c:ptCount val="5"/>
                <c:pt idx="0">
                  <c:v>7.6190000000000008E-2</c:v>
                </c:pt>
                <c:pt idx="1">
                  <c:v>3.0499999999999999E-2</c:v>
                </c:pt>
                <c:pt idx="2">
                  <c:v>7.5900000000000004E-3</c:v>
                </c:pt>
                <c:pt idx="3">
                  <c:v>95.265150000000006</c:v>
                </c:pt>
                <c:pt idx="4">
                  <c:v>0.31311</c:v>
                </c:pt>
              </c:numCache>
            </c:numRef>
          </c:val>
          <c:extLst>
            <c:ext xmlns:c16="http://schemas.microsoft.com/office/drawing/2014/chart" uri="{C3380CC4-5D6E-409C-BE32-E72D297353CC}">
              <c16:uniqueId val="{00000003-0FEF-4F49-9D53-D1BB1D2A74E2}"/>
            </c:ext>
          </c:extLst>
        </c:ser>
        <c:ser>
          <c:idx val="4"/>
          <c:order val="4"/>
          <c:tx>
            <c:strRef>
              <c:f>'F10.4'!$B$41</c:f>
              <c:strCache>
                <c:ptCount val="1"/>
                <c:pt idx="0">
                  <c:v>Other</c:v>
                </c:pt>
              </c:strCache>
            </c:strRef>
          </c:tx>
          <c:spPr>
            <a:solidFill>
              <a:srgbClr val="9ED1F0"/>
            </a:solidFill>
            <a:ln>
              <a:noFill/>
            </a:ln>
            <a:effectLst/>
          </c:spPr>
          <c:invertIfNegative val="0"/>
          <c:cat>
            <c:strRef>
              <c:f>'F10.4'!$B$37:$B$41</c:f>
              <c:strCache>
                <c:ptCount val="5"/>
                <c:pt idx="0">
                  <c:v>Employed Formal</c:v>
                </c:pt>
                <c:pt idx="1">
                  <c:v>Employed Informal</c:v>
                </c:pt>
                <c:pt idx="2">
                  <c:v>Self-Employed</c:v>
                </c:pt>
                <c:pt idx="3">
                  <c:v>Employer</c:v>
                </c:pt>
                <c:pt idx="4">
                  <c:v>Other</c:v>
                </c:pt>
              </c:strCache>
            </c:strRef>
          </c:cat>
          <c:val>
            <c:numRef>
              <c:f>'F10.4'!$C$41:$G$41</c:f>
              <c:numCache>
                <c:formatCode>General</c:formatCode>
                <c:ptCount val="5"/>
                <c:pt idx="0">
                  <c:v>5.5813000000000006</c:v>
                </c:pt>
                <c:pt idx="1">
                  <c:v>10.50512</c:v>
                </c:pt>
                <c:pt idx="2">
                  <c:v>1.8328799999999998</c:v>
                </c:pt>
                <c:pt idx="3">
                  <c:v>3.6195300000000001</c:v>
                </c:pt>
                <c:pt idx="4">
                  <c:v>92.540779999999998</c:v>
                </c:pt>
              </c:numCache>
            </c:numRef>
          </c:val>
          <c:extLst>
            <c:ext xmlns:c16="http://schemas.microsoft.com/office/drawing/2014/chart" uri="{C3380CC4-5D6E-409C-BE32-E72D297353CC}">
              <c16:uniqueId val="{00000004-0FEF-4F49-9D53-D1BB1D2A74E2}"/>
            </c:ext>
          </c:extLst>
        </c:ser>
        <c:dLbls>
          <c:showLegendKey val="0"/>
          <c:showVal val="0"/>
          <c:showCatName val="0"/>
          <c:showSerName val="0"/>
          <c:showPercent val="0"/>
          <c:showBubbleSize val="0"/>
        </c:dLbls>
        <c:gapWidth val="75"/>
        <c:overlap val="100"/>
        <c:axId val="268267520"/>
        <c:axId val="268269056"/>
      </c:barChart>
      <c:catAx>
        <c:axId val="26826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8269056"/>
        <c:crosses val="autoZero"/>
        <c:auto val="1"/>
        <c:lblAlgn val="ctr"/>
        <c:lblOffset val="100"/>
        <c:noMultiLvlLbl val="0"/>
      </c:catAx>
      <c:valAx>
        <c:axId val="2682690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8267520"/>
        <c:crosses val="autoZero"/>
        <c:crossBetween val="between"/>
        <c:majorUnit val="20"/>
      </c:valAx>
      <c:spPr>
        <a:noFill/>
        <a:ln>
          <a:noFill/>
        </a:ln>
        <a:effectLst/>
      </c:spPr>
    </c:plotArea>
    <c:legend>
      <c:legendPos val="b"/>
      <c:layout>
        <c:manualLayout>
          <c:xMode val="edge"/>
          <c:yMode val="edge"/>
          <c:x val="0.18508845960926396"/>
          <c:y val="0.88959503232827608"/>
          <c:w val="0.6990096480154514"/>
          <c:h val="5.9515177310452895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1">
                <a:solidFill>
                  <a:sysClr val="windowText" lastClr="000000"/>
                </a:solidFill>
                <a:latin typeface="Times New Roman" panose="02020603050405020304" pitchFamily="18" charset="0"/>
                <a:cs typeface="Times New Roman" panose="02020603050405020304" pitchFamily="18" charset="0"/>
              </a:rPr>
              <a:t>A. 2 years</a:t>
            </a:r>
            <a:r>
              <a:rPr lang="en-US" sz="1200" b="1" baseline="0">
                <a:solidFill>
                  <a:sysClr val="windowText" lastClr="000000"/>
                </a:solidFill>
                <a:latin typeface="Times New Roman" panose="02020603050405020304" pitchFamily="18" charset="0"/>
                <a:cs typeface="Times New Roman" panose="02020603050405020304" pitchFamily="18" charset="0"/>
              </a:rPr>
              <a:t> after 2002</a:t>
            </a:r>
            <a:endParaRPr lang="en-US" sz="1200" b="1">
              <a:solidFill>
                <a:sysClr val="windowText" lastClr="000000"/>
              </a:solidFill>
              <a:latin typeface="Times New Roman" panose="02020603050405020304" pitchFamily="18" charset="0"/>
              <a:cs typeface="Times New Roman" panose="02020603050405020304" pitchFamily="18" charset="0"/>
            </a:endParaRPr>
          </a:p>
        </c:rich>
      </c:tx>
      <c:overlay val="0"/>
      <c:spPr>
        <a:noFill/>
        <a:ln>
          <a:noFill/>
        </a:ln>
        <a:effectLst/>
      </c:spPr>
    </c:title>
    <c:autoTitleDeleted val="0"/>
    <c:plotArea>
      <c:layout/>
      <c:barChart>
        <c:barDir val="col"/>
        <c:grouping val="stacked"/>
        <c:varyColors val="0"/>
        <c:ser>
          <c:idx val="0"/>
          <c:order val="0"/>
          <c:tx>
            <c:strRef>
              <c:f>'F10.4'!$B$37</c:f>
              <c:strCache>
                <c:ptCount val="1"/>
                <c:pt idx="0">
                  <c:v>Employed Formal</c:v>
                </c:pt>
              </c:strCache>
            </c:strRef>
          </c:tx>
          <c:spPr>
            <a:solidFill>
              <a:srgbClr val="918477"/>
            </a:solidFill>
            <a:ln>
              <a:noFill/>
            </a:ln>
            <a:effectLst/>
          </c:spPr>
          <c:invertIfNegative val="0"/>
          <c:cat>
            <c:strRef>
              <c:f>'F10.4'!$B$37:$B$41</c:f>
              <c:strCache>
                <c:ptCount val="5"/>
                <c:pt idx="0">
                  <c:v>Employed Formal</c:v>
                </c:pt>
                <c:pt idx="1">
                  <c:v>Employed Informal</c:v>
                </c:pt>
                <c:pt idx="2">
                  <c:v>Self-Employed</c:v>
                </c:pt>
                <c:pt idx="3">
                  <c:v>Employer</c:v>
                </c:pt>
                <c:pt idx="4">
                  <c:v>Other</c:v>
                </c:pt>
              </c:strCache>
            </c:strRef>
          </c:cat>
          <c:val>
            <c:numRef>
              <c:f>'F10.4'!$C$37:$G$37</c:f>
              <c:numCache>
                <c:formatCode>General</c:formatCode>
                <c:ptCount val="5"/>
                <c:pt idx="0">
                  <c:v>93.01849</c:v>
                </c:pt>
                <c:pt idx="1">
                  <c:v>3.4041000000000001</c:v>
                </c:pt>
                <c:pt idx="2">
                  <c:v>0.74756999999999996</c:v>
                </c:pt>
                <c:pt idx="3">
                  <c:v>0.73653000000000002</c:v>
                </c:pt>
                <c:pt idx="4">
                  <c:v>4.4733700000000001</c:v>
                </c:pt>
              </c:numCache>
            </c:numRef>
          </c:val>
          <c:extLst>
            <c:ext xmlns:c16="http://schemas.microsoft.com/office/drawing/2014/chart" uri="{C3380CC4-5D6E-409C-BE32-E72D297353CC}">
              <c16:uniqueId val="{00000000-29A5-4499-9499-6AF58C059DE7}"/>
            </c:ext>
          </c:extLst>
        </c:ser>
        <c:ser>
          <c:idx val="1"/>
          <c:order val="1"/>
          <c:tx>
            <c:strRef>
              <c:f>'F10.4'!$B$38</c:f>
              <c:strCache>
                <c:ptCount val="1"/>
                <c:pt idx="0">
                  <c:v>Employed Informal</c:v>
                </c:pt>
              </c:strCache>
            </c:strRef>
          </c:tx>
          <c:spPr>
            <a:solidFill>
              <a:schemeClr val="accent2">
                <a:lumMod val="60000"/>
                <a:lumOff val="40000"/>
              </a:schemeClr>
            </a:solidFill>
            <a:ln>
              <a:noFill/>
            </a:ln>
            <a:effectLst/>
          </c:spPr>
          <c:invertIfNegative val="0"/>
          <c:cat>
            <c:strRef>
              <c:f>'F10.4'!$B$37:$B$41</c:f>
              <c:strCache>
                <c:ptCount val="5"/>
                <c:pt idx="0">
                  <c:v>Employed Formal</c:v>
                </c:pt>
                <c:pt idx="1">
                  <c:v>Employed Informal</c:v>
                </c:pt>
                <c:pt idx="2">
                  <c:v>Self-Employed</c:v>
                </c:pt>
                <c:pt idx="3">
                  <c:v>Employer</c:v>
                </c:pt>
                <c:pt idx="4">
                  <c:v>Other</c:v>
                </c:pt>
              </c:strCache>
            </c:strRef>
          </c:cat>
          <c:val>
            <c:numRef>
              <c:f>'F10.4'!$C$38:$G$38</c:f>
              <c:numCache>
                <c:formatCode>General</c:formatCode>
                <c:ptCount val="5"/>
                <c:pt idx="0">
                  <c:v>0.68774999999999997</c:v>
                </c:pt>
                <c:pt idx="1">
                  <c:v>84.773060000000001</c:v>
                </c:pt>
                <c:pt idx="2">
                  <c:v>6.4509999999999998E-2</c:v>
                </c:pt>
                <c:pt idx="3">
                  <c:v>0.10522000000000001</c:v>
                </c:pt>
                <c:pt idx="4">
                  <c:v>1.7525300000000001</c:v>
                </c:pt>
              </c:numCache>
            </c:numRef>
          </c:val>
          <c:extLst>
            <c:ext xmlns:c16="http://schemas.microsoft.com/office/drawing/2014/chart" uri="{C3380CC4-5D6E-409C-BE32-E72D297353CC}">
              <c16:uniqueId val="{00000001-29A5-4499-9499-6AF58C059DE7}"/>
            </c:ext>
          </c:extLst>
        </c:ser>
        <c:ser>
          <c:idx val="2"/>
          <c:order val="2"/>
          <c:tx>
            <c:strRef>
              <c:f>'F10.4'!$B$39</c:f>
              <c:strCache>
                <c:ptCount val="1"/>
                <c:pt idx="0">
                  <c:v>Self-Employed</c:v>
                </c:pt>
              </c:strCache>
            </c:strRef>
          </c:tx>
          <c:spPr>
            <a:solidFill>
              <a:schemeClr val="accent4">
                <a:lumMod val="60000"/>
                <a:lumOff val="40000"/>
              </a:schemeClr>
            </a:solidFill>
            <a:ln>
              <a:noFill/>
            </a:ln>
            <a:effectLst/>
          </c:spPr>
          <c:invertIfNegative val="0"/>
          <c:cat>
            <c:strRef>
              <c:f>'F10.4'!$B$37:$B$41</c:f>
              <c:strCache>
                <c:ptCount val="5"/>
                <c:pt idx="0">
                  <c:v>Employed Formal</c:v>
                </c:pt>
                <c:pt idx="1">
                  <c:v>Employed Informal</c:v>
                </c:pt>
                <c:pt idx="2">
                  <c:v>Self-Employed</c:v>
                </c:pt>
                <c:pt idx="3">
                  <c:v>Employer</c:v>
                </c:pt>
                <c:pt idx="4">
                  <c:v>Other</c:v>
                </c:pt>
              </c:strCache>
            </c:strRef>
          </c:cat>
          <c:val>
            <c:numRef>
              <c:f>'F10.4'!$C$39:$G$39</c:f>
              <c:numCache>
                <c:formatCode>General</c:formatCode>
                <c:ptCount val="5"/>
                <c:pt idx="0">
                  <c:v>0.63627</c:v>
                </c:pt>
                <c:pt idx="1">
                  <c:v>1.28721</c:v>
                </c:pt>
                <c:pt idx="2">
                  <c:v>97.347450000000009</c:v>
                </c:pt>
                <c:pt idx="3">
                  <c:v>0.27357000000000004</c:v>
                </c:pt>
                <c:pt idx="4">
                  <c:v>0.92048000000000008</c:v>
                </c:pt>
              </c:numCache>
            </c:numRef>
          </c:val>
          <c:extLst>
            <c:ext xmlns:c16="http://schemas.microsoft.com/office/drawing/2014/chart" uri="{C3380CC4-5D6E-409C-BE32-E72D297353CC}">
              <c16:uniqueId val="{00000002-29A5-4499-9499-6AF58C059DE7}"/>
            </c:ext>
          </c:extLst>
        </c:ser>
        <c:ser>
          <c:idx val="3"/>
          <c:order val="3"/>
          <c:tx>
            <c:strRef>
              <c:f>'F10.4'!$B$40</c:f>
              <c:strCache>
                <c:ptCount val="1"/>
                <c:pt idx="0">
                  <c:v>Employer</c:v>
                </c:pt>
              </c:strCache>
            </c:strRef>
          </c:tx>
          <c:spPr>
            <a:solidFill>
              <a:srgbClr val="92DAE2"/>
            </a:solidFill>
            <a:ln>
              <a:noFill/>
            </a:ln>
            <a:effectLst/>
          </c:spPr>
          <c:invertIfNegative val="0"/>
          <c:cat>
            <c:strRef>
              <c:f>'F10.4'!$B$37:$B$41</c:f>
              <c:strCache>
                <c:ptCount val="5"/>
                <c:pt idx="0">
                  <c:v>Employed Formal</c:v>
                </c:pt>
                <c:pt idx="1">
                  <c:v>Employed Informal</c:v>
                </c:pt>
                <c:pt idx="2">
                  <c:v>Self-Employed</c:v>
                </c:pt>
                <c:pt idx="3">
                  <c:v>Employer</c:v>
                </c:pt>
                <c:pt idx="4">
                  <c:v>Other</c:v>
                </c:pt>
              </c:strCache>
            </c:strRef>
          </c:cat>
          <c:val>
            <c:numRef>
              <c:f>'F10.4'!$C$40:$G$40</c:f>
              <c:numCache>
                <c:formatCode>General</c:formatCode>
                <c:ptCount val="5"/>
                <c:pt idx="0">
                  <c:v>7.6190000000000008E-2</c:v>
                </c:pt>
                <c:pt idx="1">
                  <c:v>3.0499999999999999E-2</c:v>
                </c:pt>
                <c:pt idx="2">
                  <c:v>7.5900000000000004E-3</c:v>
                </c:pt>
                <c:pt idx="3">
                  <c:v>95.265150000000006</c:v>
                </c:pt>
                <c:pt idx="4">
                  <c:v>0.31311</c:v>
                </c:pt>
              </c:numCache>
            </c:numRef>
          </c:val>
          <c:extLst>
            <c:ext xmlns:c16="http://schemas.microsoft.com/office/drawing/2014/chart" uri="{C3380CC4-5D6E-409C-BE32-E72D297353CC}">
              <c16:uniqueId val="{00000003-29A5-4499-9499-6AF58C059DE7}"/>
            </c:ext>
          </c:extLst>
        </c:ser>
        <c:ser>
          <c:idx val="4"/>
          <c:order val="4"/>
          <c:tx>
            <c:strRef>
              <c:f>'F10.4'!$B$41</c:f>
              <c:strCache>
                <c:ptCount val="1"/>
                <c:pt idx="0">
                  <c:v>Other</c:v>
                </c:pt>
              </c:strCache>
            </c:strRef>
          </c:tx>
          <c:spPr>
            <a:solidFill>
              <a:srgbClr val="9ED1F0"/>
            </a:solidFill>
            <a:ln>
              <a:noFill/>
            </a:ln>
            <a:effectLst/>
          </c:spPr>
          <c:invertIfNegative val="0"/>
          <c:cat>
            <c:strRef>
              <c:f>'F10.4'!$B$37:$B$41</c:f>
              <c:strCache>
                <c:ptCount val="5"/>
                <c:pt idx="0">
                  <c:v>Employed Formal</c:v>
                </c:pt>
                <c:pt idx="1">
                  <c:v>Employed Informal</c:v>
                </c:pt>
                <c:pt idx="2">
                  <c:v>Self-Employed</c:v>
                </c:pt>
                <c:pt idx="3">
                  <c:v>Employer</c:v>
                </c:pt>
                <c:pt idx="4">
                  <c:v>Other</c:v>
                </c:pt>
              </c:strCache>
            </c:strRef>
          </c:cat>
          <c:val>
            <c:numRef>
              <c:f>'F10.4'!$C$41:$G$41</c:f>
              <c:numCache>
                <c:formatCode>General</c:formatCode>
                <c:ptCount val="5"/>
                <c:pt idx="0">
                  <c:v>5.5813000000000006</c:v>
                </c:pt>
                <c:pt idx="1">
                  <c:v>10.50512</c:v>
                </c:pt>
                <c:pt idx="2">
                  <c:v>1.8328799999999998</c:v>
                </c:pt>
                <c:pt idx="3">
                  <c:v>3.6195300000000001</c:v>
                </c:pt>
                <c:pt idx="4">
                  <c:v>92.540779999999998</c:v>
                </c:pt>
              </c:numCache>
            </c:numRef>
          </c:val>
          <c:extLst>
            <c:ext xmlns:c16="http://schemas.microsoft.com/office/drawing/2014/chart" uri="{C3380CC4-5D6E-409C-BE32-E72D297353CC}">
              <c16:uniqueId val="{00000004-29A5-4499-9499-6AF58C059DE7}"/>
            </c:ext>
          </c:extLst>
        </c:ser>
        <c:dLbls>
          <c:showLegendKey val="0"/>
          <c:showVal val="0"/>
          <c:showCatName val="0"/>
          <c:showSerName val="0"/>
          <c:showPercent val="0"/>
          <c:showBubbleSize val="0"/>
        </c:dLbls>
        <c:gapWidth val="150"/>
        <c:overlap val="100"/>
        <c:axId val="269052544"/>
        <c:axId val="269058816"/>
      </c:barChart>
      <c:catAx>
        <c:axId val="269052544"/>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sz="1100" b="1" i="0" u="none" strike="noStrike" baseline="0">
                    <a:effectLst/>
                    <a:latin typeface="Times New Roman" panose="02020603050405020304" pitchFamily="18" charset="0"/>
                    <a:cs typeface="Times New Roman" panose="02020603050405020304" pitchFamily="18" charset="0"/>
                  </a:rPr>
                  <a:t>Employment</a:t>
                </a:r>
                <a:r>
                  <a:rPr lang="en-US" sz="1100" b="1">
                    <a:latin typeface="Times New Roman" panose="02020603050405020304" pitchFamily="18" charset="0"/>
                    <a:cs typeface="Times New Roman" panose="02020603050405020304" pitchFamily="18" charset="0"/>
                  </a:rPr>
                  <a:t> Status on Jan 2002</a:t>
                </a:r>
              </a:p>
            </c:rich>
          </c:tx>
          <c:layout>
            <c:manualLayout>
              <c:xMode val="edge"/>
              <c:yMode val="edge"/>
              <c:x val="0.32714698162729661"/>
              <c:y val="0.88194444444444442"/>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9058816"/>
        <c:crosses val="autoZero"/>
        <c:auto val="1"/>
        <c:lblAlgn val="ctr"/>
        <c:lblOffset val="100"/>
        <c:noMultiLvlLbl val="0"/>
      </c:catAx>
      <c:valAx>
        <c:axId val="269058816"/>
        <c:scaling>
          <c:orientation val="minMax"/>
          <c:max val="100"/>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Percentage</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9052544"/>
        <c:crosses val="autoZero"/>
        <c:crossBetween val="between"/>
        <c:majorUnit val="20"/>
      </c:valAx>
      <c:spPr>
        <a:solidFill>
          <a:schemeClr val="bg1">
            <a:lumMod val="95000"/>
          </a:schemeClr>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en-US" sz="1100" b="1">
                <a:solidFill>
                  <a:sysClr val="windowText" lastClr="000000"/>
                </a:solidFill>
              </a:rPr>
              <a:t>B. 7 years</a:t>
            </a:r>
            <a:r>
              <a:rPr lang="en-US" sz="1100" b="1" baseline="0">
                <a:solidFill>
                  <a:sysClr val="windowText" lastClr="000000"/>
                </a:solidFill>
              </a:rPr>
              <a:t> after 2002</a:t>
            </a:r>
            <a:endParaRPr lang="en-US" sz="1100" b="1">
              <a:solidFill>
                <a:sysClr val="windowText" lastClr="000000"/>
              </a:solidFill>
            </a:endParaRPr>
          </a:p>
        </c:rich>
      </c:tx>
      <c:overlay val="0"/>
      <c:spPr>
        <a:noFill/>
        <a:ln>
          <a:noFill/>
        </a:ln>
        <a:effectLst/>
      </c:spPr>
    </c:title>
    <c:autoTitleDeleted val="0"/>
    <c:plotArea>
      <c:layout/>
      <c:barChart>
        <c:barDir val="col"/>
        <c:grouping val="stacked"/>
        <c:varyColors val="0"/>
        <c:ser>
          <c:idx val="0"/>
          <c:order val="0"/>
          <c:tx>
            <c:strRef>
              <c:f>'F10.4'!$B$47</c:f>
              <c:strCache>
                <c:ptCount val="1"/>
                <c:pt idx="0">
                  <c:v>Employed-Formal</c:v>
                </c:pt>
              </c:strCache>
            </c:strRef>
          </c:tx>
          <c:spPr>
            <a:solidFill>
              <a:srgbClr val="918477"/>
            </a:solidFill>
            <a:ln>
              <a:noFill/>
            </a:ln>
            <a:effectLst/>
          </c:spPr>
          <c:invertIfNegative val="0"/>
          <c:cat>
            <c:strRef>
              <c:f>'F10.4'!$B$37:$B$41</c:f>
              <c:strCache>
                <c:ptCount val="5"/>
                <c:pt idx="0">
                  <c:v>Employed Formal</c:v>
                </c:pt>
                <c:pt idx="1">
                  <c:v>Employed Informal</c:v>
                </c:pt>
                <c:pt idx="2">
                  <c:v>Self-Employed</c:v>
                </c:pt>
                <c:pt idx="3">
                  <c:v>Employer</c:v>
                </c:pt>
                <c:pt idx="4">
                  <c:v>Other</c:v>
                </c:pt>
              </c:strCache>
            </c:strRef>
          </c:cat>
          <c:val>
            <c:numRef>
              <c:f>'F10.4'!$C$47:$G$47</c:f>
              <c:numCache>
                <c:formatCode>General</c:formatCode>
                <c:ptCount val="5"/>
                <c:pt idx="0">
                  <c:v>76.166979999999995</c:v>
                </c:pt>
                <c:pt idx="1">
                  <c:v>20.693639999999998</c:v>
                </c:pt>
                <c:pt idx="2">
                  <c:v>7.9598100000000009</c:v>
                </c:pt>
                <c:pt idx="3">
                  <c:v>23.13625</c:v>
                </c:pt>
                <c:pt idx="4">
                  <c:v>7.6415999999999995</c:v>
                </c:pt>
              </c:numCache>
            </c:numRef>
          </c:val>
          <c:extLst>
            <c:ext xmlns:c16="http://schemas.microsoft.com/office/drawing/2014/chart" uri="{C3380CC4-5D6E-409C-BE32-E72D297353CC}">
              <c16:uniqueId val="{00000000-A06B-49F2-8F6D-EDA4823A5680}"/>
            </c:ext>
          </c:extLst>
        </c:ser>
        <c:ser>
          <c:idx val="1"/>
          <c:order val="1"/>
          <c:tx>
            <c:strRef>
              <c:f>'F10.4'!$B$48</c:f>
              <c:strCache>
                <c:ptCount val="1"/>
                <c:pt idx="0">
                  <c:v>Employed-Informal</c:v>
                </c:pt>
              </c:strCache>
            </c:strRef>
          </c:tx>
          <c:spPr>
            <a:solidFill>
              <a:schemeClr val="accent2">
                <a:lumMod val="60000"/>
                <a:lumOff val="40000"/>
              </a:schemeClr>
            </a:solidFill>
            <a:ln>
              <a:noFill/>
            </a:ln>
            <a:effectLst/>
          </c:spPr>
          <c:invertIfNegative val="0"/>
          <c:cat>
            <c:strRef>
              <c:f>'F10.4'!$B$37:$B$41</c:f>
              <c:strCache>
                <c:ptCount val="5"/>
                <c:pt idx="0">
                  <c:v>Employed Formal</c:v>
                </c:pt>
                <c:pt idx="1">
                  <c:v>Employed Informal</c:v>
                </c:pt>
                <c:pt idx="2">
                  <c:v>Self-Employed</c:v>
                </c:pt>
                <c:pt idx="3">
                  <c:v>Employer</c:v>
                </c:pt>
                <c:pt idx="4">
                  <c:v>Other</c:v>
                </c:pt>
              </c:strCache>
            </c:strRef>
          </c:cat>
          <c:val>
            <c:numRef>
              <c:f>'F10.4'!$C$48:$G$48</c:f>
              <c:numCache>
                <c:formatCode>General</c:formatCode>
                <c:ptCount val="5"/>
                <c:pt idx="0">
                  <c:v>2.77705</c:v>
                </c:pt>
                <c:pt idx="1">
                  <c:v>37.420209999999997</c:v>
                </c:pt>
                <c:pt idx="2">
                  <c:v>5.32212</c:v>
                </c:pt>
                <c:pt idx="3">
                  <c:v>2.9420199999999999</c:v>
                </c:pt>
                <c:pt idx="4">
                  <c:v>2.9771800000000002</c:v>
                </c:pt>
              </c:numCache>
            </c:numRef>
          </c:val>
          <c:extLst>
            <c:ext xmlns:c16="http://schemas.microsoft.com/office/drawing/2014/chart" uri="{C3380CC4-5D6E-409C-BE32-E72D297353CC}">
              <c16:uniqueId val="{00000001-A06B-49F2-8F6D-EDA4823A5680}"/>
            </c:ext>
          </c:extLst>
        </c:ser>
        <c:ser>
          <c:idx val="2"/>
          <c:order val="2"/>
          <c:tx>
            <c:strRef>
              <c:f>'F10.4'!$B$49</c:f>
              <c:strCache>
                <c:ptCount val="1"/>
                <c:pt idx="0">
                  <c:v>Self-Employed</c:v>
                </c:pt>
              </c:strCache>
            </c:strRef>
          </c:tx>
          <c:spPr>
            <a:solidFill>
              <a:schemeClr val="accent4">
                <a:lumMod val="60000"/>
                <a:lumOff val="40000"/>
              </a:schemeClr>
            </a:solidFill>
            <a:ln>
              <a:noFill/>
            </a:ln>
            <a:effectLst/>
          </c:spPr>
          <c:invertIfNegative val="0"/>
          <c:cat>
            <c:strRef>
              <c:f>'F10.4'!$B$37:$B$41</c:f>
              <c:strCache>
                <c:ptCount val="5"/>
                <c:pt idx="0">
                  <c:v>Employed Formal</c:v>
                </c:pt>
                <c:pt idx="1">
                  <c:v>Employed Informal</c:v>
                </c:pt>
                <c:pt idx="2">
                  <c:v>Self-Employed</c:v>
                </c:pt>
                <c:pt idx="3">
                  <c:v>Employer</c:v>
                </c:pt>
                <c:pt idx="4">
                  <c:v>Other</c:v>
                </c:pt>
              </c:strCache>
            </c:strRef>
          </c:cat>
          <c:val>
            <c:numRef>
              <c:f>'F10.4'!$C$49:$G$49</c:f>
              <c:numCache>
                <c:formatCode>General</c:formatCode>
                <c:ptCount val="5"/>
                <c:pt idx="0">
                  <c:v>3.0101599999999999</c:v>
                </c:pt>
                <c:pt idx="1">
                  <c:v>7.7968800000000007</c:v>
                </c:pt>
                <c:pt idx="2">
                  <c:v>59.822690000000001</c:v>
                </c:pt>
                <c:pt idx="3">
                  <c:v>18.861280000000001</c:v>
                </c:pt>
                <c:pt idx="4">
                  <c:v>3.31196</c:v>
                </c:pt>
              </c:numCache>
            </c:numRef>
          </c:val>
          <c:extLst>
            <c:ext xmlns:c16="http://schemas.microsoft.com/office/drawing/2014/chart" uri="{C3380CC4-5D6E-409C-BE32-E72D297353CC}">
              <c16:uniqueId val="{00000002-A06B-49F2-8F6D-EDA4823A5680}"/>
            </c:ext>
          </c:extLst>
        </c:ser>
        <c:ser>
          <c:idx val="3"/>
          <c:order val="3"/>
          <c:tx>
            <c:strRef>
              <c:f>'F10.4'!$B$50</c:f>
              <c:strCache>
                <c:ptCount val="1"/>
                <c:pt idx="0">
                  <c:v>Employer</c:v>
                </c:pt>
              </c:strCache>
            </c:strRef>
          </c:tx>
          <c:spPr>
            <a:solidFill>
              <a:srgbClr val="92DAE2"/>
            </a:solidFill>
            <a:ln>
              <a:noFill/>
            </a:ln>
            <a:effectLst/>
          </c:spPr>
          <c:invertIfNegative val="0"/>
          <c:cat>
            <c:strRef>
              <c:f>'F10.4'!$B$37:$B$41</c:f>
              <c:strCache>
                <c:ptCount val="5"/>
                <c:pt idx="0">
                  <c:v>Employed Formal</c:v>
                </c:pt>
                <c:pt idx="1">
                  <c:v>Employed Informal</c:v>
                </c:pt>
                <c:pt idx="2">
                  <c:v>Self-Employed</c:v>
                </c:pt>
                <c:pt idx="3">
                  <c:v>Employer</c:v>
                </c:pt>
                <c:pt idx="4">
                  <c:v>Other</c:v>
                </c:pt>
              </c:strCache>
            </c:strRef>
          </c:cat>
          <c:val>
            <c:numRef>
              <c:f>'F10.4'!$C$50:$G$50</c:f>
              <c:numCache>
                <c:formatCode>General</c:formatCode>
                <c:ptCount val="5"/>
                <c:pt idx="0">
                  <c:v>2.7174100000000001</c:v>
                </c:pt>
                <c:pt idx="1">
                  <c:v>2.6229200000000001</c:v>
                </c:pt>
                <c:pt idx="2">
                  <c:v>5.8975600000000004</c:v>
                </c:pt>
                <c:pt idx="3">
                  <c:v>38.988859999999995</c:v>
                </c:pt>
                <c:pt idx="4">
                  <c:v>0.68747000000000003</c:v>
                </c:pt>
              </c:numCache>
            </c:numRef>
          </c:val>
          <c:extLst>
            <c:ext xmlns:c16="http://schemas.microsoft.com/office/drawing/2014/chart" uri="{C3380CC4-5D6E-409C-BE32-E72D297353CC}">
              <c16:uniqueId val="{00000003-A06B-49F2-8F6D-EDA4823A5680}"/>
            </c:ext>
          </c:extLst>
        </c:ser>
        <c:ser>
          <c:idx val="4"/>
          <c:order val="4"/>
          <c:tx>
            <c:strRef>
              <c:f>'F10.4'!$B$51</c:f>
              <c:strCache>
                <c:ptCount val="1"/>
                <c:pt idx="0">
                  <c:v>Other</c:v>
                </c:pt>
              </c:strCache>
            </c:strRef>
          </c:tx>
          <c:spPr>
            <a:solidFill>
              <a:srgbClr val="9ED1F0"/>
            </a:solidFill>
            <a:ln>
              <a:noFill/>
            </a:ln>
            <a:effectLst/>
          </c:spPr>
          <c:invertIfNegative val="0"/>
          <c:cat>
            <c:strRef>
              <c:f>'F10.4'!$B$37:$B$41</c:f>
              <c:strCache>
                <c:ptCount val="5"/>
                <c:pt idx="0">
                  <c:v>Employed Formal</c:v>
                </c:pt>
                <c:pt idx="1">
                  <c:v>Employed Informal</c:v>
                </c:pt>
                <c:pt idx="2">
                  <c:v>Self-Employed</c:v>
                </c:pt>
                <c:pt idx="3">
                  <c:v>Employer</c:v>
                </c:pt>
                <c:pt idx="4">
                  <c:v>Other</c:v>
                </c:pt>
              </c:strCache>
            </c:strRef>
          </c:cat>
          <c:val>
            <c:numRef>
              <c:f>'F10.4'!$C$51:$G$51</c:f>
              <c:numCache>
                <c:formatCode>General</c:formatCode>
                <c:ptCount val="5"/>
                <c:pt idx="0">
                  <c:v>15.3284</c:v>
                </c:pt>
                <c:pt idx="1">
                  <c:v>31.466349999999998</c:v>
                </c:pt>
                <c:pt idx="2">
                  <c:v>20.997820000000001</c:v>
                </c:pt>
                <c:pt idx="3">
                  <c:v>16.0716</c:v>
                </c:pt>
                <c:pt idx="4">
                  <c:v>85.385040000000004</c:v>
                </c:pt>
              </c:numCache>
            </c:numRef>
          </c:val>
          <c:extLst>
            <c:ext xmlns:c16="http://schemas.microsoft.com/office/drawing/2014/chart" uri="{C3380CC4-5D6E-409C-BE32-E72D297353CC}">
              <c16:uniqueId val="{00000004-A06B-49F2-8F6D-EDA4823A5680}"/>
            </c:ext>
          </c:extLst>
        </c:ser>
        <c:dLbls>
          <c:showLegendKey val="0"/>
          <c:showVal val="0"/>
          <c:showCatName val="0"/>
          <c:showSerName val="0"/>
          <c:showPercent val="0"/>
          <c:showBubbleSize val="0"/>
        </c:dLbls>
        <c:gapWidth val="150"/>
        <c:overlap val="100"/>
        <c:axId val="269113216"/>
        <c:axId val="269115392"/>
      </c:barChart>
      <c:catAx>
        <c:axId val="269113216"/>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sz="1100" b="1" i="0" u="none" strike="noStrike" baseline="0">
                    <a:effectLst/>
                    <a:latin typeface="Times New Roman" panose="02020603050405020304" pitchFamily="18" charset="0"/>
                    <a:cs typeface="Times New Roman" panose="02020603050405020304" pitchFamily="18" charset="0"/>
                  </a:rPr>
                  <a:t>Employment</a:t>
                </a:r>
                <a:r>
                  <a:rPr lang="en-US" sz="1100" b="1">
                    <a:latin typeface="Times New Roman" panose="02020603050405020304" pitchFamily="18" charset="0"/>
                    <a:cs typeface="Times New Roman" panose="02020603050405020304" pitchFamily="18" charset="0"/>
                  </a:rPr>
                  <a:t> Status on Jan 2002</a:t>
                </a:r>
              </a:p>
            </c:rich>
          </c:tx>
          <c:layout>
            <c:manualLayout>
              <c:xMode val="edge"/>
              <c:yMode val="edge"/>
              <c:x val="0.32714698162729661"/>
              <c:y val="0.88194444444444442"/>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9115392"/>
        <c:crosses val="autoZero"/>
        <c:auto val="1"/>
        <c:lblAlgn val="ctr"/>
        <c:lblOffset val="100"/>
        <c:noMultiLvlLbl val="0"/>
      </c:catAx>
      <c:valAx>
        <c:axId val="269115392"/>
        <c:scaling>
          <c:orientation val="minMax"/>
          <c:max val="100"/>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9113216"/>
        <c:crosses val="autoZero"/>
        <c:crossBetween val="between"/>
        <c:majorUnit val="20"/>
      </c:valAx>
      <c:spPr>
        <a:solidFill>
          <a:schemeClr val="bg1">
            <a:lumMod val="95000"/>
          </a:schemeClr>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1">
                <a:solidFill>
                  <a:sysClr val="windowText" lastClr="000000"/>
                </a:solidFill>
                <a:latin typeface="Times New Roman" panose="02020603050405020304" pitchFamily="18" charset="0"/>
                <a:cs typeface="Times New Roman" panose="02020603050405020304" pitchFamily="18" charset="0"/>
              </a:rPr>
              <a:t>Earnings Index</a:t>
            </a:r>
          </a:p>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1">
                <a:solidFill>
                  <a:sysClr val="windowText" lastClr="000000"/>
                </a:solidFill>
                <a:latin typeface="Times New Roman" panose="02020603050405020304" pitchFamily="18" charset="0"/>
                <a:cs typeface="Times New Roman" panose="02020603050405020304" pitchFamily="18" charset="0"/>
              </a:rPr>
              <a:t>Average Earnings in 2006 20-24 Years Old</a:t>
            </a:r>
            <a:r>
              <a:rPr lang="en-US" sz="1200" b="1" baseline="0">
                <a:solidFill>
                  <a:sysClr val="windowText" lastClr="000000"/>
                </a:solidFill>
                <a:latin typeface="Times New Roman" panose="02020603050405020304" pitchFamily="18" charset="0"/>
                <a:cs typeface="Times New Roman" panose="02020603050405020304" pitchFamily="18" charset="0"/>
              </a:rPr>
              <a:t> Formal Men w/Secondary School or More=100</a:t>
            </a:r>
            <a:endParaRPr lang="en-US" sz="1200" b="1">
              <a:solidFill>
                <a:sysClr val="windowText" lastClr="000000"/>
              </a:solidFill>
              <a:latin typeface="Times New Roman" panose="02020603050405020304" pitchFamily="18" charset="0"/>
              <a:cs typeface="Times New Roman" panose="02020603050405020304" pitchFamily="18" charset="0"/>
            </a:endParaRPr>
          </a:p>
        </c:rich>
      </c:tx>
      <c:overlay val="0"/>
      <c:spPr>
        <a:noFill/>
        <a:ln>
          <a:noFill/>
        </a:ln>
        <a:effectLst/>
      </c:spPr>
    </c:title>
    <c:autoTitleDeleted val="0"/>
    <c:plotArea>
      <c:layout>
        <c:manualLayout>
          <c:layoutTarget val="inner"/>
          <c:xMode val="edge"/>
          <c:yMode val="edge"/>
          <c:x val="0.42157283577078031"/>
          <c:y val="0.51177494950851754"/>
          <c:w val="0.11127096191220727"/>
          <c:h val="1.5446906356520606E-2"/>
        </c:manualLayout>
      </c:layout>
      <c:lineChart>
        <c:grouping val="standard"/>
        <c:varyColors val="0"/>
        <c:ser>
          <c:idx val="0"/>
          <c:order val="0"/>
          <c:tx>
            <c:strRef>
              <c:f>'F10.5'!$F$45</c:f>
              <c:strCache>
                <c:ptCount val="1"/>
                <c:pt idx="0">
                  <c:v>Employed-Formal</c:v>
                </c:pt>
              </c:strCache>
            </c:strRef>
          </c:tx>
          <c:spPr>
            <a:ln w="19050" cap="rnd">
              <a:solidFill>
                <a:schemeClr val="tx1"/>
              </a:solidFill>
              <a:round/>
            </a:ln>
            <a:effectLst/>
          </c:spPr>
          <c:marker>
            <c:symbol val="none"/>
          </c:marker>
          <c:cat>
            <c:numRef>
              <c:f>'F10.5'!$E$46:$E$116</c:f>
              <c:numCache>
                <c:formatCode>_(* #,##0_);_(* \(#,##0\);_(* "-"??_);_(@_)</c:formatCode>
                <c:ptCount val="71"/>
                <c:pt idx="0">
                  <c:v>20</c:v>
                </c:pt>
                <c:pt idx="1">
                  <c:v>20.5</c:v>
                </c:pt>
                <c:pt idx="2">
                  <c:v>21</c:v>
                </c:pt>
                <c:pt idx="3">
                  <c:v>21.5</c:v>
                </c:pt>
                <c:pt idx="4">
                  <c:v>22</c:v>
                </c:pt>
                <c:pt idx="5">
                  <c:v>22.5</c:v>
                </c:pt>
                <c:pt idx="6">
                  <c:v>23</c:v>
                </c:pt>
                <c:pt idx="7">
                  <c:v>23.5</c:v>
                </c:pt>
                <c:pt idx="8">
                  <c:v>24</c:v>
                </c:pt>
                <c:pt idx="9">
                  <c:v>24.5</c:v>
                </c:pt>
                <c:pt idx="10">
                  <c:v>25</c:v>
                </c:pt>
                <c:pt idx="11">
                  <c:v>25.5</c:v>
                </c:pt>
                <c:pt idx="12">
                  <c:v>26</c:v>
                </c:pt>
                <c:pt idx="13">
                  <c:v>26.5</c:v>
                </c:pt>
                <c:pt idx="14">
                  <c:v>27</c:v>
                </c:pt>
                <c:pt idx="15">
                  <c:v>27.5</c:v>
                </c:pt>
                <c:pt idx="16">
                  <c:v>28</c:v>
                </c:pt>
                <c:pt idx="17">
                  <c:v>28.5</c:v>
                </c:pt>
                <c:pt idx="18">
                  <c:v>29</c:v>
                </c:pt>
                <c:pt idx="19">
                  <c:v>29.5</c:v>
                </c:pt>
                <c:pt idx="20">
                  <c:v>30</c:v>
                </c:pt>
                <c:pt idx="21">
                  <c:v>30.5</c:v>
                </c:pt>
                <c:pt idx="22">
                  <c:v>31</c:v>
                </c:pt>
                <c:pt idx="23">
                  <c:v>31.5</c:v>
                </c:pt>
                <c:pt idx="24">
                  <c:v>32</c:v>
                </c:pt>
                <c:pt idx="25">
                  <c:v>32.5</c:v>
                </c:pt>
                <c:pt idx="26">
                  <c:v>33</c:v>
                </c:pt>
                <c:pt idx="27">
                  <c:v>33.5</c:v>
                </c:pt>
                <c:pt idx="28">
                  <c:v>34</c:v>
                </c:pt>
                <c:pt idx="29">
                  <c:v>34.5</c:v>
                </c:pt>
                <c:pt idx="30">
                  <c:v>35</c:v>
                </c:pt>
                <c:pt idx="31">
                  <c:v>35.5</c:v>
                </c:pt>
                <c:pt idx="32">
                  <c:v>36</c:v>
                </c:pt>
                <c:pt idx="33">
                  <c:v>36.5</c:v>
                </c:pt>
                <c:pt idx="34">
                  <c:v>37</c:v>
                </c:pt>
                <c:pt idx="35">
                  <c:v>37.5</c:v>
                </c:pt>
                <c:pt idx="36">
                  <c:v>38</c:v>
                </c:pt>
                <c:pt idx="37">
                  <c:v>38.5</c:v>
                </c:pt>
                <c:pt idx="38">
                  <c:v>39</c:v>
                </c:pt>
                <c:pt idx="39">
                  <c:v>39.5</c:v>
                </c:pt>
                <c:pt idx="40">
                  <c:v>40</c:v>
                </c:pt>
                <c:pt idx="41">
                  <c:v>40.5</c:v>
                </c:pt>
                <c:pt idx="42">
                  <c:v>41</c:v>
                </c:pt>
                <c:pt idx="43">
                  <c:v>41.5</c:v>
                </c:pt>
                <c:pt idx="44">
                  <c:v>42</c:v>
                </c:pt>
                <c:pt idx="45">
                  <c:v>42.5</c:v>
                </c:pt>
                <c:pt idx="46">
                  <c:v>43</c:v>
                </c:pt>
                <c:pt idx="47">
                  <c:v>43.5</c:v>
                </c:pt>
                <c:pt idx="48">
                  <c:v>44</c:v>
                </c:pt>
                <c:pt idx="49">
                  <c:v>44.5</c:v>
                </c:pt>
                <c:pt idx="50">
                  <c:v>45</c:v>
                </c:pt>
                <c:pt idx="51">
                  <c:v>45.5</c:v>
                </c:pt>
                <c:pt idx="52">
                  <c:v>46</c:v>
                </c:pt>
                <c:pt idx="53">
                  <c:v>46.5</c:v>
                </c:pt>
                <c:pt idx="54">
                  <c:v>47</c:v>
                </c:pt>
                <c:pt idx="55">
                  <c:v>47.5</c:v>
                </c:pt>
                <c:pt idx="56">
                  <c:v>48</c:v>
                </c:pt>
                <c:pt idx="57">
                  <c:v>48.5</c:v>
                </c:pt>
                <c:pt idx="58">
                  <c:v>49</c:v>
                </c:pt>
                <c:pt idx="59">
                  <c:v>49.5</c:v>
                </c:pt>
                <c:pt idx="60">
                  <c:v>50</c:v>
                </c:pt>
                <c:pt idx="61">
                  <c:v>50.5</c:v>
                </c:pt>
                <c:pt idx="62">
                  <c:v>51</c:v>
                </c:pt>
                <c:pt idx="63">
                  <c:v>51.5</c:v>
                </c:pt>
                <c:pt idx="64">
                  <c:v>52</c:v>
                </c:pt>
                <c:pt idx="65">
                  <c:v>52.5</c:v>
                </c:pt>
                <c:pt idx="66">
                  <c:v>53</c:v>
                </c:pt>
                <c:pt idx="67">
                  <c:v>53.5</c:v>
                </c:pt>
                <c:pt idx="68">
                  <c:v>54</c:v>
                </c:pt>
                <c:pt idx="69">
                  <c:v>54.5</c:v>
                </c:pt>
                <c:pt idx="70">
                  <c:v>55</c:v>
                </c:pt>
              </c:numCache>
            </c:numRef>
          </c:cat>
          <c:val>
            <c:numRef>
              <c:f>'F10.5'!$F$46:$F$116</c:f>
              <c:numCache>
                <c:formatCode>General</c:formatCode>
                <c:ptCount val="7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numCache>
            </c:numRef>
          </c:val>
          <c:smooth val="0"/>
          <c:extLst>
            <c:ext xmlns:c16="http://schemas.microsoft.com/office/drawing/2014/chart" uri="{C3380CC4-5D6E-409C-BE32-E72D297353CC}">
              <c16:uniqueId val="{00000000-7C5E-40F4-9F61-F39D3273F4FE}"/>
            </c:ext>
          </c:extLst>
        </c:ser>
        <c:ser>
          <c:idx val="1"/>
          <c:order val="1"/>
          <c:tx>
            <c:strRef>
              <c:f>'F10.5'!$G$45</c:f>
              <c:strCache>
                <c:ptCount val="1"/>
                <c:pt idx="0">
                  <c:v>Employed-Informal</c:v>
                </c:pt>
              </c:strCache>
            </c:strRef>
          </c:tx>
          <c:spPr>
            <a:ln w="28575" cap="rnd">
              <a:solidFill>
                <a:srgbClr val="EDADCA"/>
              </a:solidFill>
              <a:prstDash val="sysDash"/>
              <a:round/>
            </a:ln>
            <a:effectLst/>
          </c:spPr>
          <c:marker>
            <c:symbol val="none"/>
          </c:marker>
          <c:cat>
            <c:numRef>
              <c:f>'F10.5'!$E$46:$E$116</c:f>
              <c:numCache>
                <c:formatCode>_(* #,##0_);_(* \(#,##0\);_(* "-"??_);_(@_)</c:formatCode>
                <c:ptCount val="71"/>
                <c:pt idx="0">
                  <c:v>20</c:v>
                </c:pt>
                <c:pt idx="1">
                  <c:v>20.5</c:v>
                </c:pt>
                <c:pt idx="2">
                  <c:v>21</c:v>
                </c:pt>
                <c:pt idx="3">
                  <c:v>21.5</c:v>
                </c:pt>
                <c:pt idx="4">
                  <c:v>22</c:v>
                </c:pt>
                <c:pt idx="5">
                  <c:v>22.5</c:v>
                </c:pt>
                <c:pt idx="6">
                  <c:v>23</c:v>
                </c:pt>
                <c:pt idx="7">
                  <c:v>23.5</c:v>
                </c:pt>
                <c:pt idx="8">
                  <c:v>24</c:v>
                </c:pt>
                <c:pt idx="9">
                  <c:v>24.5</c:v>
                </c:pt>
                <c:pt idx="10">
                  <c:v>25</c:v>
                </c:pt>
                <c:pt idx="11">
                  <c:v>25.5</c:v>
                </c:pt>
                <c:pt idx="12">
                  <c:v>26</c:v>
                </c:pt>
                <c:pt idx="13">
                  <c:v>26.5</c:v>
                </c:pt>
                <c:pt idx="14">
                  <c:v>27</c:v>
                </c:pt>
                <c:pt idx="15">
                  <c:v>27.5</c:v>
                </c:pt>
                <c:pt idx="16">
                  <c:v>28</c:v>
                </c:pt>
                <c:pt idx="17">
                  <c:v>28.5</c:v>
                </c:pt>
                <c:pt idx="18">
                  <c:v>29</c:v>
                </c:pt>
                <c:pt idx="19">
                  <c:v>29.5</c:v>
                </c:pt>
                <c:pt idx="20">
                  <c:v>30</c:v>
                </c:pt>
                <c:pt idx="21">
                  <c:v>30.5</c:v>
                </c:pt>
                <c:pt idx="22">
                  <c:v>31</c:v>
                </c:pt>
                <c:pt idx="23">
                  <c:v>31.5</c:v>
                </c:pt>
                <c:pt idx="24">
                  <c:v>32</c:v>
                </c:pt>
                <c:pt idx="25">
                  <c:v>32.5</c:v>
                </c:pt>
                <c:pt idx="26">
                  <c:v>33</c:v>
                </c:pt>
                <c:pt idx="27">
                  <c:v>33.5</c:v>
                </c:pt>
                <c:pt idx="28">
                  <c:v>34</c:v>
                </c:pt>
                <c:pt idx="29">
                  <c:v>34.5</c:v>
                </c:pt>
                <c:pt idx="30">
                  <c:v>35</c:v>
                </c:pt>
                <c:pt idx="31">
                  <c:v>35.5</c:v>
                </c:pt>
                <c:pt idx="32">
                  <c:v>36</c:v>
                </c:pt>
                <c:pt idx="33">
                  <c:v>36.5</c:v>
                </c:pt>
                <c:pt idx="34">
                  <c:v>37</c:v>
                </c:pt>
                <c:pt idx="35">
                  <c:v>37.5</c:v>
                </c:pt>
                <c:pt idx="36">
                  <c:v>38</c:v>
                </c:pt>
                <c:pt idx="37">
                  <c:v>38.5</c:v>
                </c:pt>
                <c:pt idx="38">
                  <c:v>39</c:v>
                </c:pt>
                <c:pt idx="39">
                  <c:v>39.5</c:v>
                </c:pt>
                <c:pt idx="40">
                  <c:v>40</c:v>
                </c:pt>
                <c:pt idx="41">
                  <c:v>40.5</c:v>
                </c:pt>
                <c:pt idx="42">
                  <c:v>41</c:v>
                </c:pt>
                <c:pt idx="43">
                  <c:v>41.5</c:v>
                </c:pt>
                <c:pt idx="44">
                  <c:v>42</c:v>
                </c:pt>
                <c:pt idx="45">
                  <c:v>42.5</c:v>
                </c:pt>
                <c:pt idx="46">
                  <c:v>43</c:v>
                </c:pt>
                <c:pt idx="47">
                  <c:v>43.5</c:v>
                </c:pt>
                <c:pt idx="48">
                  <c:v>44</c:v>
                </c:pt>
                <c:pt idx="49">
                  <c:v>44.5</c:v>
                </c:pt>
                <c:pt idx="50">
                  <c:v>45</c:v>
                </c:pt>
                <c:pt idx="51">
                  <c:v>45.5</c:v>
                </c:pt>
                <c:pt idx="52">
                  <c:v>46</c:v>
                </c:pt>
                <c:pt idx="53">
                  <c:v>46.5</c:v>
                </c:pt>
                <c:pt idx="54">
                  <c:v>47</c:v>
                </c:pt>
                <c:pt idx="55">
                  <c:v>47.5</c:v>
                </c:pt>
                <c:pt idx="56">
                  <c:v>48</c:v>
                </c:pt>
                <c:pt idx="57">
                  <c:v>48.5</c:v>
                </c:pt>
                <c:pt idx="58">
                  <c:v>49</c:v>
                </c:pt>
                <c:pt idx="59">
                  <c:v>49.5</c:v>
                </c:pt>
                <c:pt idx="60">
                  <c:v>50</c:v>
                </c:pt>
                <c:pt idx="61">
                  <c:v>50.5</c:v>
                </c:pt>
                <c:pt idx="62">
                  <c:v>51</c:v>
                </c:pt>
                <c:pt idx="63">
                  <c:v>51.5</c:v>
                </c:pt>
                <c:pt idx="64">
                  <c:v>52</c:v>
                </c:pt>
                <c:pt idx="65">
                  <c:v>52.5</c:v>
                </c:pt>
                <c:pt idx="66">
                  <c:v>53</c:v>
                </c:pt>
                <c:pt idx="67">
                  <c:v>53.5</c:v>
                </c:pt>
                <c:pt idx="68">
                  <c:v>54</c:v>
                </c:pt>
                <c:pt idx="69">
                  <c:v>54.5</c:v>
                </c:pt>
                <c:pt idx="70">
                  <c:v>55</c:v>
                </c:pt>
              </c:numCache>
            </c:numRef>
          </c:cat>
          <c:val>
            <c:numRef>
              <c:f>'F10.5'!$G$46:$G$116</c:f>
              <c:numCache>
                <c:formatCode>General</c:formatCode>
                <c:ptCount val="7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numCache>
            </c:numRef>
          </c:val>
          <c:smooth val="0"/>
          <c:extLst>
            <c:ext xmlns:c16="http://schemas.microsoft.com/office/drawing/2014/chart" uri="{C3380CC4-5D6E-409C-BE32-E72D297353CC}">
              <c16:uniqueId val="{00000001-7C5E-40F4-9F61-F39D3273F4FE}"/>
            </c:ext>
          </c:extLst>
        </c:ser>
        <c:ser>
          <c:idx val="2"/>
          <c:order val="2"/>
          <c:tx>
            <c:strRef>
              <c:f>'F10.5'!$H$45</c:f>
              <c:strCache>
                <c:ptCount val="1"/>
                <c:pt idx="0">
                  <c:v>Self-employed</c:v>
                </c:pt>
              </c:strCache>
            </c:strRef>
          </c:tx>
          <c:spPr>
            <a:ln w="19050" cap="rnd">
              <a:solidFill>
                <a:schemeClr val="accent4">
                  <a:lumMod val="75000"/>
                </a:schemeClr>
              </a:solidFill>
              <a:prstDash val="lgDash"/>
              <a:round/>
            </a:ln>
            <a:effectLst/>
          </c:spPr>
          <c:marker>
            <c:symbol val="none"/>
          </c:marker>
          <c:cat>
            <c:numRef>
              <c:f>'F10.5'!$E$46:$E$116</c:f>
              <c:numCache>
                <c:formatCode>_(* #,##0_);_(* \(#,##0\);_(* "-"??_);_(@_)</c:formatCode>
                <c:ptCount val="71"/>
                <c:pt idx="0">
                  <c:v>20</c:v>
                </c:pt>
                <c:pt idx="1">
                  <c:v>20.5</c:v>
                </c:pt>
                <c:pt idx="2">
                  <c:v>21</c:v>
                </c:pt>
                <c:pt idx="3">
                  <c:v>21.5</c:v>
                </c:pt>
                <c:pt idx="4">
                  <c:v>22</c:v>
                </c:pt>
                <c:pt idx="5">
                  <c:v>22.5</c:v>
                </c:pt>
                <c:pt idx="6">
                  <c:v>23</c:v>
                </c:pt>
                <c:pt idx="7">
                  <c:v>23.5</c:v>
                </c:pt>
                <c:pt idx="8">
                  <c:v>24</c:v>
                </c:pt>
                <c:pt idx="9">
                  <c:v>24.5</c:v>
                </c:pt>
                <c:pt idx="10">
                  <c:v>25</c:v>
                </c:pt>
                <c:pt idx="11">
                  <c:v>25.5</c:v>
                </c:pt>
                <c:pt idx="12">
                  <c:v>26</c:v>
                </c:pt>
                <c:pt idx="13">
                  <c:v>26.5</c:v>
                </c:pt>
                <c:pt idx="14">
                  <c:v>27</c:v>
                </c:pt>
                <c:pt idx="15">
                  <c:v>27.5</c:v>
                </c:pt>
                <c:pt idx="16">
                  <c:v>28</c:v>
                </c:pt>
                <c:pt idx="17">
                  <c:v>28.5</c:v>
                </c:pt>
                <c:pt idx="18">
                  <c:v>29</c:v>
                </c:pt>
                <c:pt idx="19">
                  <c:v>29.5</c:v>
                </c:pt>
                <c:pt idx="20">
                  <c:v>30</c:v>
                </c:pt>
                <c:pt idx="21">
                  <c:v>30.5</c:v>
                </c:pt>
                <c:pt idx="22">
                  <c:v>31</c:v>
                </c:pt>
                <c:pt idx="23">
                  <c:v>31.5</c:v>
                </c:pt>
                <c:pt idx="24">
                  <c:v>32</c:v>
                </c:pt>
                <c:pt idx="25">
                  <c:v>32.5</c:v>
                </c:pt>
                <c:pt idx="26">
                  <c:v>33</c:v>
                </c:pt>
                <c:pt idx="27">
                  <c:v>33.5</c:v>
                </c:pt>
                <c:pt idx="28">
                  <c:v>34</c:v>
                </c:pt>
                <c:pt idx="29">
                  <c:v>34.5</c:v>
                </c:pt>
                <c:pt idx="30">
                  <c:v>35</c:v>
                </c:pt>
                <c:pt idx="31">
                  <c:v>35.5</c:v>
                </c:pt>
                <c:pt idx="32">
                  <c:v>36</c:v>
                </c:pt>
                <c:pt idx="33">
                  <c:v>36.5</c:v>
                </c:pt>
                <c:pt idx="34">
                  <c:v>37</c:v>
                </c:pt>
                <c:pt idx="35">
                  <c:v>37.5</c:v>
                </c:pt>
                <c:pt idx="36">
                  <c:v>38</c:v>
                </c:pt>
                <c:pt idx="37">
                  <c:v>38.5</c:v>
                </c:pt>
                <c:pt idx="38">
                  <c:v>39</c:v>
                </c:pt>
                <c:pt idx="39">
                  <c:v>39.5</c:v>
                </c:pt>
                <c:pt idx="40">
                  <c:v>40</c:v>
                </c:pt>
                <c:pt idx="41">
                  <c:v>40.5</c:v>
                </c:pt>
                <c:pt idx="42">
                  <c:v>41</c:v>
                </c:pt>
                <c:pt idx="43">
                  <c:v>41.5</c:v>
                </c:pt>
                <c:pt idx="44">
                  <c:v>42</c:v>
                </c:pt>
                <c:pt idx="45">
                  <c:v>42.5</c:v>
                </c:pt>
                <c:pt idx="46">
                  <c:v>43</c:v>
                </c:pt>
                <c:pt idx="47">
                  <c:v>43.5</c:v>
                </c:pt>
                <c:pt idx="48">
                  <c:v>44</c:v>
                </c:pt>
                <c:pt idx="49">
                  <c:v>44.5</c:v>
                </c:pt>
                <c:pt idx="50">
                  <c:v>45</c:v>
                </c:pt>
                <c:pt idx="51">
                  <c:v>45.5</c:v>
                </c:pt>
                <c:pt idx="52">
                  <c:v>46</c:v>
                </c:pt>
                <c:pt idx="53">
                  <c:v>46.5</c:v>
                </c:pt>
                <c:pt idx="54">
                  <c:v>47</c:v>
                </c:pt>
                <c:pt idx="55">
                  <c:v>47.5</c:v>
                </c:pt>
                <c:pt idx="56">
                  <c:v>48</c:v>
                </c:pt>
                <c:pt idx="57">
                  <c:v>48.5</c:v>
                </c:pt>
                <c:pt idx="58">
                  <c:v>49</c:v>
                </c:pt>
                <c:pt idx="59">
                  <c:v>49.5</c:v>
                </c:pt>
                <c:pt idx="60">
                  <c:v>50</c:v>
                </c:pt>
                <c:pt idx="61">
                  <c:v>50.5</c:v>
                </c:pt>
                <c:pt idx="62">
                  <c:v>51</c:v>
                </c:pt>
                <c:pt idx="63">
                  <c:v>51.5</c:v>
                </c:pt>
                <c:pt idx="64">
                  <c:v>52</c:v>
                </c:pt>
                <c:pt idx="65">
                  <c:v>52.5</c:v>
                </c:pt>
                <c:pt idx="66">
                  <c:v>53</c:v>
                </c:pt>
                <c:pt idx="67">
                  <c:v>53.5</c:v>
                </c:pt>
                <c:pt idx="68">
                  <c:v>54</c:v>
                </c:pt>
                <c:pt idx="69">
                  <c:v>54.5</c:v>
                </c:pt>
                <c:pt idx="70">
                  <c:v>55</c:v>
                </c:pt>
              </c:numCache>
            </c:numRef>
          </c:cat>
          <c:val>
            <c:numRef>
              <c:f>'F10.5'!$H$46:$H$116</c:f>
              <c:numCache>
                <c:formatCode>General</c:formatCode>
                <c:ptCount val="7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numCache>
            </c:numRef>
          </c:val>
          <c:smooth val="0"/>
          <c:extLst>
            <c:ext xmlns:c16="http://schemas.microsoft.com/office/drawing/2014/chart" uri="{C3380CC4-5D6E-409C-BE32-E72D297353CC}">
              <c16:uniqueId val="{00000002-7C5E-40F4-9F61-F39D3273F4FE}"/>
            </c:ext>
          </c:extLst>
        </c:ser>
        <c:ser>
          <c:idx val="3"/>
          <c:order val="3"/>
          <c:tx>
            <c:strRef>
              <c:f>'F10.5'!$I$45</c:f>
              <c:strCache>
                <c:ptCount val="1"/>
                <c:pt idx="0">
                  <c:v>Employer</c:v>
                </c:pt>
              </c:strCache>
            </c:strRef>
          </c:tx>
          <c:spPr>
            <a:ln w="28575" cap="rnd">
              <a:solidFill>
                <a:schemeClr val="accent1"/>
              </a:solidFill>
              <a:prstDash val="sysDot"/>
              <a:round/>
            </a:ln>
            <a:effectLst/>
          </c:spPr>
          <c:marker>
            <c:symbol val="none"/>
          </c:marker>
          <c:cat>
            <c:numRef>
              <c:f>'F10.5'!$E$46:$E$116</c:f>
              <c:numCache>
                <c:formatCode>_(* #,##0_);_(* \(#,##0\);_(* "-"??_);_(@_)</c:formatCode>
                <c:ptCount val="71"/>
                <c:pt idx="0">
                  <c:v>20</c:v>
                </c:pt>
                <c:pt idx="1">
                  <c:v>20.5</c:v>
                </c:pt>
                <c:pt idx="2">
                  <c:v>21</c:v>
                </c:pt>
                <c:pt idx="3">
                  <c:v>21.5</c:v>
                </c:pt>
                <c:pt idx="4">
                  <c:v>22</c:v>
                </c:pt>
                <c:pt idx="5">
                  <c:v>22.5</c:v>
                </c:pt>
                <c:pt idx="6">
                  <c:v>23</c:v>
                </c:pt>
                <c:pt idx="7">
                  <c:v>23.5</c:v>
                </c:pt>
                <c:pt idx="8">
                  <c:v>24</c:v>
                </c:pt>
                <c:pt idx="9">
                  <c:v>24.5</c:v>
                </c:pt>
                <c:pt idx="10">
                  <c:v>25</c:v>
                </c:pt>
                <c:pt idx="11">
                  <c:v>25.5</c:v>
                </c:pt>
                <c:pt idx="12">
                  <c:v>26</c:v>
                </c:pt>
                <c:pt idx="13">
                  <c:v>26.5</c:v>
                </c:pt>
                <c:pt idx="14">
                  <c:v>27</c:v>
                </c:pt>
                <c:pt idx="15">
                  <c:v>27.5</c:v>
                </c:pt>
                <c:pt idx="16">
                  <c:v>28</c:v>
                </c:pt>
                <c:pt idx="17">
                  <c:v>28.5</c:v>
                </c:pt>
                <c:pt idx="18">
                  <c:v>29</c:v>
                </c:pt>
                <c:pt idx="19">
                  <c:v>29.5</c:v>
                </c:pt>
                <c:pt idx="20">
                  <c:v>30</c:v>
                </c:pt>
                <c:pt idx="21">
                  <c:v>30.5</c:v>
                </c:pt>
                <c:pt idx="22">
                  <c:v>31</c:v>
                </c:pt>
                <c:pt idx="23">
                  <c:v>31.5</c:v>
                </c:pt>
                <c:pt idx="24">
                  <c:v>32</c:v>
                </c:pt>
                <c:pt idx="25">
                  <c:v>32.5</c:v>
                </c:pt>
                <c:pt idx="26">
                  <c:v>33</c:v>
                </c:pt>
                <c:pt idx="27">
                  <c:v>33.5</c:v>
                </c:pt>
                <c:pt idx="28">
                  <c:v>34</c:v>
                </c:pt>
                <c:pt idx="29">
                  <c:v>34.5</c:v>
                </c:pt>
                <c:pt idx="30">
                  <c:v>35</c:v>
                </c:pt>
                <c:pt idx="31">
                  <c:v>35.5</c:v>
                </c:pt>
                <c:pt idx="32">
                  <c:v>36</c:v>
                </c:pt>
                <c:pt idx="33">
                  <c:v>36.5</c:v>
                </c:pt>
                <c:pt idx="34">
                  <c:v>37</c:v>
                </c:pt>
                <c:pt idx="35">
                  <c:v>37.5</c:v>
                </c:pt>
                <c:pt idx="36">
                  <c:v>38</c:v>
                </c:pt>
                <c:pt idx="37">
                  <c:v>38.5</c:v>
                </c:pt>
                <c:pt idx="38">
                  <c:v>39</c:v>
                </c:pt>
                <c:pt idx="39">
                  <c:v>39.5</c:v>
                </c:pt>
                <c:pt idx="40">
                  <c:v>40</c:v>
                </c:pt>
                <c:pt idx="41">
                  <c:v>40.5</c:v>
                </c:pt>
                <c:pt idx="42">
                  <c:v>41</c:v>
                </c:pt>
                <c:pt idx="43">
                  <c:v>41.5</c:v>
                </c:pt>
                <c:pt idx="44">
                  <c:v>42</c:v>
                </c:pt>
                <c:pt idx="45">
                  <c:v>42.5</c:v>
                </c:pt>
                <c:pt idx="46">
                  <c:v>43</c:v>
                </c:pt>
                <c:pt idx="47">
                  <c:v>43.5</c:v>
                </c:pt>
                <c:pt idx="48">
                  <c:v>44</c:v>
                </c:pt>
                <c:pt idx="49">
                  <c:v>44.5</c:v>
                </c:pt>
                <c:pt idx="50">
                  <c:v>45</c:v>
                </c:pt>
                <c:pt idx="51">
                  <c:v>45.5</c:v>
                </c:pt>
                <c:pt idx="52">
                  <c:v>46</c:v>
                </c:pt>
                <c:pt idx="53">
                  <c:v>46.5</c:v>
                </c:pt>
                <c:pt idx="54">
                  <c:v>47</c:v>
                </c:pt>
                <c:pt idx="55">
                  <c:v>47.5</c:v>
                </c:pt>
                <c:pt idx="56">
                  <c:v>48</c:v>
                </c:pt>
                <c:pt idx="57">
                  <c:v>48.5</c:v>
                </c:pt>
                <c:pt idx="58">
                  <c:v>49</c:v>
                </c:pt>
                <c:pt idx="59">
                  <c:v>49.5</c:v>
                </c:pt>
                <c:pt idx="60">
                  <c:v>50</c:v>
                </c:pt>
                <c:pt idx="61">
                  <c:v>50.5</c:v>
                </c:pt>
                <c:pt idx="62">
                  <c:v>51</c:v>
                </c:pt>
                <c:pt idx="63">
                  <c:v>51.5</c:v>
                </c:pt>
                <c:pt idx="64">
                  <c:v>52</c:v>
                </c:pt>
                <c:pt idx="65">
                  <c:v>52.5</c:v>
                </c:pt>
                <c:pt idx="66">
                  <c:v>53</c:v>
                </c:pt>
                <c:pt idx="67">
                  <c:v>53.5</c:v>
                </c:pt>
                <c:pt idx="68">
                  <c:v>54</c:v>
                </c:pt>
                <c:pt idx="69">
                  <c:v>54.5</c:v>
                </c:pt>
                <c:pt idx="70">
                  <c:v>55</c:v>
                </c:pt>
              </c:numCache>
            </c:numRef>
          </c:cat>
          <c:val>
            <c:numRef>
              <c:f>'F10.5'!$I$46:$I$116</c:f>
              <c:numCache>
                <c:formatCode>General</c:formatCode>
                <c:ptCount val="7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numCache>
            </c:numRef>
          </c:val>
          <c:smooth val="0"/>
          <c:extLst>
            <c:ext xmlns:c16="http://schemas.microsoft.com/office/drawing/2014/chart" uri="{C3380CC4-5D6E-409C-BE32-E72D297353CC}">
              <c16:uniqueId val="{00000003-7C5E-40F4-9F61-F39D3273F4FE}"/>
            </c:ext>
          </c:extLst>
        </c:ser>
        <c:dLbls>
          <c:showLegendKey val="0"/>
          <c:showVal val="0"/>
          <c:showCatName val="0"/>
          <c:showSerName val="0"/>
          <c:showPercent val="0"/>
          <c:showBubbleSize val="0"/>
        </c:dLbls>
        <c:smooth val="0"/>
        <c:axId val="267817344"/>
        <c:axId val="267818880"/>
      </c:lineChart>
      <c:catAx>
        <c:axId val="267817344"/>
        <c:scaling>
          <c:orientation val="minMax"/>
        </c:scaling>
        <c:delete val="0"/>
        <c:axPos val="b"/>
        <c:numFmt formatCode="_(* #,##0_);_(* \(#,##0\);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7818880"/>
        <c:crosses val="autoZero"/>
        <c:auto val="1"/>
        <c:lblAlgn val="ctr"/>
        <c:lblOffset val="100"/>
        <c:tickLblSkip val="10"/>
        <c:noMultiLvlLbl val="0"/>
      </c:catAx>
      <c:valAx>
        <c:axId val="267818880"/>
        <c:scaling>
          <c:orientation val="minMax"/>
          <c:max val="500"/>
          <c:min val="0"/>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7817344"/>
        <c:crosses val="autoZero"/>
        <c:crossBetween val="between"/>
        <c:majorUnit val="100"/>
      </c:valAx>
      <c:spPr>
        <a:solidFill>
          <a:schemeClr val="bg1">
            <a:lumMod val="95000"/>
          </a:schemeClr>
        </a:solidFill>
        <a:ln>
          <a:noFill/>
        </a:ln>
        <a:effectLst/>
      </c:spPr>
    </c:plotArea>
    <c:legend>
      <c:legendPos val="b"/>
      <c:layout>
        <c:manualLayout>
          <c:xMode val="edge"/>
          <c:yMode val="edge"/>
          <c:x val="5.4065040650406501E-2"/>
          <c:y val="0.9244682488893835"/>
          <c:w val="0.9"/>
          <c:h val="4.0196062064680078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1">
                <a:solidFill>
                  <a:sysClr val="windowText" lastClr="000000"/>
                </a:solidFill>
                <a:latin typeface="Times New Roman" panose="02020603050405020304" pitchFamily="18" charset="0"/>
                <a:cs typeface="Times New Roman" panose="02020603050405020304" pitchFamily="18" charset="0"/>
              </a:rPr>
              <a:t>A. Men</a:t>
            </a:r>
          </a:p>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1">
                <a:solidFill>
                  <a:sysClr val="windowText" lastClr="000000"/>
                </a:solidFill>
                <a:latin typeface="Times New Roman" panose="02020603050405020304" pitchFamily="18" charset="0"/>
                <a:cs typeface="Times New Roman" panose="02020603050405020304" pitchFamily="18" charset="0"/>
              </a:rPr>
              <a:t>Less than secondary school</a:t>
            </a:r>
          </a:p>
        </c:rich>
      </c:tx>
      <c:overlay val="0"/>
      <c:spPr>
        <a:noFill/>
        <a:ln>
          <a:noFill/>
        </a:ln>
        <a:effectLst/>
      </c:spPr>
    </c:title>
    <c:autoTitleDeleted val="0"/>
    <c:plotArea>
      <c:layout>
        <c:manualLayout>
          <c:layoutTarget val="inner"/>
          <c:xMode val="edge"/>
          <c:yMode val="edge"/>
          <c:x val="0.13759110520248122"/>
          <c:y val="0.18535991628489051"/>
          <c:w val="0.81048730599473828"/>
          <c:h val="0.71658007315164063"/>
        </c:manualLayout>
      </c:layout>
      <c:lineChart>
        <c:grouping val="standard"/>
        <c:varyColors val="0"/>
        <c:ser>
          <c:idx val="0"/>
          <c:order val="0"/>
          <c:tx>
            <c:strRef>
              <c:f>'F10.5'!$F$45</c:f>
              <c:strCache>
                <c:ptCount val="1"/>
                <c:pt idx="0">
                  <c:v>Employed-Formal</c:v>
                </c:pt>
              </c:strCache>
            </c:strRef>
          </c:tx>
          <c:spPr>
            <a:ln w="19050" cap="rnd">
              <a:solidFill>
                <a:schemeClr val="tx1"/>
              </a:solidFill>
              <a:round/>
            </a:ln>
            <a:effectLst/>
          </c:spPr>
          <c:marker>
            <c:symbol val="none"/>
          </c:marker>
          <c:cat>
            <c:numRef>
              <c:f>'F10.5'!$E$46:$E$116</c:f>
              <c:numCache>
                <c:formatCode>_(* #,##0_);_(* \(#,##0\);_(* "-"??_);_(@_)</c:formatCode>
                <c:ptCount val="71"/>
                <c:pt idx="0">
                  <c:v>20</c:v>
                </c:pt>
                <c:pt idx="1">
                  <c:v>20.5</c:v>
                </c:pt>
                <c:pt idx="2">
                  <c:v>21</c:v>
                </c:pt>
                <c:pt idx="3">
                  <c:v>21.5</c:v>
                </c:pt>
                <c:pt idx="4">
                  <c:v>22</c:v>
                </c:pt>
                <c:pt idx="5">
                  <c:v>22.5</c:v>
                </c:pt>
                <c:pt idx="6">
                  <c:v>23</c:v>
                </c:pt>
                <c:pt idx="7">
                  <c:v>23.5</c:v>
                </c:pt>
                <c:pt idx="8">
                  <c:v>24</c:v>
                </c:pt>
                <c:pt idx="9">
                  <c:v>24.5</c:v>
                </c:pt>
                <c:pt idx="10">
                  <c:v>25</c:v>
                </c:pt>
                <c:pt idx="11">
                  <c:v>25.5</c:v>
                </c:pt>
                <c:pt idx="12">
                  <c:v>26</c:v>
                </c:pt>
                <c:pt idx="13">
                  <c:v>26.5</c:v>
                </c:pt>
                <c:pt idx="14">
                  <c:v>27</c:v>
                </c:pt>
                <c:pt idx="15">
                  <c:v>27.5</c:v>
                </c:pt>
                <c:pt idx="16">
                  <c:v>28</c:v>
                </c:pt>
                <c:pt idx="17">
                  <c:v>28.5</c:v>
                </c:pt>
                <c:pt idx="18">
                  <c:v>29</c:v>
                </c:pt>
                <c:pt idx="19">
                  <c:v>29.5</c:v>
                </c:pt>
                <c:pt idx="20">
                  <c:v>30</c:v>
                </c:pt>
                <c:pt idx="21">
                  <c:v>30.5</c:v>
                </c:pt>
                <c:pt idx="22">
                  <c:v>31</c:v>
                </c:pt>
                <c:pt idx="23">
                  <c:v>31.5</c:v>
                </c:pt>
                <c:pt idx="24">
                  <c:v>32</c:v>
                </c:pt>
                <c:pt idx="25">
                  <c:v>32.5</c:v>
                </c:pt>
                <c:pt idx="26">
                  <c:v>33</c:v>
                </c:pt>
                <c:pt idx="27">
                  <c:v>33.5</c:v>
                </c:pt>
                <c:pt idx="28">
                  <c:v>34</c:v>
                </c:pt>
                <c:pt idx="29">
                  <c:v>34.5</c:v>
                </c:pt>
                <c:pt idx="30">
                  <c:v>35</c:v>
                </c:pt>
                <c:pt idx="31">
                  <c:v>35.5</c:v>
                </c:pt>
                <c:pt idx="32">
                  <c:v>36</c:v>
                </c:pt>
                <c:pt idx="33">
                  <c:v>36.5</c:v>
                </c:pt>
                <c:pt idx="34">
                  <c:v>37</c:v>
                </c:pt>
                <c:pt idx="35">
                  <c:v>37.5</c:v>
                </c:pt>
                <c:pt idx="36">
                  <c:v>38</c:v>
                </c:pt>
                <c:pt idx="37">
                  <c:v>38.5</c:v>
                </c:pt>
                <c:pt idx="38">
                  <c:v>39</c:v>
                </c:pt>
                <c:pt idx="39">
                  <c:v>39.5</c:v>
                </c:pt>
                <c:pt idx="40">
                  <c:v>40</c:v>
                </c:pt>
                <c:pt idx="41">
                  <c:v>40.5</c:v>
                </c:pt>
                <c:pt idx="42">
                  <c:v>41</c:v>
                </c:pt>
                <c:pt idx="43">
                  <c:v>41.5</c:v>
                </c:pt>
                <c:pt idx="44">
                  <c:v>42</c:v>
                </c:pt>
                <c:pt idx="45">
                  <c:v>42.5</c:v>
                </c:pt>
                <c:pt idx="46">
                  <c:v>43</c:v>
                </c:pt>
                <c:pt idx="47">
                  <c:v>43.5</c:v>
                </c:pt>
                <c:pt idx="48">
                  <c:v>44</c:v>
                </c:pt>
                <c:pt idx="49">
                  <c:v>44.5</c:v>
                </c:pt>
                <c:pt idx="50">
                  <c:v>45</c:v>
                </c:pt>
                <c:pt idx="51">
                  <c:v>45.5</c:v>
                </c:pt>
                <c:pt idx="52">
                  <c:v>46</c:v>
                </c:pt>
                <c:pt idx="53">
                  <c:v>46.5</c:v>
                </c:pt>
                <c:pt idx="54">
                  <c:v>47</c:v>
                </c:pt>
                <c:pt idx="55">
                  <c:v>47.5</c:v>
                </c:pt>
                <c:pt idx="56">
                  <c:v>48</c:v>
                </c:pt>
                <c:pt idx="57">
                  <c:v>48.5</c:v>
                </c:pt>
                <c:pt idx="58">
                  <c:v>49</c:v>
                </c:pt>
                <c:pt idx="59">
                  <c:v>49.5</c:v>
                </c:pt>
                <c:pt idx="60">
                  <c:v>50</c:v>
                </c:pt>
                <c:pt idx="61">
                  <c:v>50.5</c:v>
                </c:pt>
                <c:pt idx="62">
                  <c:v>51</c:v>
                </c:pt>
                <c:pt idx="63">
                  <c:v>51.5</c:v>
                </c:pt>
                <c:pt idx="64">
                  <c:v>52</c:v>
                </c:pt>
                <c:pt idx="65">
                  <c:v>52.5</c:v>
                </c:pt>
                <c:pt idx="66">
                  <c:v>53</c:v>
                </c:pt>
                <c:pt idx="67">
                  <c:v>53.5</c:v>
                </c:pt>
                <c:pt idx="68">
                  <c:v>54</c:v>
                </c:pt>
                <c:pt idx="69">
                  <c:v>54.5</c:v>
                </c:pt>
                <c:pt idx="70">
                  <c:v>55</c:v>
                </c:pt>
              </c:numCache>
            </c:numRef>
          </c:cat>
          <c:val>
            <c:numRef>
              <c:f>'F10.5'!$F$46:$F$116</c:f>
              <c:numCache>
                <c:formatCode>General</c:formatCode>
                <c:ptCount val="7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numCache>
            </c:numRef>
          </c:val>
          <c:smooth val="0"/>
          <c:extLst>
            <c:ext xmlns:c16="http://schemas.microsoft.com/office/drawing/2014/chart" uri="{C3380CC4-5D6E-409C-BE32-E72D297353CC}">
              <c16:uniqueId val="{00000000-29A2-48B0-85D4-D79F6F882BFD}"/>
            </c:ext>
          </c:extLst>
        </c:ser>
        <c:ser>
          <c:idx val="1"/>
          <c:order val="1"/>
          <c:tx>
            <c:strRef>
              <c:f>'F10.5'!$G$45</c:f>
              <c:strCache>
                <c:ptCount val="1"/>
                <c:pt idx="0">
                  <c:v>Employed-Informal</c:v>
                </c:pt>
              </c:strCache>
            </c:strRef>
          </c:tx>
          <c:spPr>
            <a:ln w="19050" cap="rnd">
              <a:solidFill>
                <a:srgbClr val="EDADCA"/>
              </a:solidFill>
              <a:prstDash val="sysDash"/>
              <a:round/>
            </a:ln>
            <a:effectLst/>
          </c:spPr>
          <c:marker>
            <c:symbol val="none"/>
          </c:marker>
          <c:cat>
            <c:numRef>
              <c:f>'F10.5'!$E$46:$E$116</c:f>
              <c:numCache>
                <c:formatCode>_(* #,##0_);_(* \(#,##0\);_(* "-"??_);_(@_)</c:formatCode>
                <c:ptCount val="71"/>
                <c:pt idx="0">
                  <c:v>20</c:v>
                </c:pt>
                <c:pt idx="1">
                  <c:v>20.5</c:v>
                </c:pt>
                <c:pt idx="2">
                  <c:v>21</c:v>
                </c:pt>
                <c:pt idx="3">
                  <c:v>21.5</c:v>
                </c:pt>
                <c:pt idx="4">
                  <c:v>22</c:v>
                </c:pt>
                <c:pt idx="5">
                  <c:v>22.5</c:v>
                </c:pt>
                <c:pt idx="6">
                  <c:v>23</c:v>
                </c:pt>
                <c:pt idx="7">
                  <c:v>23.5</c:v>
                </c:pt>
                <c:pt idx="8">
                  <c:v>24</c:v>
                </c:pt>
                <c:pt idx="9">
                  <c:v>24.5</c:v>
                </c:pt>
                <c:pt idx="10">
                  <c:v>25</c:v>
                </c:pt>
                <c:pt idx="11">
                  <c:v>25.5</c:v>
                </c:pt>
                <c:pt idx="12">
                  <c:v>26</c:v>
                </c:pt>
                <c:pt idx="13">
                  <c:v>26.5</c:v>
                </c:pt>
                <c:pt idx="14">
                  <c:v>27</c:v>
                </c:pt>
                <c:pt idx="15">
                  <c:v>27.5</c:v>
                </c:pt>
                <c:pt idx="16">
                  <c:v>28</c:v>
                </c:pt>
                <c:pt idx="17">
                  <c:v>28.5</c:v>
                </c:pt>
                <c:pt idx="18">
                  <c:v>29</c:v>
                </c:pt>
                <c:pt idx="19">
                  <c:v>29.5</c:v>
                </c:pt>
                <c:pt idx="20">
                  <c:v>30</c:v>
                </c:pt>
                <c:pt idx="21">
                  <c:v>30.5</c:v>
                </c:pt>
                <c:pt idx="22">
                  <c:v>31</c:v>
                </c:pt>
                <c:pt idx="23">
                  <c:v>31.5</c:v>
                </c:pt>
                <c:pt idx="24">
                  <c:v>32</c:v>
                </c:pt>
                <c:pt idx="25">
                  <c:v>32.5</c:v>
                </c:pt>
                <c:pt idx="26">
                  <c:v>33</c:v>
                </c:pt>
                <c:pt idx="27">
                  <c:v>33.5</c:v>
                </c:pt>
                <c:pt idx="28">
                  <c:v>34</c:v>
                </c:pt>
                <c:pt idx="29">
                  <c:v>34.5</c:v>
                </c:pt>
                <c:pt idx="30">
                  <c:v>35</c:v>
                </c:pt>
                <c:pt idx="31">
                  <c:v>35.5</c:v>
                </c:pt>
                <c:pt idx="32">
                  <c:v>36</c:v>
                </c:pt>
                <c:pt idx="33">
                  <c:v>36.5</c:v>
                </c:pt>
                <c:pt idx="34">
                  <c:v>37</c:v>
                </c:pt>
                <c:pt idx="35">
                  <c:v>37.5</c:v>
                </c:pt>
                <c:pt idx="36">
                  <c:v>38</c:v>
                </c:pt>
                <c:pt idx="37">
                  <c:v>38.5</c:v>
                </c:pt>
                <c:pt idx="38">
                  <c:v>39</c:v>
                </c:pt>
                <c:pt idx="39">
                  <c:v>39.5</c:v>
                </c:pt>
                <c:pt idx="40">
                  <c:v>40</c:v>
                </c:pt>
                <c:pt idx="41">
                  <c:v>40.5</c:v>
                </c:pt>
                <c:pt idx="42">
                  <c:v>41</c:v>
                </c:pt>
                <c:pt idx="43">
                  <c:v>41.5</c:v>
                </c:pt>
                <c:pt idx="44">
                  <c:v>42</c:v>
                </c:pt>
                <c:pt idx="45">
                  <c:v>42.5</c:v>
                </c:pt>
                <c:pt idx="46">
                  <c:v>43</c:v>
                </c:pt>
                <c:pt idx="47">
                  <c:v>43.5</c:v>
                </c:pt>
                <c:pt idx="48">
                  <c:v>44</c:v>
                </c:pt>
                <c:pt idx="49">
                  <c:v>44.5</c:v>
                </c:pt>
                <c:pt idx="50">
                  <c:v>45</c:v>
                </c:pt>
                <c:pt idx="51">
                  <c:v>45.5</c:v>
                </c:pt>
                <c:pt idx="52">
                  <c:v>46</c:v>
                </c:pt>
                <c:pt idx="53">
                  <c:v>46.5</c:v>
                </c:pt>
                <c:pt idx="54">
                  <c:v>47</c:v>
                </c:pt>
                <c:pt idx="55">
                  <c:v>47.5</c:v>
                </c:pt>
                <c:pt idx="56">
                  <c:v>48</c:v>
                </c:pt>
                <c:pt idx="57">
                  <c:v>48.5</c:v>
                </c:pt>
                <c:pt idx="58">
                  <c:v>49</c:v>
                </c:pt>
                <c:pt idx="59">
                  <c:v>49.5</c:v>
                </c:pt>
                <c:pt idx="60">
                  <c:v>50</c:v>
                </c:pt>
                <c:pt idx="61">
                  <c:v>50.5</c:v>
                </c:pt>
                <c:pt idx="62">
                  <c:v>51</c:v>
                </c:pt>
                <c:pt idx="63">
                  <c:v>51.5</c:v>
                </c:pt>
                <c:pt idx="64">
                  <c:v>52</c:v>
                </c:pt>
                <c:pt idx="65">
                  <c:v>52.5</c:v>
                </c:pt>
                <c:pt idx="66">
                  <c:v>53</c:v>
                </c:pt>
                <c:pt idx="67">
                  <c:v>53.5</c:v>
                </c:pt>
                <c:pt idx="68">
                  <c:v>54</c:v>
                </c:pt>
                <c:pt idx="69">
                  <c:v>54.5</c:v>
                </c:pt>
                <c:pt idx="70">
                  <c:v>55</c:v>
                </c:pt>
              </c:numCache>
            </c:numRef>
          </c:cat>
          <c:val>
            <c:numRef>
              <c:f>'F10.5'!$G$46:$G$116</c:f>
              <c:numCache>
                <c:formatCode>General</c:formatCode>
                <c:ptCount val="7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numCache>
            </c:numRef>
          </c:val>
          <c:smooth val="0"/>
          <c:extLst>
            <c:ext xmlns:c16="http://schemas.microsoft.com/office/drawing/2014/chart" uri="{C3380CC4-5D6E-409C-BE32-E72D297353CC}">
              <c16:uniqueId val="{00000001-29A2-48B0-85D4-D79F6F882BFD}"/>
            </c:ext>
          </c:extLst>
        </c:ser>
        <c:ser>
          <c:idx val="2"/>
          <c:order val="2"/>
          <c:tx>
            <c:strRef>
              <c:f>'F10.5'!$H$45</c:f>
              <c:strCache>
                <c:ptCount val="1"/>
                <c:pt idx="0">
                  <c:v>Self-employed</c:v>
                </c:pt>
              </c:strCache>
            </c:strRef>
          </c:tx>
          <c:spPr>
            <a:ln w="19050" cap="rnd">
              <a:solidFill>
                <a:schemeClr val="accent4">
                  <a:lumMod val="75000"/>
                </a:schemeClr>
              </a:solidFill>
              <a:prstDash val="lgDash"/>
              <a:round/>
            </a:ln>
            <a:effectLst/>
          </c:spPr>
          <c:marker>
            <c:symbol val="none"/>
          </c:marker>
          <c:cat>
            <c:numRef>
              <c:f>'F10.5'!$E$46:$E$116</c:f>
              <c:numCache>
                <c:formatCode>_(* #,##0_);_(* \(#,##0\);_(* "-"??_);_(@_)</c:formatCode>
                <c:ptCount val="71"/>
                <c:pt idx="0">
                  <c:v>20</c:v>
                </c:pt>
                <c:pt idx="1">
                  <c:v>20.5</c:v>
                </c:pt>
                <c:pt idx="2">
                  <c:v>21</c:v>
                </c:pt>
                <c:pt idx="3">
                  <c:v>21.5</c:v>
                </c:pt>
                <c:pt idx="4">
                  <c:v>22</c:v>
                </c:pt>
                <c:pt idx="5">
                  <c:v>22.5</c:v>
                </c:pt>
                <c:pt idx="6">
                  <c:v>23</c:v>
                </c:pt>
                <c:pt idx="7">
                  <c:v>23.5</c:v>
                </c:pt>
                <c:pt idx="8">
                  <c:v>24</c:v>
                </c:pt>
                <c:pt idx="9">
                  <c:v>24.5</c:v>
                </c:pt>
                <c:pt idx="10">
                  <c:v>25</c:v>
                </c:pt>
                <c:pt idx="11">
                  <c:v>25.5</c:v>
                </c:pt>
                <c:pt idx="12">
                  <c:v>26</c:v>
                </c:pt>
                <c:pt idx="13">
                  <c:v>26.5</c:v>
                </c:pt>
                <c:pt idx="14">
                  <c:v>27</c:v>
                </c:pt>
                <c:pt idx="15">
                  <c:v>27.5</c:v>
                </c:pt>
                <c:pt idx="16">
                  <c:v>28</c:v>
                </c:pt>
                <c:pt idx="17">
                  <c:v>28.5</c:v>
                </c:pt>
                <c:pt idx="18">
                  <c:v>29</c:v>
                </c:pt>
                <c:pt idx="19">
                  <c:v>29.5</c:v>
                </c:pt>
                <c:pt idx="20">
                  <c:v>30</c:v>
                </c:pt>
                <c:pt idx="21">
                  <c:v>30.5</c:v>
                </c:pt>
                <c:pt idx="22">
                  <c:v>31</c:v>
                </c:pt>
                <c:pt idx="23">
                  <c:v>31.5</c:v>
                </c:pt>
                <c:pt idx="24">
                  <c:v>32</c:v>
                </c:pt>
                <c:pt idx="25">
                  <c:v>32.5</c:v>
                </c:pt>
                <c:pt idx="26">
                  <c:v>33</c:v>
                </c:pt>
                <c:pt idx="27">
                  <c:v>33.5</c:v>
                </c:pt>
                <c:pt idx="28">
                  <c:v>34</c:v>
                </c:pt>
                <c:pt idx="29">
                  <c:v>34.5</c:v>
                </c:pt>
                <c:pt idx="30">
                  <c:v>35</c:v>
                </c:pt>
                <c:pt idx="31">
                  <c:v>35.5</c:v>
                </c:pt>
                <c:pt idx="32">
                  <c:v>36</c:v>
                </c:pt>
                <c:pt idx="33">
                  <c:v>36.5</c:v>
                </c:pt>
                <c:pt idx="34">
                  <c:v>37</c:v>
                </c:pt>
                <c:pt idx="35">
                  <c:v>37.5</c:v>
                </c:pt>
                <c:pt idx="36">
                  <c:v>38</c:v>
                </c:pt>
                <c:pt idx="37">
                  <c:v>38.5</c:v>
                </c:pt>
                <c:pt idx="38">
                  <c:v>39</c:v>
                </c:pt>
                <c:pt idx="39">
                  <c:v>39.5</c:v>
                </c:pt>
                <c:pt idx="40">
                  <c:v>40</c:v>
                </c:pt>
                <c:pt idx="41">
                  <c:v>40.5</c:v>
                </c:pt>
                <c:pt idx="42">
                  <c:v>41</c:v>
                </c:pt>
                <c:pt idx="43">
                  <c:v>41.5</c:v>
                </c:pt>
                <c:pt idx="44">
                  <c:v>42</c:v>
                </c:pt>
                <c:pt idx="45">
                  <c:v>42.5</c:v>
                </c:pt>
                <c:pt idx="46">
                  <c:v>43</c:v>
                </c:pt>
                <c:pt idx="47">
                  <c:v>43.5</c:v>
                </c:pt>
                <c:pt idx="48">
                  <c:v>44</c:v>
                </c:pt>
                <c:pt idx="49">
                  <c:v>44.5</c:v>
                </c:pt>
                <c:pt idx="50">
                  <c:v>45</c:v>
                </c:pt>
                <c:pt idx="51">
                  <c:v>45.5</c:v>
                </c:pt>
                <c:pt idx="52">
                  <c:v>46</c:v>
                </c:pt>
                <c:pt idx="53">
                  <c:v>46.5</c:v>
                </c:pt>
                <c:pt idx="54">
                  <c:v>47</c:v>
                </c:pt>
                <c:pt idx="55">
                  <c:v>47.5</c:v>
                </c:pt>
                <c:pt idx="56">
                  <c:v>48</c:v>
                </c:pt>
                <c:pt idx="57">
                  <c:v>48.5</c:v>
                </c:pt>
                <c:pt idx="58">
                  <c:v>49</c:v>
                </c:pt>
                <c:pt idx="59">
                  <c:v>49.5</c:v>
                </c:pt>
                <c:pt idx="60">
                  <c:v>50</c:v>
                </c:pt>
                <c:pt idx="61">
                  <c:v>50.5</c:v>
                </c:pt>
                <c:pt idx="62">
                  <c:v>51</c:v>
                </c:pt>
                <c:pt idx="63">
                  <c:v>51.5</c:v>
                </c:pt>
                <c:pt idx="64">
                  <c:v>52</c:v>
                </c:pt>
                <c:pt idx="65">
                  <c:v>52.5</c:v>
                </c:pt>
                <c:pt idx="66">
                  <c:v>53</c:v>
                </c:pt>
                <c:pt idx="67">
                  <c:v>53.5</c:v>
                </c:pt>
                <c:pt idx="68">
                  <c:v>54</c:v>
                </c:pt>
                <c:pt idx="69">
                  <c:v>54.5</c:v>
                </c:pt>
                <c:pt idx="70">
                  <c:v>55</c:v>
                </c:pt>
              </c:numCache>
            </c:numRef>
          </c:cat>
          <c:val>
            <c:numRef>
              <c:f>'F10.5'!$H$46:$H$116</c:f>
              <c:numCache>
                <c:formatCode>General</c:formatCode>
                <c:ptCount val="7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numCache>
            </c:numRef>
          </c:val>
          <c:smooth val="0"/>
          <c:extLst>
            <c:ext xmlns:c16="http://schemas.microsoft.com/office/drawing/2014/chart" uri="{C3380CC4-5D6E-409C-BE32-E72D297353CC}">
              <c16:uniqueId val="{00000002-29A2-48B0-85D4-D79F6F882BFD}"/>
            </c:ext>
          </c:extLst>
        </c:ser>
        <c:ser>
          <c:idx val="3"/>
          <c:order val="3"/>
          <c:tx>
            <c:strRef>
              <c:f>'F10.5'!$I$45</c:f>
              <c:strCache>
                <c:ptCount val="1"/>
                <c:pt idx="0">
                  <c:v>Employer</c:v>
                </c:pt>
              </c:strCache>
            </c:strRef>
          </c:tx>
          <c:spPr>
            <a:ln w="31750" cap="rnd">
              <a:solidFill>
                <a:schemeClr val="accent1"/>
              </a:solidFill>
              <a:prstDash val="sysDot"/>
              <a:round/>
            </a:ln>
            <a:effectLst/>
          </c:spPr>
          <c:marker>
            <c:symbol val="none"/>
          </c:marker>
          <c:cat>
            <c:numRef>
              <c:f>'F10.5'!$E$46:$E$116</c:f>
              <c:numCache>
                <c:formatCode>_(* #,##0_);_(* \(#,##0\);_(* "-"??_);_(@_)</c:formatCode>
                <c:ptCount val="71"/>
                <c:pt idx="0">
                  <c:v>20</c:v>
                </c:pt>
                <c:pt idx="1">
                  <c:v>20.5</c:v>
                </c:pt>
                <c:pt idx="2">
                  <c:v>21</c:v>
                </c:pt>
                <c:pt idx="3">
                  <c:v>21.5</c:v>
                </c:pt>
                <c:pt idx="4">
                  <c:v>22</c:v>
                </c:pt>
                <c:pt idx="5">
                  <c:v>22.5</c:v>
                </c:pt>
                <c:pt idx="6">
                  <c:v>23</c:v>
                </c:pt>
                <c:pt idx="7">
                  <c:v>23.5</c:v>
                </c:pt>
                <c:pt idx="8">
                  <c:v>24</c:v>
                </c:pt>
                <c:pt idx="9">
                  <c:v>24.5</c:v>
                </c:pt>
                <c:pt idx="10">
                  <c:v>25</c:v>
                </c:pt>
                <c:pt idx="11">
                  <c:v>25.5</c:v>
                </c:pt>
                <c:pt idx="12">
                  <c:v>26</c:v>
                </c:pt>
                <c:pt idx="13">
                  <c:v>26.5</c:v>
                </c:pt>
                <c:pt idx="14">
                  <c:v>27</c:v>
                </c:pt>
                <c:pt idx="15">
                  <c:v>27.5</c:v>
                </c:pt>
                <c:pt idx="16">
                  <c:v>28</c:v>
                </c:pt>
                <c:pt idx="17">
                  <c:v>28.5</c:v>
                </c:pt>
                <c:pt idx="18">
                  <c:v>29</c:v>
                </c:pt>
                <c:pt idx="19">
                  <c:v>29.5</c:v>
                </c:pt>
                <c:pt idx="20">
                  <c:v>30</c:v>
                </c:pt>
                <c:pt idx="21">
                  <c:v>30.5</c:v>
                </c:pt>
                <c:pt idx="22">
                  <c:v>31</c:v>
                </c:pt>
                <c:pt idx="23">
                  <c:v>31.5</c:v>
                </c:pt>
                <c:pt idx="24">
                  <c:v>32</c:v>
                </c:pt>
                <c:pt idx="25">
                  <c:v>32.5</c:v>
                </c:pt>
                <c:pt idx="26">
                  <c:v>33</c:v>
                </c:pt>
                <c:pt idx="27">
                  <c:v>33.5</c:v>
                </c:pt>
                <c:pt idx="28">
                  <c:v>34</c:v>
                </c:pt>
                <c:pt idx="29">
                  <c:v>34.5</c:v>
                </c:pt>
                <c:pt idx="30">
                  <c:v>35</c:v>
                </c:pt>
                <c:pt idx="31">
                  <c:v>35.5</c:v>
                </c:pt>
                <c:pt idx="32">
                  <c:v>36</c:v>
                </c:pt>
                <c:pt idx="33">
                  <c:v>36.5</c:v>
                </c:pt>
                <c:pt idx="34">
                  <c:v>37</c:v>
                </c:pt>
                <c:pt idx="35">
                  <c:v>37.5</c:v>
                </c:pt>
                <c:pt idx="36">
                  <c:v>38</c:v>
                </c:pt>
                <c:pt idx="37">
                  <c:v>38.5</c:v>
                </c:pt>
                <c:pt idx="38">
                  <c:v>39</c:v>
                </c:pt>
                <c:pt idx="39">
                  <c:v>39.5</c:v>
                </c:pt>
                <c:pt idx="40">
                  <c:v>40</c:v>
                </c:pt>
                <c:pt idx="41">
                  <c:v>40.5</c:v>
                </c:pt>
                <c:pt idx="42">
                  <c:v>41</c:v>
                </c:pt>
                <c:pt idx="43">
                  <c:v>41.5</c:v>
                </c:pt>
                <c:pt idx="44">
                  <c:v>42</c:v>
                </c:pt>
                <c:pt idx="45">
                  <c:v>42.5</c:v>
                </c:pt>
                <c:pt idx="46">
                  <c:v>43</c:v>
                </c:pt>
                <c:pt idx="47">
                  <c:v>43.5</c:v>
                </c:pt>
                <c:pt idx="48">
                  <c:v>44</c:v>
                </c:pt>
                <c:pt idx="49">
                  <c:v>44.5</c:v>
                </c:pt>
                <c:pt idx="50">
                  <c:v>45</c:v>
                </c:pt>
                <c:pt idx="51">
                  <c:v>45.5</c:v>
                </c:pt>
                <c:pt idx="52">
                  <c:v>46</c:v>
                </c:pt>
                <c:pt idx="53">
                  <c:v>46.5</c:v>
                </c:pt>
                <c:pt idx="54">
                  <c:v>47</c:v>
                </c:pt>
                <c:pt idx="55">
                  <c:v>47.5</c:v>
                </c:pt>
                <c:pt idx="56">
                  <c:v>48</c:v>
                </c:pt>
                <c:pt idx="57">
                  <c:v>48.5</c:v>
                </c:pt>
                <c:pt idx="58">
                  <c:v>49</c:v>
                </c:pt>
                <c:pt idx="59">
                  <c:v>49.5</c:v>
                </c:pt>
                <c:pt idx="60">
                  <c:v>50</c:v>
                </c:pt>
                <c:pt idx="61">
                  <c:v>50.5</c:v>
                </c:pt>
                <c:pt idx="62">
                  <c:v>51</c:v>
                </c:pt>
                <c:pt idx="63">
                  <c:v>51.5</c:v>
                </c:pt>
                <c:pt idx="64">
                  <c:v>52</c:v>
                </c:pt>
                <c:pt idx="65">
                  <c:v>52.5</c:v>
                </c:pt>
                <c:pt idx="66">
                  <c:v>53</c:v>
                </c:pt>
                <c:pt idx="67">
                  <c:v>53.5</c:v>
                </c:pt>
                <c:pt idx="68">
                  <c:v>54</c:v>
                </c:pt>
                <c:pt idx="69">
                  <c:v>54.5</c:v>
                </c:pt>
                <c:pt idx="70">
                  <c:v>55</c:v>
                </c:pt>
              </c:numCache>
            </c:numRef>
          </c:cat>
          <c:val>
            <c:numRef>
              <c:f>'F10.5'!$I$46:$I$116</c:f>
              <c:numCache>
                <c:formatCode>General</c:formatCode>
                <c:ptCount val="7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numCache>
            </c:numRef>
          </c:val>
          <c:smooth val="0"/>
          <c:extLst>
            <c:ext xmlns:c16="http://schemas.microsoft.com/office/drawing/2014/chart" uri="{C3380CC4-5D6E-409C-BE32-E72D297353CC}">
              <c16:uniqueId val="{00000003-29A2-48B0-85D4-D79F6F882BFD}"/>
            </c:ext>
          </c:extLst>
        </c:ser>
        <c:dLbls>
          <c:showLegendKey val="0"/>
          <c:showVal val="0"/>
          <c:showCatName val="0"/>
          <c:showSerName val="0"/>
          <c:showPercent val="0"/>
          <c:showBubbleSize val="0"/>
        </c:dLbls>
        <c:smooth val="0"/>
        <c:axId val="267863936"/>
        <c:axId val="267865472"/>
      </c:lineChart>
      <c:catAx>
        <c:axId val="267863936"/>
        <c:scaling>
          <c:orientation val="minMax"/>
        </c:scaling>
        <c:delete val="0"/>
        <c:axPos val="b"/>
        <c:numFmt formatCode="_(* #,##0_);_(* \(#,##0\);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7865472"/>
        <c:crosses val="autoZero"/>
        <c:auto val="1"/>
        <c:lblAlgn val="ctr"/>
        <c:lblOffset val="100"/>
        <c:tickLblSkip val="10"/>
        <c:noMultiLvlLbl val="0"/>
      </c:catAx>
      <c:valAx>
        <c:axId val="267865472"/>
        <c:scaling>
          <c:orientation val="minMax"/>
          <c:max val="600"/>
          <c:min val="0"/>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Earning Index</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7863936"/>
        <c:crosses val="autoZero"/>
        <c:crossBetween val="between"/>
        <c:majorUnit val="100"/>
      </c:valAx>
      <c:spPr>
        <a:solidFill>
          <a:schemeClr val="bg1">
            <a:lumMod val="85000"/>
          </a:schemeClr>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1">
                <a:solidFill>
                  <a:sysClr val="windowText" lastClr="000000"/>
                </a:solidFill>
                <a:latin typeface="Times New Roman" panose="02020603050405020304" pitchFamily="18" charset="0"/>
                <a:cs typeface="Times New Roman" panose="02020603050405020304" pitchFamily="18" charset="0"/>
              </a:rPr>
              <a:t>Secondary school or more</a:t>
            </a:r>
          </a:p>
        </c:rich>
      </c:tx>
      <c:overlay val="0"/>
      <c:spPr>
        <a:noFill/>
        <a:ln>
          <a:noFill/>
        </a:ln>
        <a:effectLst/>
      </c:spPr>
    </c:title>
    <c:autoTitleDeleted val="0"/>
    <c:plotArea>
      <c:layout>
        <c:manualLayout>
          <c:layoutTarget val="inner"/>
          <c:xMode val="edge"/>
          <c:yMode val="edge"/>
          <c:x val="0.13224486218777873"/>
          <c:y val="0.12946512903907895"/>
          <c:w val="0.82243206009622116"/>
          <c:h val="0.68358502469311067"/>
        </c:manualLayout>
      </c:layout>
      <c:lineChart>
        <c:grouping val="standard"/>
        <c:varyColors val="0"/>
        <c:ser>
          <c:idx val="0"/>
          <c:order val="0"/>
          <c:tx>
            <c:strRef>
              <c:f>'F10.5'!$K$45</c:f>
              <c:strCache>
                <c:ptCount val="1"/>
                <c:pt idx="0">
                  <c:v>Employed-Formal</c:v>
                </c:pt>
              </c:strCache>
            </c:strRef>
          </c:tx>
          <c:spPr>
            <a:ln w="19050" cap="rnd">
              <a:solidFill>
                <a:schemeClr val="tx1"/>
              </a:solidFill>
              <a:round/>
            </a:ln>
            <a:effectLst/>
          </c:spPr>
          <c:marker>
            <c:symbol val="none"/>
          </c:marker>
          <c:cat>
            <c:numRef>
              <c:f>'F10.5'!$E$46:$E$116</c:f>
              <c:numCache>
                <c:formatCode>_(* #,##0_);_(* \(#,##0\);_(* "-"??_);_(@_)</c:formatCode>
                <c:ptCount val="71"/>
                <c:pt idx="0">
                  <c:v>20</c:v>
                </c:pt>
                <c:pt idx="1">
                  <c:v>20.5</c:v>
                </c:pt>
                <c:pt idx="2">
                  <c:v>21</c:v>
                </c:pt>
                <c:pt idx="3">
                  <c:v>21.5</c:v>
                </c:pt>
                <c:pt idx="4">
                  <c:v>22</c:v>
                </c:pt>
                <c:pt idx="5">
                  <c:v>22.5</c:v>
                </c:pt>
                <c:pt idx="6">
                  <c:v>23</c:v>
                </c:pt>
                <c:pt idx="7">
                  <c:v>23.5</c:v>
                </c:pt>
                <c:pt idx="8">
                  <c:v>24</c:v>
                </c:pt>
                <c:pt idx="9">
                  <c:v>24.5</c:v>
                </c:pt>
                <c:pt idx="10">
                  <c:v>25</c:v>
                </c:pt>
                <c:pt idx="11">
                  <c:v>25.5</c:v>
                </c:pt>
                <c:pt idx="12">
                  <c:v>26</c:v>
                </c:pt>
                <c:pt idx="13">
                  <c:v>26.5</c:v>
                </c:pt>
                <c:pt idx="14">
                  <c:v>27</c:v>
                </c:pt>
                <c:pt idx="15">
                  <c:v>27.5</c:v>
                </c:pt>
                <c:pt idx="16">
                  <c:v>28</c:v>
                </c:pt>
                <c:pt idx="17">
                  <c:v>28.5</c:v>
                </c:pt>
                <c:pt idx="18">
                  <c:v>29</c:v>
                </c:pt>
                <c:pt idx="19">
                  <c:v>29.5</c:v>
                </c:pt>
                <c:pt idx="20">
                  <c:v>30</c:v>
                </c:pt>
                <c:pt idx="21">
                  <c:v>30.5</c:v>
                </c:pt>
                <c:pt idx="22">
                  <c:v>31</c:v>
                </c:pt>
                <c:pt idx="23">
                  <c:v>31.5</c:v>
                </c:pt>
                <c:pt idx="24">
                  <c:v>32</c:v>
                </c:pt>
                <c:pt idx="25">
                  <c:v>32.5</c:v>
                </c:pt>
                <c:pt idx="26">
                  <c:v>33</c:v>
                </c:pt>
                <c:pt idx="27">
                  <c:v>33.5</c:v>
                </c:pt>
                <c:pt idx="28">
                  <c:v>34</c:v>
                </c:pt>
                <c:pt idx="29">
                  <c:v>34.5</c:v>
                </c:pt>
                <c:pt idx="30">
                  <c:v>35</c:v>
                </c:pt>
                <c:pt idx="31">
                  <c:v>35.5</c:v>
                </c:pt>
                <c:pt idx="32">
                  <c:v>36</c:v>
                </c:pt>
                <c:pt idx="33">
                  <c:v>36.5</c:v>
                </c:pt>
                <c:pt idx="34">
                  <c:v>37</c:v>
                </c:pt>
                <c:pt idx="35">
                  <c:v>37.5</c:v>
                </c:pt>
                <c:pt idx="36">
                  <c:v>38</c:v>
                </c:pt>
                <c:pt idx="37">
                  <c:v>38.5</c:v>
                </c:pt>
                <c:pt idx="38">
                  <c:v>39</c:v>
                </c:pt>
                <c:pt idx="39">
                  <c:v>39.5</c:v>
                </c:pt>
                <c:pt idx="40">
                  <c:v>40</c:v>
                </c:pt>
                <c:pt idx="41">
                  <c:v>40.5</c:v>
                </c:pt>
                <c:pt idx="42">
                  <c:v>41</c:v>
                </c:pt>
                <c:pt idx="43">
                  <c:v>41.5</c:v>
                </c:pt>
                <c:pt idx="44">
                  <c:v>42</c:v>
                </c:pt>
                <c:pt idx="45">
                  <c:v>42.5</c:v>
                </c:pt>
                <c:pt idx="46">
                  <c:v>43</c:v>
                </c:pt>
                <c:pt idx="47">
                  <c:v>43.5</c:v>
                </c:pt>
                <c:pt idx="48">
                  <c:v>44</c:v>
                </c:pt>
                <c:pt idx="49">
                  <c:v>44.5</c:v>
                </c:pt>
                <c:pt idx="50">
                  <c:v>45</c:v>
                </c:pt>
                <c:pt idx="51">
                  <c:v>45.5</c:v>
                </c:pt>
                <c:pt idx="52">
                  <c:v>46</c:v>
                </c:pt>
                <c:pt idx="53">
                  <c:v>46.5</c:v>
                </c:pt>
                <c:pt idx="54">
                  <c:v>47</c:v>
                </c:pt>
                <c:pt idx="55">
                  <c:v>47.5</c:v>
                </c:pt>
                <c:pt idx="56">
                  <c:v>48</c:v>
                </c:pt>
                <c:pt idx="57">
                  <c:v>48.5</c:v>
                </c:pt>
                <c:pt idx="58">
                  <c:v>49</c:v>
                </c:pt>
                <c:pt idx="59">
                  <c:v>49.5</c:v>
                </c:pt>
                <c:pt idx="60">
                  <c:v>50</c:v>
                </c:pt>
                <c:pt idx="61">
                  <c:v>50.5</c:v>
                </c:pt>
                <c:pt idx="62">
                  <c:v>51</c:v>
                </c:pt>
                <c:pt idx="63">
                  <c:v>51.5</c:v>
                </c:pt>
                <c:pt idx="64">
                  <c:v>52</c:v>
                </c:pt>
                <c:pt idx="65">
                  <c:v>52.5</c:v>
                </c:pt>
                <c:pt idx="66">
                  <c:v>53</c:v>
                </c:pt>
                <c:pt idx="67">
                  <c:v>53.5</c:v>
                </c:pt>
                <c:pt idx="68">
                  <c:v>54</c:v>
                </c:pt>
                <c:pt idx="69">
                  <c:v>54.5</c:v>
                </c:pt>
                <c:pt idx="70">
                  <c:v>55</c:v>
                </c:pt>
              </c:numCache>
            </c:numRef>
          </c:cat>
          <c:val>
            <c:numRef>
              <c:f>'F10.5'!$K$46:$K$116</c:f>
              <c:numCache>
                <c:formatCode>General</c:formatCode>
                <c:ptCount val="7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numCache>
            </c:numRef>
          </c:val>
          <c:smooth val="0"/>
          <c:extLst>
            <c:ext xmlns:c16="http://schemas.microsoft.com/office/drawing/2014/chart" uri="{C3380CC4-5D6E-409C-BE32-E72D297353CC}">
              <c16:uniqueId val="{00000000-6245-4D17-954B-4B1A13F0514E}"/>
            </c:ext>
          </c:extLst>
        </c:ser>
        <c:ser>
          <c:idx val="1"/>
          <c:order val="1"/>
          <c:tx>
            <c:strRef>
              <c:f>'F10.5'!$L$45</c:f>
              <c:strCache>
                <c:ptCount val="1"/>
                <c:pt idx="0">
                  <c:v>Employed-Informal</c:v>
                </c:pt>
              </c:strCache>
            </c:strRef>
          </c:tx>
          <c:spPr>
            <a:ln w="19050" cap="rnd">
              <a:solidFill>
                <a:srgbClr val="EDADCA"/>
              </a:solidFill>
              <a:prstDash val="dash"/>
              <a:round/>
            </a:ln>
            <a:effectLst/>
          </c:spPr>
          <c:marker>
            <c:symbol val="none"/>
          </c:marker>
          <c:cat>
            <c:numRef>
              <c:f>'F10.5'!$E$46:$E$116</c:f>
              <c:numCache>
                <c:formatCode>_(* #,##0_);_(* \(#,##0\);_(* "-"??_);_(@_)</c:formatCode>
                <c:ptCount val="71"/>
                <c:pt idx="0">
                  <c:v>20</c:v>
                </c:pt>
                <c:pt idx="1">
                  <c:v>20.5</c:v>
                </c:pt>
                <c:pt idx="2">
                  <c:v>21</c:v>
                </c:pt>
                <c:pt idx="3">
                  <c:v>21.5</c:v>
                </c:pt>
                <c:pt idx="4">
                  <c:v>22</c:v>
                </c:pt>
                <c:pt idx="5">
                  <c:v>22.5</c:v>
                </c:pt>
                <c:pt idx="6">
                  <c:v>23</c:v>
                </c:pt>
                <c:pt idx="7">
                  <c:v>23.5</c:v>
                </c:pt>
                <c:pt idx="8">
                  <c:v>24</c:v>
                </c:pt>
                <c:pt idx="9">
                  <c:v>24.5</c:v>
                </c:pt>
                <c:pt idx="10">
                  <c:v>25</c:v>
                </c:pt>
                <c:pt idx="11">
                  <c:v>25.5</c:v>
                </c:pt>
                <c:pt idx="12">
                  <c:v>26</c:v>
                </c:pt>
                <c:pt idx="13">
                  <c:v>26.5</c:v>
                </c:pt>
                <c:pt idx="14">
                  <c:v>27</c:v>
                </c:pt>
                <c:pt idx="15">
                  <c:v>27.5</c:v>
                </c:pt>
                <c:pt idx="16">
                  <c:v>28</c:v>
                </c:pt>
                <c:pt idx="17">
                  <c:v>28.5</c:v>
                </c:pt>
                <c:pt idx="18">
                  <c:v>29</c:v>
                </c:pt>
                <c:pt idx="19">
                  <c:v>29.5</c:v>
                </c:pt>
                <c:pt idx="20">
                  <c:v>30</c:v>
                </c:pt>
                <c:pt idx="21">
                  <c:v>30.5</c:v>
                </c:pt>
                <c:pt idx="22">
                  <c:v>31</c:v>
                </c:pt>
                <c:pt idx="23">
                  <c:v>31.5</c:v>
                </c:pt>
                <c:pt idx="24">
                  <c:v>32</c:v>
                </c:pt>
                <c:pt idx="25">
                  <c:v>32.5</c:v>
                </c:pt>
                <c:pt idx="26">
                  <c:v>33</c:v>
                </c:pt>
                <c:pt idx="27">
                  <c:v>33.5</c:v>
                </c:pt>
                <c:pt idx="28">
                  <c:v>34</c:v>
                </c:pt>
                <c:pt idx="29">
                  <c:v>34.5</c:v>
                </c:pt>
                <c:pt idx="30">
                  <c:v>35</c:v>
                </c:pt>
                <c:pt idx="31">
                  <c:v>35.5</c:v>
                </c:pt>
                <c:pt idx="32">
                  <c:v>36</c:v>
                </c:pt>
                <c:pt idx="33">
                  <c:v>36.5</c:v>
                </c:pt>
                <c:pt idx="34">
                  <c:v>37</c:v>
                </c:pt>
                <c:pt idx="35">
                  <c:v>37.5</c:v>
                </c:pt>
                <c:pt idx="36">
                  <c:v>38</c:v>
                </c:pt>
                <c:pt idx="37">
                  <c:v>38.5</c:v>
                </c:pt>
                <c:pt idx="38">
                  <c:v>39</c:v>
                </c:pt>
                <c:pt idx="39">
                  <c:v>39.5</c:v>
                </c:pt>
                <c:pt idx="40">
                  <c:v>40</c:v>
                </c:pt>
                <c:pt idx="41">
                  <c:v>40.5</c:v>
                </c:pt>
                <c:pt idx="42">
                  <c:v>41</c:v>
                </c:pt>
                <c:pt idx="43">
                  <c:v>41.5</c:v>
                </c:pt>
                <c:pt idx="44">
                  <c:v>42</c:v>
                </c:pt>
                <c:pt idx="45">
                  <c:v>42.5</c:v>
                </c:pt>
                <c:pt idx="46">
                  <c:v>43</c:v>
                </c:pt>
                <c:pt idx="47">
                  <c:v>43.5</c:v>
                </c:pt>
                <c:pt idx="48">
                  <c:v>44</c:v>
                </c:pt>
                <c:pt idx="49">
                  <c:v>44.5</c:v>
                </c:pt>
                <c:pt idx="50">
                  <c:v>45</c:v>
                </c:pt>
                <c:pt idx="51">
                  <c:v>45.5</c:v>
                </c:pt>
                <c:pt idx="52">
                  <c:v>46</c:v>
                </c:pt>
                <c:pt idx="53">
                  <c:v>46.5</c:v>
                </c:pt>
                <c:pt idx="54">
                  <c:v>47</c:v>
                </c:pt>
                <c:pt idx="55">
                  <c:v>47.5</c:v>
                </c:pt>
                <c:pt idx="56">
                  <c:v>48</c:v>
                </c:pt>
                <c:pt idx="57">
                  <c:v>48.5</c:v>
                </c:pt>
                <c:pt idx="58">
                  <c:v>49</c:v>
                </c:pt>
                <c:pt idx="59">
                  <c:v>49.5</c:v>
                </c:pt>
                <c:pt idx="60">
                  <c:v>50</c:v>
                </c:pt>
                <c:pt idx="61">
                  <c:v>50.5</c:v>
                </c:pt>
                <c:pt idx="62">
                  <c:v>51</c:v>
                </c:pt>
                <c:pt idx="63">
                  <c:v>51.5</c:v>
                </c:pt>
                <c:pt idx="64">
                  <c:v>52</c:v>
                </c:pt>
                <c:pt idx="65">
                  <c:v>52.5</c:v>
                </c:pt>
                <c:pt idx="66">
                  <c:v>53</c:v>
                </c:pt>
                <c:pt idx="67">
                  <c:v>53.5</c:v>
                </c:pt>
                <c:pt idx="68">
                  <c:v>54</c:v>
                </c:pt>
                <c:pt idx="69">
                  <c:v>54.5</c:v>
                </c:pt>
                <c:pt idx="70">
                  <c:v>55</c:v>
                </c:pt>
              </c:numCache>
            </c:numRef>
          </c:cat>
          <c:val>
            <c:numRef>
              <c:f>'F10.5'!$L$46:$L$116</c:f>
              <c:numCache>
                <c:formatCode>General</c:formatCode>
                <c:ptCount val="7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numCache>
            </c:numRef>
          </c:val>
          <c:smooth val="0"/>
          <c:extLst>
            <c:ext xmlns:c16="http://schemas.microsoft.com/office/drawing/2014/chart" uri="{C3380CC4-5D6E-409C-BE32-E72D297353CC}">
              <c16:uniqueId val="{00000001-6245-4D17-954B-4B1A13F0514E}"/>
            </c:ext>
          </c:extLst>
        </c:ser>
        <c:ser>
          <c:idx val="2"/>
          <c:order val="2"/>
          <c:tx>
            <c:strRef>
              <c:f>'F10.5'!$M$45</c:f>
              <c:strCache>
                <c:ptCount val="1"/>
                <c:pt idx="0">
                  <c:v>Selfemployed</c:v>
                </c:pt>
              </c:strCache>
            </c:strRef>
          </c:tx>
          <c:spPr>
            <a:ln w="19050" cap="rnd">
              <a:solidFill>
                <a:schemeClr val="accent4">
                  <a:lumMod val="75000"/>
                </a:schemeClr>
              </a:solidFill>
              <a:prstDash val="lgDash"/>
              <a:round/>
            </a:ln>
            <a:effectLst/>
          </c:spPr>
          <c:marker>
            <c:symbol val="none"/>
          </c:marker>
          <c:cat>
            <c:numRef>
              <c:f>'F10.5'!$E$46:$E$116</c:f>
              <c:numCache>
                <c:formatCode>_(* #,##0_);_(* \(#,##0\);_(* "-"??_);_(@_)</c:formatCode>
                <c:ptCount val="71"/>
                <c:pt idx="0">
                  <c:v>20</c:v>
                </c:pt>
                <c:pt idx="1">
                  <c:v>20.5</c:v>
                </c:pt>
                <c:pt idx="2">
                  <c:v>21</c:v>
                </c:pt>
                <c:pt idx="3">
                  <c:v>21.5</c:v>
                </c:pt>
                <c:pt idx="4">
                  <c:v>22</c:v>
                </c:pt>
                <c:pt idx="5">
                  <c:v>22.5</c:v>
                </c:pt>
                <c:pt idx="6">
                  <c:v>23</c:v>
                </c:pt>
                <c:pt idx="7">
                  <c:v>23.5</c:v>
                </c:pt>
                <c:pt idx="8">
                  <c:v>24</c:v>
                </c:pt>
                <c:pt idx="9">
                  <c:v>24.5</c:v>
                </c:pt>
                <c:pt idx="10">
                  <c:v>25</c:v>
                </c:pt>
                <c:pt idx="11">
                  <c:v>25.5</c:v>
                </c:pt>
                <c:pt idx="12">
                  <c:v>26</c:v>
                </c:pt>
                <c:pt idx="13">
                  <c:v>26.5</c:v>
                </c:pt>
                <c:pt idx="14">
                  <c:v>27</c:v>
                </c:pt>
                <c:pt idx="15">
                  <c:v>27.5</c:v>
                </c:pt>
                <c:pt idx="16">
                  <c:v>28</c:v>
                </c:pt>
                <c:pt idx="17">
                  <c:v>28.5</c:v>
                </c:pt>
                <c:pt idx="18">
                  <c:v>29</c:v>
                </c:pt>
                <c:pt idx="19">
                  <c:v>29.5</c:v>
                </c:pt>
                <c:pt idx="20">
                  <c:v>30</c:v>
                </c:pt>
                <c:pt idx="21">
                  <c:v>30.5</c:v>
                </c:pt>
                <c:pt idx="22">
                  <c:v>31</c:v>
                </c:pt>
                <c:pt idx="23">
                  <c:v>31.5</c:v>
                </c:pt>
                <c:pt idx="24">
                  <c:v>32</c:v>
                </c:pt>
                <c:pt idx="25">
                  <c:v>32.5</c:v>
                </c:pt>
                <c:pt idx="26">
                  <c:v>33</c:v>
                </c:pt>
                <c:pt idx="27">
                  <c:v>33.5</c:v>
                </c:pt>
                <c:pt idx="28">
                  <c:v>34</c:v>
                </c:pt>
                <c:pt idx="29">
                  <c:v>34.5</c:v>
                </c:pt>
                <c:pt idx="30">
                  <c:v>35</c:v>
                </c:pt>
                <c:pt idx="31">
                  <c:v>35.5</c:v>
                </c:pt>
                <c:pt idx="32">
                  <c:v>36</c:v>
                </c:pt>
                <c:pt idx="33">
                  <c:v>36.5</c:v>
                </c:pt>
                <c:pt idx="34">
                  <c:v>37</c:v>
                </c:pt>
                <c:pt idx="35">
                  <c:v>37.5</c:v>
                </c:pt>
                <c:pt idx="36">
                  <c:v>38</c:v>
                </c:pt>
                <c:pt idx="37">
                  <c:v>38.5</c:v>
                </c:pt>
                <c:pt idx="38">
                  <c:v>39</c:v>
                </c:pt>
                <c:pt idx="39">
                  <c:v>39.5</c:v>
                </c:pt>
                <c:pt idx="40">
                  <c:v>40</c:v>
                </c:pt>
                <c:pt idx="41">
                  <c:v>40.5</c:v>
                </c:pt>
                <c:pt idx="42">
                  <c:v>41</c:v>
                </c:pt>
                <c:pt idx="43">
                  <c:v>41.5</c:v>
                </c:pt>
                <c:pt idx="44">
                  <c:v>42</c:v>
                </c:pt>
                <c:pt idx="45">
                  <c:v>42.5</c:v>
                </c:pt>
                <c:pt idx="46">
                  <c:v>43</c:v>
                </c:pt>
                <c:pt idx="47">
                  <c:v>43.5</c:v>
                </c:pt>
                <c:pt idx="48">
                  <c:v>44</c:v>
                </c:pt>
                <c:pt idx="49">
                  <c:v>44.5</c:v>
                </c:pt>
                <c:pt idx="50">
                  <c:v>45</c:v>
                </c:pt>
                <c:pt idx="51">
                  <c:v>45.5</c:v>
                </c:pt>
                <c:pt idx="52">
                  <c:v>46</c:v>
                </c:pt>
                <c:pt idx="53">
                  <c:v>46.5</c:v>
                </c:pt>
                <c:pt idx="54">
                  <c:v>47</c:v>
                </c:pt>
                <c:pt idx="55">
                  <c:v>47.5</c:v>
                </c:pt>
                <c:pt idx="56">
                  <c:v>48</c:v>
                </c:pt>
                <c:pt idx="57">
                  <c:v>48.5</c:v>
                </c:pt>
                <c:pt idx="58">
                  <c:v>49</c:v>
                </c:pt>
                <c:pt idx="59">
                  <c:v>49.5</c:v>
                </c:pt>
                <c:pt idx="60">
                  <c:v>50</c:v>
                </c:pt>
                <c:pt idx="61">
                  <c:v>50.5</c:v>
                </c:pt>
                <c:pt idx="62">
                  <c:v>51</c:v>
                </c:pt>
                <c:pt idx="63">
                  <c:v>51.5</c:v>
                </c:pt>
                <c:pt idx="64">
                  <c:v>52</c:v>
                </c:pt>
                <c:pt idx="65">
                  <c:v>52.5</c:v>
                </c:pt>
                <c:pt idx="66">
                  <c:v>53</c:v>
                </c:pt>
                <c:pt idx="67">
                  <c:v>53.5</c:v>
                </c:pt>
                <c:pt idx="68">
                  <c:v>54</c:v>
                </c:pt>
                <c:pt idx="69">
                  <c:v>54.5</c:v>
                </c:pt>
                <c:pt idx="70">
                  <c:v>55</c:v>
                </c:pt>
              </c:numCache>
            </c:numRef>
          </c:cat>
          <c:val>
            <c:numRef>
              <c:f>'F10.5'!$M$46:$M$116</c:f>
              <c:numCache>
                <c:formatCode>General</c:formatCode>
                <c:ptCount val="7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numCache>
            </c:numRef>
          </c:val>
          <c:smooth val="0"/>
          <c:extLst>
            <c:ext xmlns:c16="http://schemas.microsoft.com/office/drawing/2014/chart" uri="{C3380CC4-5D6E-409C-BE32-E72D297353CC}">
              <c16:uniqueId val="{00000002-6245-4D17-954B-4B1A13F0514E}"/>
            </c:ext>
          </c:extLst>
        </c:ser>
        <c:ser>
          <c:idx val="3"/>
          <c:order val="3"/>
          <c:tx>
            <c:strRef>
              <c:f>'F10.5'!$N$45</c:f>
              <c:strCache>
                <c:ptCount val="1"/>
                <c:pt idx="0">
                  <c:v>Employer</c:v>
                </c:pt>
              </c:strCache>
            </c:strRef>
          </c:tx>
          <c:spPr>
            <a:ln w="31750" cap="rnd">
              <a:solidFill>
                <a:schemeClr val="accent1"/>
              </a:solidFill>
              <a:prstDash val="sysDot"/>
              <a:round/>
            </a:ln>
            <a:effectLst/>
          </c:spPr>
          <c:marker>
            <c:symbol val="none"/>
          </c:marker>
          <c:cat>
            <c:numRef>
              <c:f>'F10.5'!$E$46:$E$116</c:f>
              <c:numCache>
                <c:formatCode>_(* #,##0_);_(* \(#,##0\);_(* "-"??_);_(@_)</c:formatCode>
                <c:ptCount val="71"/>
                <c:pt idx="0">
                  <c:v>20</c:v>
                </c:pt>
                <c:pt idx="1">
                  <c:v>20.5</c:v>
                </c:pt>
                <c:pt idx="2">
                  <c:v>21</c:v>
                </c:pt>
                <c:pt idx="3">
                  <c:v>21.5</c:v>
                </c:pt>
                <c:pt idx="4">
                  <c:v>22</c:v>
                </c:pt>
                <c:pt idx="5">
                  <c:v>22.5</c:v>
                </c:pt>
                <c:pt idx="6">
                  <c:v>23</c:v>
                </c:pt>
                <c:pt idx="7">
                  <c:v>23.5</c:v>
                </c:pt>
                <c:pt idx="8">
                  <c:v>24</c:v>
                </c:pt>
                <c:pt idx="9">
                  <c:v>24.5</c:v>
                </c:pt>
                <c:pt idx="10">
                  <c:v>25</c:v>
                </c:pt>
                <c:pt idx="11">
                  <c:v>25.5</c:v>
                </c:pt>
                <c:pt idx="12">
                  <c:v>26</c:v>
                </c:pt>
                <c:pt idx="13">
                  <c:v>26.5</c:v>
                </c:pt>
                <c:pt idx="14">
                  <c:v>27</c:v>
                </c:pt>
                <c:pt idx="15">
                  <c:v>27.5</c:v>
                </c:pt>
                <c:pt idx="16">
                  <c:v>28</c:v>
                </c:pt>
                <c:pt idx="17">
                  <c:v>28.5</c:v>
                </c:pt>
                <c:pt idx="18">
                  <c:v>29</c:v>
                </c:pt>
                <c:pt idx="19">
                  <c:v>29.5</c:v>
                </c:pt>
                <c:pt idx="20">
                  <c:v>30</c:v>
                </c:pt>
                <c:pt idx="21">
                  <c:v>30.5</c:v>
                </c:pt>
                <c:pt idx="22">
                  <c:v>31</c:v>
                </c:pt>
                <c:pt idx="23">
                  <c:v>31.5</c:v>
                </c:pt>
                <c:pt idx="24">
                  <c:v>32</c:v>
                </c:pt>
                <c:pt idx="25">
                  <c:v>32.5</c:v>
                </c:pt>
                <c:pt idx="26">
                  <c:v>33</c:v>
                </c:pt>
                <c:pt idx="27">
                  <c:v>33.5</c:v>
                </c:pt>
                <c:pt idx="28">
                  <c:v>34</c:v>
                </c:pt>
                <c:pt idx="29">
                  <c:v>34.5</c:v>
                </c:pt>
                <c:pt idx="30">
                  <c:v>35</c:v>
                </c:pt>
                <c:pt idx="31">
                  <c:v>35.5</c:v>
                </c:pt>
                <c:pt idx="32">
                  <c:v>36</c:v>
                </c:pt>
                <c:pt idx="33">
                  <c:v>36.5</c:v>
                </c:pt>
                <c:pt idx="34">
                  <c:v>37</c:v>
                </c:pt>
                <c:pt idx="35">
                  <c:v>37.5</c:v>
                </c:pt>
                <c:pt idx="36">
                  <c:v>38</c:v>
                </c:pt>
                <c:pt idx="37">
                  <c:v>38.5</c:v>
                </c:pt>
                <c:pt idx="38">
                  <c:v>39</c:v>
                </c:pt>
                <c:pt idx="39">
                  <c:v>39.5</c:v>
                </c:pt>
                <c:pt idx="40">
                  <c:v>40</c:v>
                </c:pt>
                <c:pt idx="41">
                  <c:v>40.5</c:v>
                </c:pt>
                <c:pt idx="42">
                  <c:v>41</c:v>
                </c:pt>
                <c:pt idx="43">
                  <c:v>41.5</c:v>
                </c:pt>
                <c:pt idx="44">
                  <c:v>42</c:v>
                </c:pt>
                <c:pt idx="45">
                  <c:v>42.5</c:v>
                </c:pt>
                <c:pt idx="46">
                  <c:v>43</c:v>
                </c:pt>
                <c:pt idx="47">
                  <c:v>43.5</c:v>
                </c:pt>
                <c:pt idx="48">
                  <c:v>44</c:v>
                </c:pt>
                <c:pt idx="49">
                  <c:v>44.5</c:v>
                </c:pt>
                <c:pt idx="50">
                  <c:v>45</c:v>
                </c:pt>
                <c:pt idx="51">
                  <c:v>45.5</c:v>
                </c:pt>
                <c:pt idx="52">
                  <c:v>46</c:v>
                </c:pt>
                <c:pt idx="53">
                  <c:v>46.5</c:v>
                </c:pt>
                <c:pt idx="54">
                  <c:v>47</c:v>
                </c:pt>
                <c:pt idx="55">
                  <c:v>47.5</c:v>
                </c:pt>
                <c:pt idx="56">
                  <c:v>48</c:v>
                </c:pt>
                <c:pt idx="57">
                  <c:v>48.5</c:v>
                </c:pt>
                <c:pt idx="58">
                  <c:v>49</c:v>
                </c:pt>
                <c:pt idx="59">
                  <c:v>49.5</c:v>
                </c:pt>
                <c:pt idx="60">
                  <c:v>50</c:v>
                </c:pt>
                <c:pt idx="61">
                  <c:v>50.5</c:v>
                </c:pt>
                <c:pt idx="62">
                  <c:v>51</c:v>
                </c:pt>
                <c:pt idx="63">
                  <c:v>51.5</c:v>
                </c:pt>
                <c:pt idx="64">
                  <c:v>52</c:v>
                </c:pt>
                <c:pt idx="65">
                  <c:v>52.5</c:v>
                </c:pt>
                <c:pt idx="66">
                  <c:v>53</c:v>
                </c:pt>
                <c:pt idx="67">
                  <c:v>53.5</c:v>
                </c:pt>
                <c:pt idx="68">
                  <c:v>54</c:v>
                </c:pt>
                <c:pt idx="69">
                  <c:v>54.5</c:v>
                </c:pt>
                <c:pt idx="70">
                  <c:v>55</c:v>
                </c:pt>
              </c:numCache>
            </c:numRef>
          </c:cat>
          <c:val>
            <c:numRef>
              <c:f>'F10.5'!$N$46:$N$116</c:f>
              <c:numCache>
                <c:formatCode>General</c:formatCode>
                <c:ptCount val="7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numCache>
            </c:numRef>
          </c:val>
          <c:smooth val="0"/>
          <c:extLst>
            <c:ext xmlns:c16="http://schemas.microsoft.com/office/drawing/2014/chart" uri="{C3380CC4-5D6E-409C-BE32-E72D297353CC}">
              <c16:uniqueId val="{00000003-6245-4D17-954B-4B1A13F0514E}"/>
            </c:ext>
          </c:extLst>
        </c:ser>
        <c:dLbls>
          <c:showLegendKey val="0"/>
          <c:showVal val="0"/>
          <c:showCatName val="0"/>
          <c:showSerName val="0"/>
          <c:showPercent val="0"/>
          <c:showBubbleSize val="0"/>
        </c:dLbls>
        <c:smooth val="0"/>
        <c:axId val="267906432"/>
        <c:axId val="269157888"/>
      </c:lineChart>
      <c:catAx>
        <c:axId val="267906432"/>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sz="1100" b="1">
                    <a:latin typeface="Times New Roman" panose="02020603050405020304" pitchFamily="18" charset="0"/>
                    <a:cs typeface="Times New Roman" panose="02020603050405020304" pitchFamily="18" charset="0"/>
                  </a:rPr>
                  <a:t>Age</a:t>
                </a:r>
              </a:p>
            </c:rich>
          </c:tx>
          <c:overlay val="0"/>
          <c:spPr>
            <a:noFill/>
            <a:ln>
              <a:noFill/>
            </a:ln>
            <a:effectLst/>
          </c:spPr>
        </c:title>
        <c:numFmt formatCode="_(* #,##0_);_(* \(#,##0\);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9157888"/>
        <c:crosses val="autoZero"/>
        <c:auto val="1"/>
        <c:lblAlgn val="ctr"/>
        <c:lblOffset val="100"/>
        <c:tickLblSkip val="10"/>
        <c:noMultiLvlLbl val="0"/>
      </c:catAx>
      <c:valAx>
        <c:axId val="269157888"/>
        <c:scaling>
          <c:orientation val="minMax"/>
          <c:max val="600"/>
          <c:min val="0"/>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Earning Index</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7906432"/>
        <c:crosses val="autoZero"/>
        <c:crossBetween val="between"/>
        <c:majorUnit val="100"/>
      </c:valAx>
      <c:spPr>
        <a:solidFill>
          <a:schemeClr val="bg1">
            <a:lumMod val="85000"/>
          </a:schemeClr>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1">
                <a:solidFill>
                  <a:sysClr val="windowText" lastClr="000000"/>
                </a:solidFill>
                <a:latin typeface="Times New Roman" panose="02020603050405020304" pitchFamily="18" charset="0"/>
                <a:cs typeface="Times New Roman" panose="02020603050405020304" pitchFamily="18" charset="0"/>
              </a:rPr>
              <a:t>B. Women</a:t>
            </a:r>
          </a:p>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1">
                <a:solidFill>
                  <a:sysClr val="windowText" lastClr="000000"/>
                </a:solidFill>
                <a:latin typeface="Times New Roman" panose="02020603050405020304" pitchFamily="18" charset="0"/>
                <a:cs typeface="Times New Roman" panose="02020603050405020304" pitchFamily="18" charset="0"/>
              </a:rPr>
              <a:t>Less than secondary school</a:t>
            </a:r>
          </a:p>
        </c:rich>
      </c:tx>
      <c:overlay val="0"/>
      <c:spPr>
        <a:noFill/>
        <a:ln>
          <a:noFill/>
        </a:ln>
        <a:effectLst/>
      </c:spPr>
    </c:title>
    <c:autoTitleDeleted val="0"/>
    <c:plotArea>
      <c:layout>
        <c:manualLayout>
          <c:layoutTarget val="inner"/>
          <c:xMode val="edge"/>
          <c:yMode val="edge"/>
          <c:x val="0.13759110520248122"/>
          <c:y val="0.18535991628489051"/>
          <c:w val="0.81048730599473828"/>
          <c:h val="0.71658007315164063"/>
        </c:manualLayout>
      </c:layout>
      <c:lineChart>
        <c:grouping val="standard"/>
        <c:varyColors val="0"/>
        <c:ser>
          <c:idx val="0"/>
          <c:order val="0"/>
          <c:tx>
            <c:strRef>
              <c:f>'F10.5'!$Q$45</c:f>
              <c:strCache>
                <c:ptCount val="1"/>
                <c:pt idx="0">
                  <c:v>Employed-Formal</c:v>
                </c:pt>
              </c:strCache>
            </c:strRef>
          </c:tx>
          <c:spPr>
            <a:ln w="19050" cap="rnd">
              <a:solidFill>
                <a:schemeClr val="tx1"/>
              </a:solidFill>
              <a:round/>
            </a:ln>
            <a:effectLst/>
          </c:spPr>
          <c:marker>
            <c:symbol val="none"/>
          </c:marker>
          <c:cat>
            <c:numRef>
              <c:f>'F10.5'!$E$46:$E$116</c:f>
              <c:numCache>
                <c:formatCode>_(* #,##0_);_(* \(#,##0\);_(* "-"??_);_(@_)</c:formatCode>
                <c:ptCount val="71"/>
                <c:pt idx="0">
                  <c:v>20</c:v>
                </c:pt>
                <c:pt idx="1">
                  <c:v>20.5</c:v>
                </c:pt>
                <c:pt idx="2">
                  <c:v>21</c:v>
                </c:pt>
                <c:pt idx="3">
                  <c:v>21.5</c:v>
                </c:pt>
                <c:pt idx="4">
                  <c:v>22</c:v>
                </c:pt>
                <c:pt idx="5">
                  <c:v>22.5</c:v>
                </c:pt>
                <c:pt idx="6">
                  <c:v>23</c:v>
                </c:pt>
                <c:pt idx="7">
                  <c:v>23.5</c:v>
                </c:pt>
                <c:pt idx="8">
                  <c:v>24</c:v>
                </c:pt>
                <c:pt idx="9">
                  <c:v>24.5</c:v>
                </c:pt>
                <c:pt idx="10">
                  <c:v>25</c:v>
                </c:pt>
                <c:pt idx="11">
                  <c:v>25.5</c:v>
                </c:pt>
                <c:pt idx="12">
                  <c:v>26</c:v>
                </c:pt>
                <c:pt idx="13">
                  <c:v>26.5</c:v>
                </c:pt>
                <c:pt idx="14">
                  <c:v>27</c:v>
                </c:pt>
                <c:pt idx="15">
                  <c:v>27.5</c:v>
                </c:pt>
                <c:pt idx="16">
                  <c:v>28</c:v>
                </c:pt>
                <c:pt idx="17">
                  <c:v>28.5</c:v>
                </c:pt>
                <c:pt idx="18">
                  <c:v>29</c:v>
                </c:pt>
                <c:pt idx="19">
                  <c:v>29.5</c:v>
                </c:pt>
                <c:pt idx="20">
                  <c:v>30</c:v>
                </c:pt>
                <c:pt idx="21">
                  <c:v>30.5</c:v>
                </c:pt>
                <c:pt idx="22">
                  <c:v>31</c:v>
                </c:pt>
                <c:pt idx="23">
                  <c:v>31.5</c:v>
                </c:pt>
                <c:pt idx="24">
                  <c:v>32</c:v>
                </c:pt>
                <c:pt idx="25">
                  <c:v>32.5</c:v>
                </c:pt>
                <c:pt idx="26">
                  <c:v>33</c:v>
                </c:pt>
                <c:pt idx="27">
                  <c:v>33.5</c:v>
                </c:pt>
                <c:pt idx="28">
                  <c:v>34</c:v>
                </c:pt>
                <c:pt idx="29">
                  <c:v>34.5</c:v>
                </c:pt>
                <c:pt idx="30">
                  <c:v>35</c:v>
                </c:pt>
                <c:pt idx="31">
                  <c:v>35.5</c:v>
                </c:pt>
                <c:pt idx="32">
                  <c:v>36</c:v>
                </c:pt>
                <c:pt idx="33">
                  <c:v>36.5</c:v>
                </c:pt>
                <c:pt idx="34">
                  <c:v>37</c:v>
                </c:pt>
                <c:pt idx="35">
                  <c:v>37.5</c:v>
                </c:pt>
                <c:pt idx="36">
                  <c:v>38</c:v>
                </c:pt>
                <c:pt idx="37">
                  <c:v>38.5</c:v>
                </c:pt>
                <c:pt idx="38">
                  <c:v>39</c:v>
                </c:pt>
                <c:pt idx="39">
                  <c:v>39.5</c:v>
                </c:pt>
                <c:pt idx="40">
                  <c:v>40</c:v>
                </c:pt>
                <c:pt idx="41">
                  <c:v>40.5</c:v>
                </c:pt>
                <c:pt idx="42">
                  <c:v>41</c:v>
                </c:pt>
                <c:pt idx="43">
                  <c:v>41.5</c:v>
                </c:pt>
                <c:pt idx="44">
                  <c:v>42</c:v>
                </c:pt>
                <c:pt idx="45">
                  <c:v>42.5</c:v>
                </c:pt>
                <c:pt idx="46">
                  <c:v>43</c:v>
                </c:pt>
                <c:pt idx="47">
                  <c:v>43.5</c:v>
                </c:pt>
                <c:pt idx="48">
                  <c:v>44</c:v>
                </c:pt>
                <c:pt idx="49">
                  <c:v>44.5</c:v>
                </c:pt>
                <c:pt idx="50">
                  <c:v>45</c:v>
                </c:pt>
                <c:pt idx="51">
                  <c:v>45.5</c:v>
                </c:pt>
                <c:pt idx="52">
                  <c:v>46</c:v>
                </c:pt>
                <c:pt idx="53">
                  <c:v>46.5</c:v>
                </c:pt>
                <c:pt idx="54">
                  <c:v>47</c:v>
                </c:pt>
                <c:pt idx="55">
                  <c:v>47.5</c:v>
                </c:pt>
                <c:pt idx="56">
                  <c:v>48</c:v>
                </c:pt>
                <c:pt idx="57">
                  <c:v>48.5</c:v>
                </c:pt>
                <c:pt idx="58">
                  <c:v>49</c:v>
                </c:pt>
                <c:pt idx="59">
                  <c:v>49.5</c:v>
                </c:pt>
                <c:pt idx="60">
                  <c:v>50</c:v>
                </c:pt>
                <c:pt idx="61">
                  <c:v>50.5</c:v>
                </c:pt>
                <c:pt idx="62">
                  <c:v>51</c:v>
                </c:pt>
                <c:pt idx="63">
                  <c:v>51.5</c:v>
                </c:pt>
                <c:pt idx="64">
                  <c:v>52</c:v>
                </c:pt>
                <c:pt idx="65">
                  <c:v>52.5</c:v>
                </c:pt>
                <c:pt idx="66">
                  <c:v>53</c:v>
                </c:pt>
                <c:pt idx="67">
                  <c:v>53.5</c:v>
                </c:pt>
                <c:pt idx="68">
                  <c:v>54</c:v>
                </c:pt>
                <c:pt idx="69">
                  <c:v>54.5</c:v>
                </c:pt>
                <c:pt idx="70">
                  <c:v>55</c:v>
                </c:pt>
              </c:numCache>
            </c:numRef>
          </c:cat>
          <c:val>
            <c:numRef>
              <c:f>'F10.5'!$Q$46:$Q$116</c:f>
              <c:numCache>
                <c:formatCode>General</c:formatCode>
                <c:ptCount val="7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numCache>
            </c:numRef>
          </c:val>
          <c:smooth val="0"/>
          <c:extLst>
            <c:ext xmlns:c16="http://schemas.microsoft.com/office/drawing/2014/chart" uri="{C3380CC4-5D6E-409C-BE32-E72D297353CC}">
              <c16:uniqueId val="{00000000-CBC3-4E9F-921D-6AB15BBFF696}"/>
            </c:ext>
          </c:extLst>
        </c:ser>
        <c:ser>
          <c:idx val="1"/>
          <c:order val="1"/>
          <c:tx>
            <c:strRef>
              <c:f>'F10.5'!$R$45</c:f>
              <c:strCache>
                <c:ptCount val="1"/>
                <c:pt idx="0">
                  <c:v>Employed-Informal</c:v>
                </c:pt>
              </c:strCache>
            </c:strRef>
          </c:tx>
          <c:spPr>
            <a:ln w="19050" cap="rnd">
              <a:solidFill>
                <a:srgbClr val="EDADCA"/>
              </a:solidFill>
              <a:prstDash val="dash"/>
              <a:round/>
            </a:ln>
            <a:effectLst/>
          </c:spPr>
          <c:marker>
            <c:symbol val="none"/>
          </c:marker>
          <c:cat>
            <c:numRef>
              <c:f>'F10.5'!$E$46:$E$116</c:f>
              <c:numCache>
                <c:formatCode>_(* #,##0_);_(* \(#,##0\);_(* "-"??_);_(@_)</c:formatCode>
                <c:ptCount val="71"/>
                <c:pt idx="0">
                  <c:v>20</c:v>
                </c:pt>
                <c:pt idx="1">
                  <c:v>20.5</c:v>
                </c:pt>
                <c:pt idx="2">
                  <c:v>21</c:v>
                </c:pt>
                <c:pt idx="3">
                  <c:v>21.5</c:v>
                </c:pt>
                <c:pt idx="4">
                  <c:v>22</c:v>
                </c:pt>
                <c:pt idx="5">
                  <c:v>22.5</c:v>
                </c:pt>
                <c:pt idx="6">
                  <c:v>23</c:v>
                </c:pt>
                <c:pt idx="7">
                  <c:v>23.5</c:v>
                </c:pt>
                <c:pt idx="8">
                  <c:v>24</c:v>
                </c:pt>
                <c:pt idx="9">
                  <c:v>24.5</c:v>
                </c:pt>
                <c:pt idx="10">
                  <c:v>25</c:v>
                </c:pt>
                <c:pt idx="11">
                  <c:v>25.5</c:v>
                </c:pt>
                <c:pt idx="12">
                  <c:v>26</c:v>
                </c:pt>
                <c:pt idx="13">
                  <c:v>26.5</c:v>
                </c:pt>
                <c:pt idx="14">
                  <c:v>27</c:v>
                </c:pt>
                <c:pt idx="15">
                  <c:v>27.5</c:v>
                </c:pt>
                <c:pt idx="16">
                  <c:v>28</c:v>
                </c:pt>
                <c:pt idx="17">
                  <c:v>28.5</c:v>
                </c:pt>
                <c:pt idx="18">
                  <c:v>29</c:v>
                </c:pt>
                <c:pt idx="19">
                  <c:v>29.5</c:v>
                </c:pt>
                <c:pt idx="20">
                  <c:v>30</c:v>
                </c:pt>
                <c:pt idx="21">
                  <c:v>30.5</c:v>
                </c:pt>
                <c:pt idx="22">
                  <c:v>31</c:v>
                </c:pt>
                <c:pt idx="23">
                  <c:v>31.5</c:v>
                </c:pt>
                <c:pt idx="24">
                  <c:v>32</c:v>
                </c:pt>
                <c:pt idx="25">
                  <c:v>32.5</c:v>
                </c:pt>
                <c:pt idx="26">
                  <c:v>33</c:v>
                </c:pt>
                <c:pt idx="27">
                  <c:v>33.5</c:v>
                </c:pt>
                <c:pt idx="28">
                  <c:v>34</c:v>
                </c:pt>
                <c:pt idx="29">
                  <c:v>34.5</c:v>
                </c:pt>
                <c:pt idx="30">
                  <c:v>35</c:v>
                </c:pt>
                <c:pt idx="31">
                  <c:v>35.5</c:v>
                </c:pt>
                <c:pt idx="32">
                  <c:v>36</c:v>
                </c:pt>
                <c:pt idx="33">
                  <c:v>36.5</c:v>
                </c:pt>
                <c:pt idx="34">
                  <c:v>37</c:v>
                </c:pt>
                <c:pt idx="35">
                  <c:v>37.5</c:v>
                </c:pt>
                <c:pt idx="36">
                  <c:v>38</c:v>
                </c:pt>
                <c:pt idx="37">
                  <c:v>38.5</c:v>
                </c:pt>
                <c:pt idx="38">
                  <c:v>39</c:v>
                </c:pt>
                <c:pt idx="39">
                  <c:v>39.5</c:v>
                </c:pt>
                <c:pt idx="40">
                  <c:v>40</c:v>
                </c:pt>
                <c:pt idx="41">
                  <c:v>40.5</c:v>
                </c:pt>
                <c:pt idx="42">
                  <c:v>41</c:v>
                </c:pt>
                <c:pt idx="43">
                  <c:v>41.5</c:v>
                </c:pt>
                <c:pt idx="44">
                  <c:v>42</c:v>
                </c:pt>
                <c:pt idx="45">
                  <c:v>42.5</c:v>
                </c:pt>
                <c:pt idx="46">
                  <c:v>43</c:v>
                </c:pt>
                <c:pt idx="47">
                  <c:v>43.5</c:v>
                </c:pt>
                <c:pt idx="48">
                  <c:v>44</c:v>
                </c:pt>
                <c:pt idx="49">
                  <c:v>44.5</c:v>
                </c:pt>
                <c:pt idx="50">
                  <c:v>45</c:v>
                </c:pt>
                <c:pt idx="51">
                  <c:v>45.5</c:v>
                </c:pt>
                <c:pt idx="52">
                  <c:v>46</c:v>
                </c:pt>
                <c:pt idx="53">
                  <c:v>46.5</c:v>
                </c:pt>
                <c:pt idx="54">
                  <c:v>47</c:v>
                </c:pt>
                <c:pt idx="55">
                  <c:v>47.5</c:v>
                </c:pt>
                <c:pt idx="56">
                  <c:v>48</c:v>
                </c:pt>
                <c:pt idx="57">
                  <c:v>48.5</c:v>
                </c:pt>
                <c:pt idx="58">
                  <c:v>49</c:v>
                </c:pt>
                <c:pt idx="59">
                  <c:v>49.5</c:v>
                </c:pt>
                <c:pt idx="60">
                  <c:v>50</c:v>
                </c:pt>
                <c:pt idx="61">
                  <c:v>50.5</c:v>
                </c:pt>
                <c:pt idx="62">
                  <c:v>51</c:v>
                </c:pt>
                <c:pt idx="63">
                  <c:v>51.5</c:v>
                </c:pt>
                <c:pt idx="64">
                  <c:v>52</c:v>
                </c:pt>
                <c:pt idx="65">
                  <c:v>52.5</c:v>
                </c:pt>
                <c:pt idx="66">
                  <c:v>53</c:v>
                </c:pt>
                <c:pt idx="67">
                  <c:v>53.5</c:v>
                </c:pt>
                <c:pt idx="68">
                  <c:v>54</c:v>
                </c:pt>
                <c:pt idx="69">
                  <c:v>54.5</c:v>
                </c:pt>
                <c:pt idx="70">
                  <c:v>55</c:v>
                </c:pt>
              </c:numCache>
            </c:numRef>
          </c:cat>
          <c:val>
            <c:numRef>
              <c:f>'F10.5'!$R$46:$R$116</c:f>
              <c:numCache>
                <c:formatCode>General</c:formatCode>
                <c:ptCount val="7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numCache>
            </c:numRef>
          </c:val>
          <c:smooth val="0"/>
          <c:extLst>
            <c:ext xmlns:c16="http://schemas.microsoft.com/office/drawing/2014/chart" uri="{C3380CC4-5D6E-409C-BE32-E72D297353CC}">
              <c16:uniqueId val="{00000001-CBC3-4E9F-921D-6AB15BBFF696}"/>
            </c:ext>
          </c:extLst>
        </c:ser>
        <c:ser>
          <c:idx val="2"/>
          <c:order val="2"/>
          <c:tx>
            <c:strRef>
              <c:f>'F10.5'!$S$45</c:f>
              <c:strCache>
                <c:ptCount val="1"/>
                <c:pt idx="0">
                  <c:v>Selfemployed</c:v>
                </c:pt>
              </c:strCache>
            </c:strRef>
          </c:tx>
          <c:spPr>
            <a:ln w="19050" cap="rnd">
              <a:solidFill>
                <a:schemeClr val="accent4">
                  <a:lumMod val="75000"/>
                </a:schemeClr>
              </a:solidFill>
              <a:prstDash val="lgDash"/>
              <a:round/>
            </a:ln>
            <a:effectLst/>
          </c:spPr>
          <c:marker>
            <c:symbol val="none"/>
          </c:marker>
          <c:cat>
            <c:numRef>
              <c:f>'F10.5'!$E$46:$E$116</c:f>
              <c:numCache>
                <c:formatCode>_(* #,##0_);_(* \(#,##0\);_(* "-"??_);_(@_)</c:formatCode>
                <c:ptCount val="71"/>
                <c:pt idx="0">
                  <c:v>20</c:v>
                </c:pt>
                <c:pt idx="1">
                  <c:v>20.5</c:v>
                </c:pt>
                <c:pt idx="2">
                  <c:v>21</c:v>
                </c:pt>
                <c:pt idx="3">
                  <c:v>21.5</c:v>
                </c:pt>
                <c:pt idx="4">
                  <c:v>22</c:v>
                </c:pt>
                <c:pt idx="5">
                  <c:v>22.5</c:v>
                </c:pt>
                <c:pt idx="6">
                  <c:v>23</c:v>
                </c:pt>
                <c:pt idx="7">
                  <c:v>23.5</c:v>
                </c:pt>
                <c:pt idx="8">
                  <c:v>24</c:v>
                </c:pt>
                <c:pt idx="9">
                  <c:v>24.5</c:v>
                </c:pt>
                <c:pt idx="10">
                  <c:v>25</c:v>
                </c:pt>
                <c:pt idx="11">
                  <c:v>25.5</c:v>
                </c:pt>
                <c:pt idx="12">
                  <c:v>26</c:v>
                </c:pt>
                <c:pt idx="13">
                  <c:v>26.5</c:v>
                </c:pt>
                <c:pt idx="14">
                  <c:v>27</c:v>
                </c:pt>
                <c:pt idx="15">
                  <c:v>27.5</c:v>
                </c:pt>
                <c:pt idx="16">
                  <c:v>28</c:v>
                </c:pt>
                <c:pt idx="17">
                  <c:v>28.5</c:v>
                </c:pt>
                <c:pt idx="18">
                  <c:v>29</c:v>
                </c:pt>
                <c:pt idx="19">
                  <c:v>29.5</c:v>
                </c:pt>
                <c:pt idx="20">
                  <c:v>30</c:v>
                </c:pt>
                <c:pt idx="21">
                  <c:v>30.5</c:v>
                </c:pt>
                <c:pt idx="22">
                  <c:v>31</c:v>
                </c:pt>
                <c:pt idx="23">
                  <c:v>31.5</c:v>
                </c:pt>
                <c:pt idx="24">
                  <c:v>32</c:v>
                </c:pt>
                <c:pt idx="25">
                  <c:v>32.5</c:v>
                </c:pt>
                <c:pt idx="26">
                  <c:v>33</c:v>
                </c:pt>
                <c:pt idx="27">
                  <c:v>33.5</c:v>
                </c:pt>
                <c:pt idx="28">
                  <c:v>34</c:v>
                </c:pt>
                <c:pt idx="29">
                  <c:v>34.5</c:v>
                </c:pt>
                <c:pt idx="30">
                  <c:v>35</c:v>
                </c:pt>
                <c:pt idx="31">
                  <c:v>35.5</c:v>
                </c:pt>
                <c:pt idx="32">
                  <c:v>36</c:v>
                </c:pt>
                <c:pt idx="33">
                  <c:v>36.5</c:v>
                </c:pt>
                <c:pt idx="34">
                  <c:v>37</c:v>
                </c:pt>
                <c:pt idx="35">
                  <c:v>37.5</c:v>
                </c:pt>
                <c:pt idx="36">
                  <c:v>38</c:v>
                </c:pt>
                <c:pt idx="37">
                  <c:v>38.5</c:v>
                </c:pt>
                <c:pt idx="38">
                  <c:v>39</c:v>
                </c:pt>
                <c:pt idx="39">
                  <c:v>39.5</c:v>
                </c:pt>
                <c:pt idx="40">
                  <c:v>40</c:v>
                </c:pt>
                <c:pt idx="41">
                  <c:v>40.5</c:v>
                </c:pt>
                <c:pt idx="42">
                  <c:v>41</c:v>
                </c:pt>
                <c:pt idx="43">
                  <c:v>41.5</c:v>
                </c:pt>
                <c:pt idx="44">
                  <c:v>42</c:v>
                </c:pt>
                <c:pt idx="45">
                  <c:v>42.5</c:v>
                </c:pt>
                <c:pt idx="46">
                  <c:v>43</c:v>
                </c:pt>
                <c:pt idx="47">
                  <c:v>43.5</c:v>
                </c:pt>
                <c:pt idx="48">
                  <c:v>44</c:v>
                </c:pt>
                <c:pt idx="49">
                  <c:v>44.5</c:v>
                </c:pt>
                <c:pt idx="50">
                  <c:v>45</c:v>
                </c:pt>
                <c:pt idx="51">
                  <c:v>45.5</c:v>
                </c:pt>
                <c:pt idx="52">
                  <c:v>46</c:v>
                </c:pt>
                <c:pt idx="53">
                  <c:v>46.5</c:v>
                </c:pt>
                <c:pt idx="54">
                  <c:v>47</c:v>
                </c:pt>
                <c:pt idx="55">
                  <c:v>47.5</c:v>
                </c:pt>
                <c:pt idx="56">
                  <c:v>48</c:v>
                </c:pt>
                <c:pt idx="57">
                  <c:v>48.5</c:v>
                </c:pt>
                <c:pt idx="58">
                  <c:v>49</c:v>
                </c:pt>
                <c:pt idx="59">
                  <c:v>49.5</c:v>
                </c:pt>
                <c:pt idx="60">
                  <c:v>50</c:v>
                </c:pt>
                <c:pt idx="61">
                  <c:v>50.5</c:v>
                </c:pt>
                <c:pt idx="62">
                  <c:v>51</c:v>
                </c:pt>
                <c:pt idx="63">
                  <c:v>51.5</c:v>
                </c:pt>
                <c:pt idx="64">
                  <c:v>52</c:v>
                </c:pt>
                <c:pt idx="65">
                  <c:v>52.5</c:v>
                </c:pt>
                <c:pt idx="66">
                  <c:v>53</c:v>
                </c:pt>
                <c:pt idx="67">
                  <c:v>53.5</c:v>
                </c:pt>
                <c:pt idx="68">
                  <c:v>54</c:v>
                </c:pt>
                <c:pt idx="69">
                  <c:v>54.5</c:v>
                </c:pt>
                <c:pt idx="70">
                  <c:v>55</c:v>
                </c:pt>
              </c:numCache>
            </c:numRef>
          </c:cat>
          <c:val>
            <c:numRef>
              <c:f>'F10.5'!$S$46:$S$116</c:f>
              <c:numCache>
                <c:formatCode>General</c:formatCode>
                <c:ptCount val="7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numCache>
            </c:numRef>
          </c:val>
          <c:smooth val="0"/>
          <c:extLst>
            <c:ext xmlns:c16="http://schemas.microsoft.com/office/drawing/2014/chart" uri="{C3380CC4-5D6E-409C-BE32-E72D297353CC}">
              <c16:uniqueId val="{00000002-CBC3-4E9F-921D-6AB15BBFF696}"/>
            </c:ext>
          </c:extLst>
        </c:ser>
        <c:ser>
          <c:idx val="3"/>
          <c:order val="3"/>
          <c:tx>
            <c:strRef>
              <c:f>'F10.5'!$T$45</c:f>
              <c:strCache>
                <c:ptCount val="1"/>
                <c:pt idx="0">
                  <c:v>Employer</c:v>
                </c:pt>
              </c:strCache>
            </c:strRef>
          </c:tx>
          <c:spPr>
            <a:ln w="31750" cap="rnd">
              <a:solidFill>
                <a:schemeClr val="accent1"/>
              </a:solidFill>
              <a:prstDash val="sysDot"/>
              <a:round/>
            </a:ln>
            <a:effectLst/>
          </c:spPr>
          <c:marker>
            <c:symbol val="none"/>
          </c:marker>
          <c:cat>
            <c:numRef>
              <c:f>'F10.5'!$E$46:$E$116</c:f>
              <c:numCache>
                <c:formatCode>_(* #,##0_);_(* \(#,##0\);_(* "-"??_);_(@_)</c:formatCode>
                <c:ptCount val="71"/>
                <c:pt idx="0">
                  <c:v>20</c:v>
                </c:pt>
                <c:pt idx="1">
                  <c:v>20.5</c:v>
                </c:pt>
                <c:pt idx="2">
                  <c:v>21</c:v>
                </c:pt>
                <c:pt idx="3">
                  <c:v>21.5</c:v>
                </c:pt>
                <c:pt idx="4">
                  <c:v>22</c:v>
                </c:pt>
                <c:pt idx="5">
                  <c:v>22.5</c:v>
                </c:pt>
                <c:pt idx="6">
                  <c:v>23</c:v>
                </c:pt>
                <c:pt idx="7">
                  <c:v>23.5</c:v>
                </c:pt>
                <c:pt idx="8">
                  <c:v>24</c:v>
                </c:pt>
                <c:pt idx="9">
                  <c:v>24.5</c:v>
                </c:pt>
                <c:pt idx="10">
                  <c:v>25</c:v>
                </c:pt>
                <c:pt idx="11">
                  <c:v>25.5</c:v>
                </c:pt>
                <c:pt idx="12">
                  <c:v>26</c:v>
                </c:pt>
                <c:pt idx="13">
                  <c:v>26.5</c:v>
                </c:pt>
                <c:pt idx="14">
                  <c:v>27</c:v>
                </c:pt>
                <c:pt idx="15">
                  <c:v>27.5</c:v>
                </c:pt>
                <c:pt idx="16">
                  <c:v>28</c:v>
                </c:pt>
                <c:pt idx="17">
                  <c:v>28.5</c:v>
                </c:pt>
                <c:pt idx="18">
                  <c:v>29</c:v>
                </c:pt>
                <c:pt idx="19">
                  <c:v>29.5</c:v>
                </c:pt>
                <c:pt idx="20">
                  <c:v>30</c:v>
                </c:pt>
                <c:pt idx="21">
                  <c:v>30.5</c:v>
                </c:pt>
                <c:pt idx="22">
                  <c:v>31</c:v>
                </c:pt>
                <c:pt idx="23">
                  <c:v>31.5</c:v>
                </c:pt>
                <c:pt idx="24">
                  <c:v>32</c:v>
                </c:pt>
                <c:pt idx="25">
                  <c:v>32.5</c:v>
                </c:pt>
                <c:pt idx="26">
                  <c:v>33</c:v>
                </c:pt>
                <c:pt idx="27">
                  <c:v>33.5</c:v>
                </c:pt>
                <c:pt idx="28">
                  <c:v>34</c:v>
                </c:pt>
                <c:pt idx="29">
                  <c:v>34.5</c:v>
                </c:pt>
                <c:pt idx="30">
                  <c:v>35</c:v>
                </c:pt>
                <c:pt idx="31">
                  <c:v>35.5</c:v>
                </c:pt>
                <c:pt idx="32">
                  <c:v>36</c:v>
                </c:pt>
                <c:pt idx="33">
                  <c:v>36.5</c:v>
                </c:pt>
                <c:pt idx="34">
                  <c:v>37</c:v>
                </c:pt>
                <c:pt idx="35">
                  <c:v>37.5</c:v>
                </c:pt>
                <c:pt idx="36">
                  <c:v>38</c:v>
                </c:pt>
                <c:pt idx="37">
                  <c:v>38.5</c:v>
                </c:pt>
                <c:pt idx="38">
                  <c:v>39</c:v>
                </c:pt>
                <c:pt idx="39">
                  <c:v>39.5</c:v>
                </c:pt>
                <c:pt idx="40">
                  <c:v>40</c:v>
                </c:pt>
                <c:pt idx="41">
                  <c:v>40.5</c:v>
                </c:pt>
                <c:pt idx="42">
                  <c:v>41</c:v>
                </c:pt>
                <c:pt idx="43">
                  <c:v>41.5</c:v>
                </c:pt>
                <c:pt idx="44">
                  <c:v>42</c:v>
                </c:pt>
                <c:pt idx="45">
                  <c:v>42.5</c:v>
                </c:pt>
                <c:pt idx="46">
                  <c:v>43</c:v>
                </c:pt>
                <c:pt idx="47">
                  <c:v>43.5</c:v>
                </c:pt>
                <c:pt idx="48">
                  <c:v>44</c:v>
                </c:pt>
                <c:pt idx="49">
                  <c:v>44.5</c:v>
                </c:pt>
                <c:pt idx="50">
                  <c:v>45</c:v>
                </c:pt>
                <c:pt idx="51">
                  <c:v>45.5</c:v>
                </c:pt>
                <c:pt idx="52">
                  <c:v>46</c:v>
                </c:pt>
                <c:pt idx="53">
                  <c:v>46.5</c:v>
                </c:pt>
                <c:pt idx="54">
                  <c:v>47</c:v>
                </c:pt>
                <c:pt idx="55">
                  <c:v>47.5</c:v>
                </c:pt>
                <c:pt idx="56">
                  <c:v>48</c:v>
                </c:pt>
                <c:pt idx="57">
                  <c:v>48.5</c:v>
                </c:pt>
                <c:pt idx="58">
                  <c:v>49</c:v>
                </c:pt>
                <c:pt idx="59">
                  <c:v>49.5</c:v>
                </c:pt>
                <c:pt idx="60">
                  <c:v>50</c:v>
                </c:pt>
                <c:pt idx="61">
                  <c:v>50.5</c:v>
                </c:pt>
                <c:pt idx="62">
                  <c:v>51</c:v>
                </c:pt>
                <c:pt idx="63">
                  <c:v>51.5</c:v>
                </c:pt>
                <c:pt idx="64">
                  <c:v>52</c:v>
                </c:pt>
                <c:pt idx="65">
                  <c:v>52.5</c:v>
                </c:pt>
                <c:pt idx="66">
                  <c:v>53</c:v>
                </c:pt>
                <c:pt idx="67">
                  <c:v>53.5</c:v>
                </c:pt>
                <c:pt idx="68">
                  <c:v>54</c:v>
                </c:pt>
                <c:pt idx="69">
                  <c:v>54.5</c:v>
                </c:pt>
                <c:pt idx="70">
                  <c:v>55</c:v>
                </c:pt>
              </c:numCache>
            </c:numRef>
          </c:cat>
          <c:val>
            <c:numRef>
              <c:f>'F10.5'!$T$46:$T$116</c:f>
              <c:numCache>
                <c:formatCode>General</c:formatCode>
                <c:ptCount val="7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numCache>
            </c:numRef>
          </c:val>
          <c:smooth val="0"/>
          <c:extLst>
            <c:ext xmlns:c16="http://schemas.microsoft.com/office/drawing/2014/chart" uri="{C3380CC4-5D6E-409C-BE32-E72D297353CC}">
              <c16:uniqueId val="{00000003-CBC3-4E9F-921D-6AB15BBFF696}"/>
            </c:ext>
          </c:extLst>
        </c:ser>
        <c:dLbls>
          <c:showLegendKey val="0"/>
          <c:showVal val="0"/>
          <c:showCatName val="0"/>
          <c:showSerName val="0"/>
          <c:showPercent val="0"/>
          <c:showBubbleSize val="0"/>
        </c:dLbls>
        <c:smooth val="0"/>
        <c:axId val="269207040"/>
        <c:axId val="269208576"/>
      </c:lineChart>
      <c:catAx>
        <c:axId val="269207040"/>
        <c:scaling>
          <c:orientation val="minMax"/>
        </c:scaling>
        <c:delete val="0"/>
        <c:axPos val="b"/>
        <c:numFmt formatCode="_(* #,##0_);_(* \(#,##0\);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9208576"/>
        <c:crosses val="autoZero"/>
        <c:auto val="1"/>
        <c:lblAlgn val="ctr"/>
        <c:lblOffset val="100"/>
        <c:tickLblSkip val="10"/>
        <c:noMultiLvlLbl val="0"/>
      </c:catAx>
      <c:valAx>
        <c:axId val="269208576"/>
        <c:scaling>
          <c:orientation val="minMax"/>
          <c:max val="600"/>
          <c:min val="0"/>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9207040"/>
        <c:crosses val="autoZero"/>
        <c:crossBetween val="between"/>
        <c:majorUnit val="100"/>
      </c:valAx>
      <c:spPr>
        <a:solidFill>
          <a:schemeClr val="bg1">
            <a:lumMod val="85000"/>
          </a:schemeClr>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1">
                <a:solidFill>
                  <a:sysClr val="windowText" lastClr="000000"/>
                </a:solidFill>
                <a:latin typeface="Times New Roman" panose="02020603050405020304" pitchFamily="18" charset="0"/>
                <a:cs typeface="Times New Roman" panose="02020603050405020304" pitchFamily="18" charset="0"/>
              </a:rPr>
              <a:t>Secondary school or more</a:t>
            </a:r>
          </a:p>
        </c:rich>
      </c:tx>
      <c:overlay val="0"/>
      <c:spPr>
        <a:noFill/>
        <a:ln>
          <a:noFill/>
        </a:ln>
        <a:effectLst/>
      </c:spPr>
    </c:title>
    <c:autoTitleDeleted val="0"/>
    <c:plotArea>
      <c:layout>
        <c:manualLayout>
          <c:layoutTarget val="inner"/>
          <c:xMode val="edge"/>
          <c:yMode val="edge"/>
          <c:x val="0.1375912161915428"/>
          <c:y val="0.12946512903907895"/>
          <c:w val="0.81048730599473828"/>
          <c:h val="0.70393300476389287"/>
        </c:manualLayout>
      </c:layout>
      <c:lineChart>
        <c:grouping val="standard"/>
        <c:varyColors val="0"/>
        <c:ser>
          <c:idx val="0"/>
          <c:order val="0"/>
          <c:tx>
            <c:strRef>
              <c:f>'F10.5'!$V$45</c:f>
              <c:strCache>
                <c:ptCount val="1"/>
                <c:pt idx="0">
                  <c:v>Employed-Formal</c:v>
                </c:pt>
              </c:strCache>
            </c:strRef>
          </c:tx>
          <c:spPr>
            <a:ln w="19050" cap="rnd">
              <a:solidFill>
                <a:schemeClr val="tx1"/>
              </a:solidFill>
              <a:round/>
            </a:ln>
            <a:effectLst/>
          </c:spPr>
          <c:marker>
            <c:symbol val="none"/>
          </c:marker>
          <c:cat>
            <c:numRef>
              <c:f>'F10.5'!$E$46:$E$116</c:f>
              <c:numCache>
                <c:formatCode>_(* #,##0_);_(* \(#,##0\);_(* "-"??_);_(@_)</c:formatCode>
                <c:ptCount val="71"/>
                <c:pt idx="0">
                  <c:v>20</c:v>
                </c:pt>
                <c:pt idx="1">
                  <c:v>20.5</c:v>
                </c:pt>
                <c:pt idx="2">
                  <c:v>21</c:v>
                </c:pt>
                <c:pt idx="3">
                  <c:v>21.5</c:v>
                </c:pt>
                <c:pt idx="4">
                  <c:v>22</c:v>
                </c:pt>
                <c:pt idx="5">
                  <c:v>22.5</c:v>
                </c:pt>
                <c:pt idx="6">
                  <c:v>23</c:v>
                </c:pt>
                <c:pt idx="7">
                  <c:v>23.5</c:v>
                </c:pt>
                <c:pt idx="8">
                  <c:v>24</c:v>
                </c:pt>
                <c:pt idx="9">
                  <c:v>24.5</c:v>
                </c:pt>
                <c:pt idx="10">
                  <c:v>25</c:v>
                </c:pt>
                <c:pt idx="11">
                  <c:v>25.5</c:v>
                </c:pt>
                <c:pt idx="12">
                  <c:v>26</c:v>
                </c:pt>
                <c:pt idx="13">
                  <c:v>26.5</c:v>
                </c:pt>
                <c:pt idx="14">
                  <c:v>27</c:v>
                </c:pt>
                <c:pt idx="15">
                  <c:v>27.5</c:v>
                </c:pt>
                <c:pt idx="16">
                  <c:v>28</c:v>
                </c:pt>
                <c:pt idx="17">
                  <c:v>28.5</c:v>
                </c:pt>
                <c:pt idx="18">
                  <c:v>29</c:v>
                </c:pt>
                <c:pt idx="19">
                  <c:v>29.5</c:v>
                </c:pt>
                <c:pt idx="20">
                  <c:v>30</c:v>
                </c:pt>
                <c:pt idx="21">
                  <c:v>30.5</c:v>
                </c:pt>
                <c:pt idx="22">
                  <c:v>31</c:v>
                </c:pt>
                <c:pt idx="23">
                  <c:v>31.5</c:v>
                </c:pt>
                <c:pt idx="24">
                  <c:v>32</c:v>
                </c:pt>
                <c:pt idx="25">
                  <c:v>32.5</c:v>
                </c:pt>
                <c:pt idx="26">
                  <c:v>33</c:v>
                </c:pt>
                <c:pt idx="27">
                  <c:v>33.5</c:v>
                </c:pt>
                <c:pt idx="28">
                  <c:v>34</c:v>
                </c:pt>
                <c:pt idx="29">
                  <c:v>34.5</c:v>
                </c:pt>
                <c:pt idx="30">
                  <c:v>35</c:v>
                </c:pt>
                <c:pt idx="31">
                  <c:v>35.5</c:v>
                </c:pt>
                <c:pt idx="32">
                  <c:v>36</c:v>
                </c:pt>
                <c:pt idx="33">
                  <c:v>36.5</c:v>
                </c:pt>
                <c:pt idx="34">
                  <c:v>37</c:v>
                </c:pt>
                <c:pt idx="35">
                  <c:v>37.5</c:v>
                </c:pt>
                <c:pt idx="36">
                  <c:v>38</c:v>
                </c:pt>
                <c:pt idx="37">
                  <c:v>38.5</c:v>
                </c:pt>
                <c:pt idx="38">
                  <c:v>39</c:v>
                </c:pt>
                <c:pt idx="39">
                  <c:v>39.5</c:v>
                </c:pt>
                <c:pt idx="40">
                  <c:v>40</c:v>
                </c:pt>
                <c:pt idx="41">
                  <c:v>40.5</c:v>
                </c:pt>
                <c:pt idx="42">
                  <c:v>41</c:v>
                </c:pt>
                <c:pt idx="43">
                  <c:v>41.5</c:v>
                </c:pt>
                <c:pt idx="44">
                  <c:v>42</c:v>
                </c:pt>
                <c:pt idx="45">
                  <c:v>42.5</c:v>
                </c:pt>
                <c:pt idx="46">
                  <c:v>43</c:v>
                </c:pt>
                <c:pt idx="47">
                  <c:v>43.5</c:v>
                </c:pt>
                <c:pt idx="48">
                  <c:v>44</c:v>
                </c:pt>
                <c:pt idx="49">
                  <c:v>44.5</c:v>
                </c:pt>
                <c:pt idx="50">
                  <c:v>45</c:v>
                </c:pt>
                <c:pt idx="51">
                  <c:v>45.5</c:v>
                </c:pt>
                <c:pt idx="52">
                  <c:v>46</c:v>
                </c:pt>
                <c:pt idx="53">
                  <c:v>46.5</c:v>
                </c:pt>
                <c:pt idx="54">
                  <c:v>47</c:v>
                </c:pt>
                <c:pt idx="55">
                  <c:v>47.5</c:v>
                </c:pt>
                <c:pt idx="56">
                  <c:v>48</c:v>
                </c:pt>
                <c:pt idx="57">
                  <c:v>48.5</c:v>
                </c:pt>
                <c:pt idx="58">
                  <c:v>49</c:v>
                </c:pt>
                <c:pt idx="59">
                  <c:v>49.5</c:v>
                </c:pt>
                <c:pt idx="60">
                  <c:v>50</c:v>
                </c:pt>
                <c:pt idx="61">
                  <c:v>50.5</c:v>
                </c:pt>
                <c:pt idx="62">
                  <c:v>51</c:v>
                </c:pt>
                <c:pt idx="63">
                  <c:v>51.5</c:v>
                </c:pt>
                <c:pt idx="64">
                  <c:v>52</c:v>
                </c:pt>
                <c:pt idx="65">
                  <c:v>52.5</c:v>
                </c:pt>
                <c:pt idx="66">
                  <c:v>53</c:v>
                </c:pt>
                <c:pt idx="67">
                  <c:v>53.5</c:v>
                </c:pt>
                <c:pt idx="68">
                  <c:v>54</c:v>
                </c:pt>
                <c:pt idx="69">
                  <c:v>54.5</c:v>
                </c:pt>
                <c:pt idx="70">
                  <c:v>55</c:v>
                </c:pt>
              </c:numCache>
            </c:numRef>
          </c:cat>
          <c:val>
            <c:numRef>
              <c:f>'F10.5'!$V$46:$V$116</c:f>
              <c:numCache>
                <c:formatCode>General</c:formatCode>
                <c:ptCount val="7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numCache>
            </c:numRef>
          </c:val>
          <c:smooth val="0"/>
          <c:extLst>
            <c:ext xmlns:c16="http://schemas.microsoft.com/office/drawing/2014/chart" uri="{C3380CC4-5D6E-409C-BE32-E72D297353CC}">
              <c16:uniqueId val="{00000000-F80A-4DD7-86FF-D4835D9E33B4}"/>
            </c:ext>
          </c:extLst>
        </c:ser>
        <c:ser>
          <c:idx val="1"/>
          <c:order val="1"/>
          <c:tx>
            <c:strRef>
              <c:f>'F10.5'!$W$45</c:f>
              <c:strCache>
                <c:ptCount val="1"/>
                <c:pt idx="0">
                  <c:v>Employed-Informal</c:v>
                </c:pt>
              </c:strCache>
            </c:strRef>
          </c:tx>
          <c:spPr>
            <a:ln w="19050" cap="rnd">
              <a:solidFill>
                <a:srgbClr val="EDADCA"/>
              </a:solidFill>
              <a:prstDash val="dash"/>
              <a:round/>
            </a:ln>
            <a:effectLst/>
          </c:spPr>
          <c:marker>
            <c:symbol val="none"/>
          </c:marker>
          <c:cat>
            <c:numRef>
              <c:f>'F10.5'!$E$46:$E$116</c:f>
              <c:numCache>
                <c:formatCode>_(* #,##0_);_(* \(#,##0\);_(* "-"??_);_(@_)</c:formatCode>
                <c:ptCount val="71"/>
                <c:pt idx="0">
                  <c:v>20</c:v>
                </c:pt>
                <c:pt idx="1">
                  <c:v>20.5</c:v>
                </c:pt>
                <c:pt idx="2">
                  <c:v>21</c:v>
                </c:pt>
                <c:pt idx="3">
                  <c:v>21.5</c:v>
                </c:pt>
                <c:pt idx="4">
                  <c:v>22</c:v>
                </c:pt>
                <c:pt idx="5">
                  <c:v>22.5</c:v>
                </c:pt>
                <c:pt idx="6">
                  <c:v>23</c:v>
                </c:pt>
                <c:pt idx="7">
                  <c:v>23.5</c:v>
                </c:pt>
                <c:pt idx="8">
                  <c:v>24</c:v>
                </c:pt>
                <c:pt idx="9">
                  <c:v>24.5</c:v>
                </c:pt>
                <c:pt idx="10">
                  <c:v>25</c:v>
                </c:pt>
                <c:pt idx="11">
                  <c:v>25.5</c:v>
                </c:pt>
                <c:pt idx="12">
                  <c:v>26</c:v>
                </c:pt>
                <c:pt idx="13">
                  <c:v>26.5</c:v>
                </c:pt>
                <c:pt idx="14">
                  <c:v>27</c:v>
                </c:pt>
                <c:pt idx="15">
                  <c:v>27.5</c:v>
                </c:pt>
                <c:pt idx="16">
                  <c:v>28</c:v>
                </c:pt>
                <c:pt idx="17">
                  <c:v>28.5</c:v>
                </c:pt>
                <c:pt idx="18">
                  <c:v>29</c:v>
                </c:pt>
                <c:pt idx="19">
                  <c:v>29.5</c:v>
                </c:pt>
                <c:pt idx="20">
                  <c:v>30</c:v>
                </c:pt>
                <c:pt idx="21">
                  <c:v>30.5</c:v>
                </c:pt>
                <c:pt idx="22">
                  <c:v>31</c:v>
                </c:pt>
                <c:pt idx="23">
                  <c:v>31.5</c:v>
                </c:pt>
                <c:pt idx="24">
                  <c:v>32</c:v>
                </c:pt>
                <c:pt idx="25">
                  <c:v>32.5</c:v>
                </c:pt>
                <c:pt idx="26">
                  <c:v>33</c:v>
                </c:pt>
                <c:pt idx="27">
                  <c:v>33.5</c:v>
                </c:pt>
                <c:pt idx="28">
                  <c:v>34</c:v>
                </c:pt>
                <c:pt idx="29">
                  <c:v>34.5</c:v>
                </c:pt>
                <c:pt idx="30">
                  <c:v>35</c:v>
                </c:pt>
                <c:pt idx="31">
                  <c:v>35.5</c:v>
                </c:pt>
                <c:pt idx="32">
                  <c:v>36</c:v>
                </c:pt>
                <c:pt idx="33">
                  <c:v>36.5</c:v>
                </c:pt>
                <c:pt idx="34">
                  <c:v>37</c:v>
                </c:pt>
                <c:pt idx="35">
                  <c:v>37.5</c:v>
                </c:pt>
                <c:pt idx="36">
                  <c:v>38</c:v>
                </c:pt>
                <c:pt idx="37">
                  <c:v>38.5</c:v>
                </c:pt>
                <c:pt idx="38">
                  <c:v>39</c:v>
                </c:pt>
                <c:pt idx="39">
                  <c:v>39.5</c:v>
                </c:pt>
                <c:pt idx="40">
                  <c:v>40</c:v>
                </c:pt>
                <c:pt idx="41">
                  <c:v>40.5</c:v>
                </c:pt>
                <c:pt idx="42">
                  <c:v>41</c:v>
                </c:pt>
                <c:pt idx="43">
                  <c:v>41.5</c:v>
                </c:pt>
                <c:pt idx="44">
                  <c:v>42</c:v>
                </c:pt>
                <c:pt idx="45">
                  <c:v>42.5</c:v>
                </c:pt>
                <c:pt idx="46">
                  <c:v>43</c:v>
                </c:pt>
                <c:pt idx="47">
                  <c:v>43.5</c:v>
                </c:pt>
                <c:pt idx="48">
                  <c:v>44</c:v>
                </c:pt>
                <c:pt idx="49">
                  <c:v>44.5</c:v>
                </c:pt>
                <c:pt idx="50">
                  <c:v>45</c:v>
                </c:pt>
                <c:pt idx="51">
                  <c:v>45.5</c:v>
                </c:pt>
                <c:pt idx="52">
                  <c:v>46</c:v>
                </c:pt>
                <c:pt idx="53">
                  <c:v>46.5</c:v>
                </c:pt>
                <c:pt idx="54">
                  <c:v>47</c:v>
                </c:pt>
                <c:pt idx="55">
                  <c:v>47.5</c:v>
                </c:pt>
                <c:pt idx="56">
                  <c:v>48</c:v>
                </c:pt>
                <c:pt idx="57">
                  <c:v>48.5</c:v>
                </c:pt>
                <c:pt idx="58">
                  <c:v>49</c:v>
                </c:pt>
                <c:pt idx="59">
                  <c:v>49.5</c:v>
                </c:pt>
                <c:pt idx="60">
                  <c:v>50</c:v>
                </c:pt>
                <c:pt idx="61">
                  <c:v>50.5</c:v>
                </c:pt>
                <c:pt idx="62">
                  <c:v>51</c:v>
                </c:pt>
                <c:pt idx="63">
                  <c:v>51.5</c:v>
                </c:pt>
                <c:pt idx="64">
                  <c:v>52</c:v>
                </c:pt>
                <c:pt idx="65">
                  <c:v>52.5</c:v>
                </c:pt>
                <c:pt idx="66">
                  <c:v>53</c:v>
                </c:pt>
                <c:pt idx="67">
                  <c:v>53.5</c:v>
                </c:pt>
                <c:pt idx="68">
                  <c:v>54</c:v>
                </c:pt>
                <c:pt idx="69">
                  <c:v>54.5</c:v>
                </c:pt>
                <c:pt idx="70">
                  <c:v>55</c:v>
                </c:pt>
              </c:numCache>
            </c:numRef>
          </c:cat>
          <c:val>
            <c:numRef>
              <c:f>'F10.5'!$W$46:$W$116</c:f>
              <c:numCache>
                <c:formatCode>General</c:formatCode>
                <c:ptCount val="7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numCache>
            </c:numRef>
          </c:val>
          <c:smooth val="0"/>
          <c:extLst>
            <c:ext xmlns:c16="http://schemas.microsoft.com/office/drawing/2014/chart" uri="{C3380CC4-5D6E-409C-BE32-E72D297353CC}">
              <c16:uniqueId val="{00000001-F80A-4DD7-86FF-D4835D9E33B4}"/>
            </c:ext>
          </c:extLst>
        </c:ser>
        <c:ser>
          <c:idx val="2"/>
          <c:order val="2"/>
          <c:tx>
            <c:strRef>
              <c:f>'F10.5'!$X$45</c:f>
              <c:strCache>
                <c:ptCount val="1"/>
                <c:pt idx="0">
                  <c:v>Selfemployed</c:v>
                </c:pt>
              </c:strCache>
            </c:strRef>
          </c:tx>
          <c:spPr>
            <a:ln w="19050" cap="rnd">
              <a:solidFill>
                <a:schemeClr val="accent4">
                  <a:lumMod val="75000"/>
                </a:schemeClr>
              </a:solidFill>
              <a:prstDash val="lgDash"/>
              <a:round/>
            </a:ln>
            <a:effectLst/>
          </c:spPr>
          <c:marker>
            <c:symbol val="none"/>
          </c:marker>
          <c:cat>
            <c:numRef>
              <c:f>'F10.5'!$E$46:$E$116</c:f>
              <c:numCache>
                <c:formatCode>_(* #,##0_);_(* \(#,##0\);_(* "-"??_);_(@_)</c:formatCode>
                <c:ptCount val="71"/>
                <c:pt idx="0">
                  <c:v>20</c:v>
                </c:pt>
                <c:pt idx="1">
                  <c:v>20.5</c:v>
                </c:pt>
                <c:pt idx="2">
                  <c:v>21</c:v>
                </c:pt>
                <c:pt idx="3">
                  <c:v>21.5</c:v>
                </c:pt>
                <c:pt idx="4">
                  <c:v>22</c:v>
                </c:pt>
                <c:pt idx="5">
                  <c:v>22.5</c:v>
                </c:pt>
                <c:pt idx="6">
                  <c:v>23</c:v>
                </c:pt>
                <c:pt idx="7">
                  <c:v>23.5</c:v>
                </c:pt>
                <c:pt idx="8">
                  <c:v>24</c:v>
                </c:pt>
                <c:pt idx="9">
                  <c:v>24.5</c:v>
                </c:pt>
                <c:pt idx="10">
                  <c:v>25</c:v>
                </c:pt>
                <c:pt idx="11">
                  <c:v>25.5</c:v>
                </c:pt>
                <c:pt idx="12">
                  <c:v>26</c:v>
                </c:pt>
                <c:pt idx="13">
                  <c:v>26.5</c:v>
                </c:pt>
                <c:pt idx="14">
                  <c:v>27</c:v>
                </c:pt>
                <c:pt idx="15">
                  <c:v>27.5</c:v>
                </c:pt>
                <c:pt idx="16">
                  <c:v>28</c:v>
                </c:pt>
                <c:pt idx="17">
                  <c:v>28.5</c:v>
                </c:pt>
                <c:pt idx="18">
                  <c:v>29</c:v>
                </c:pt>
                <c:pt idx="19">
                  <c:v>29.5</c:v>
                </c:pt>
                <c:pt idx="20">
                  <c:v>30</c:v>
                </c:pt>
                <c:pt idx="21">
                  <c:v>30.5</c:v>
                </c:pt>
                <c:pt idx="22">
                  <c:v>31</c:v>
                </c:pt>
                <c:pt idx="23">
                  <c:v>31.5</c:v>
                </c:pt>
                <c:pt idx="24">
                  <c:v>32</c:v>
                </c:pt>
                <c:pt idx="25">
                  <c:v>32.5</c:v>
                </c:pt>
                <c:pt idx="26">
                  <c:v>33</c:v>
                </c:pt>
                <c:pt idx="27">
                  <c:v>33.5</c:v>
                </c:pt>
                <c:pt idx="28">
                  <c:v>34</c:v>
                </c:pt>
                <c:pt idx="29">
                  <c:v>34.5</c:v>
                </c:pt>
                <c:pt idx="30">
                  <c:v>35</c:v>
                </c:pt>
                <c:pt idx="31">
                  <c:v>35.5</c:v>
                </c:pt>
                <c:pt idx="32">
                  <c:v>36</c:v>
                </c:pt>
                <c:pt idx="33">
                  <c:v>36.5</c:v>
                </c:pt>
                <c:pt idx="34">
                  <c:v>37</c:v>
                </c:pt>
                <c:pt idx="35">
                  <c:v>37.5</c:v>
                </c:pt>
                <c:pt idx="36">
                  <c:v>38</c:v>
                </c:pt>
                <c:pt idx="37">
                  <c:v>38.5</c:v>
                </c:pt>
                <c:pt idx="38">
                  <c:v>39</c:v>
                </c:pt>
                <c:pt idx="39">
                  <c:v>39.5</c:v>
                </c:pt>
                <c:pt idx="40">
                  <c:v>40</c:v>
                </c:pt>
                <c:pt idx="41">
                  <c:v>40.5</c:v>
                </c:pt>
                <c:pt idx="42">
                  <c:v>41</c:v>
                </c:pt>
                <c:pt idx="43">
                  <c:v>41.5</c:v>
                </c:pt>
                <c:pt idx="44">
                  <c:v>42</c:v>
                </c:pt>
                <c:pt idx="45">
                  <c:v>42.5</c:v>
                </c:pt>
                <c:pt idx="46">
                  <c:v>43</c:v>
                </c:pt>
                <c:pt idx="47">
                  <c:v>43.5</c:v>
                </c:pt>
                <c:pt idx="48">
                  <c:v>44</c:v>
                </c:pt>
                <c:pt idx="49">
                  <c:v>44.5</c:v>
                </c:pt>
                <c:pt idx="50">
                  <c:v>45</c:v>
                </c:pt>
                <c:pt idx="51">
                  <c:v>45.5</c:v>
                </c:pt>
                <c:pt idx="52">
                  <c:v>46</c:v>
                </c:pt>
                <c:pt idx="53">
                  <c:v>46.5</c:v>
                </c:pt>
                <c:pt idx="54">
                  <c:v>47</c:v>
                </c:pt>
                <c:pt idx="55">
                  <c:v>47.5</c:v>
                </c:pt>
                <c:pt idx="56">
                  <c:v>48</c:v>
                </c:pt>
                <c:pt idx="57">
                  <c:v>48.5</c:v>
                </c:pt>
                <c:pt idx="58">
                  <c:v>49</c:v>
                </c:pt>
                <c:pt idx="59">
                  <c:v>49.5</c:v>
                </c:pt>
                <c:pt idx="60">
                  <c:v>50</c:v>
                </c:pt>
                <c:pt idx="61">
                  <c:v>50.5</c:v>
                </c:pt>
                <c:pt idx="62">
                  <c:v>51</c:v>
                </c:pt>
                <c:pt idx="63">
                  <c:v>51.5</c:v>
                </c:pt>
                <c:pt idx="64">
                  <c:v>52</c:v>
                </c:pt>
                <c:pt idx="65">
                  <c:v>52.5</c:v>
                </c:pt>
                <c:pt idx="66">
                  <c:v>53</c:v>
                </c:pt>
                <c:pt idx="67">
                  <c:v>53.5</c:v>
                </c:pt>
                <c:pt idx="68">
                  <c:v>54</c:v>
                </c:pt>
                <c:pt idx="69">
                  <c:v>54.5</c:v>
                </c:pt>
                <c:pt idx="70">
                  <c:v>55</c:v>
                </c:pt>
              </c:numCache>
            </c:numRef>
          </c:cat>
          <c:val>
            <c:numRef>
              <c:f>'F10.5'!$X$46:$X$116</c:f>
              <c:numCache>
                <c:formatCode>General</c:formatCode>
                <c:ptCount val="7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numCache>
            </c:numRef>
          </c:val>
          <c:smooth val="0"/>
          <c:extLst>
            <c:ext xmlns:c16="http://schemas.microsoft.com/office/drawing/2014/chart" uri="{C3380CC4-5D6E-409C-BE32-E72D297353CC}">
              <c16:uniqueId val="{00000002-F80A-4DD7-86FF-D4835D9E33B4}"/>
            </c:ext>
          </c:extLst>
        </c:ser>
        <c:ser>
          <c:idx val="3"/>
          <c:order val="3"/>
          <c:tx>
            <c:strRef>
              <c:f>'F10.5'!$Y$45</c:f>
              <c:strCache>
                <c:ptCount val="1"/>
                <c:pt idx="0">
                  <c:v>Employer</c:v>
                </c:pt>
              </c:strCache>
            </c:strRef>
          </c:tx>
          <c:spPr>
            <a:ln w="31750" cap="rnd">
              <a:solidFill>
                <a:schemeClr val="accent1"/>
              </a:solidFill>
              <a:prstDash val="sysDot"/>
              <a:round/>
            </a:ln>
            <a:effectLst/>
          </c:spPr>
          <c:marker>
            <c:symbol val="none"/>
          </c:marker>
          <c:cat>
            <c:numRef>
              <c:f>'F10.5'!$E$46:$E$116</c:f>
              <c:numCache>
                <c:formatCode>_(* #,##0_);_(* \(#,##0\);_(* "-"??_);_(@_)</c:formatCode>
                <c:ptCount val="71"/>
                <c:pt idx="0">
                  <c:v>20</c:v>
                </c:pt>
                <c:pt idx="1">
                  <c:v>20.5</c:v>
                </c:pt>
                <c:pt idx="2">
                  <c:v>21</c:v>
                </c:pt>
                <c:pt idx="3">
                  <c:v>21.5</c:v>
                </c:pt>
                <c:pt idx="4">
                  <c:v>22</c:v>
                </c:pt>
                <c:pt idx="5">
                  <c:v>22.5</c:v>
                </c:pt>
                <c:pt idx="6">
                  <c:v>23</c:v>
                </c:pt>
                <c:pt idx="7">
                  <c:v>23.5</c:v>
                </c:pt>
                <c:pt idx="8">
                  <c:v>24</c:v>
                </c:pt>
                <c:pt idx="9">
                  <c:v>24.5</c:v>
                </c:pt>
                <c:pt idx="10">
                  <c:v>25</c:v>
                </c:pt>
                <c:pt idx="11">
                  <c:v>25.5</c:v>
                </c:pt>
                <c:pt idx="12">
                  <c:v>26</c:v>
                </c:pt>
                <c:pt idx="13">
                  <c:v>26.5</c:v>
                </c:pt>
                <c:pt idx="14">
                  <c:v>27</c:v>
                </c:pt>
                <c:pt idx="15">
                  <c:v>27.5</c:v>
                </c:pt>
                <c:pt idx="16">
                  <c:v>28</c:v>
                </c:pt>
                <c:pt idx="17">
                  <c:v>28.5</c:v>
                </c:pt>
                <c:pt idx="18">
                  <c:v>29</c:v>
                </c:pt>
                <c:pt idx="19">
                  <c:v>29.5</c:v>
                </c:pt>
                <c:pt idx="20">
                  <c:v>30</c:v>
                </c:pt>
                <c:pt idx="21">
                  <c:v>30.5</c:v>
                </c:pt>
                <c:pt idx="22">
                  <c:v>31</c:v>
                </c:pt>
                <c:pt idx="23">
                  <c:v>31.5</c:v>
                </c:pt>
                <c:pt idx="24">
                  <c:v>32</c:v>
                </c:pt>
                <c:pt idx="25">
                  <c:v>32.5</c:v>
                </c:pt>
                <c:pt idx="26">
                  <c:v>33</c:v>
                </c:pt>
                <c:pt idx="27">
                  <c:v>33.5</c:v>
                </c:pt>
                <c:pt idx="28">
                  <c:v>34</c:v>
                </c:pt>
                <c:pt idx="29">
                  <c:v>34.5</c:v>
                </c:pt>
                <c:pt idx="30">
                  <c:v>35</c:v>
                </c:pt>
                <c:pt idx="31">
                  <c:v>35.5</c:v>
                </c:pt>
                <c:pt idx="32">
                  <c:v>36</c:v>
                </c:pt>
                <c:pt idx="33">
                  <c:v>36.5</c:v>
                </c:pt>
                <c:pt idx="34">
                  <c:v>37</c:v>
                </c:pt>
                <c:pt idx="35">
                  <c:v>37.5</c:v>
                </c:pt>
                <c:pt idx="36">
                  <c:v>38</c:v>
                </c:pt>
                <c:pt idx="37">
                  <c:v>38.5</c:v>
                </c:pt>
                <c:pt idx="38">
                  <c:v>39</c:v>
                </c:pt>
                <c:pt idx="39">
                  <c:v>39.5</c:v>
                </c:pt>
                <c:pt idx="40">
                  <c:v>40</c:v>
                </c:pt>
                <c:pt idx="41">
                  <c:v>40.5</c:v>
                </c:pt>
                <c:pt idx="42">
                  <c:v>41</c:v>
                </c:pt>
                <c:pt idx="43">
                  <c:v>41.5</c:v>
                </c:pt>
                <c:pt idx="44">
                  <c:v>42</c:v>
                </c:pt>
                <c:pt idx="45">
                  <c:v>42.5</c:v>
                </c:pt>
                <c:pt idx="46">
                  <c:v>43</c:v>
                </c:pt>
                <c:pt idx="47">
                  <c:v>43.5</c:v>
                </c:pt>
                <c:pt idx="48">
                  <c:v>44</c:v>
                </c:pt>
                <c:pt idx="49">
                  <c:v>44.5</c:v>
                </c:pt>
                <c:pt idx="50">
                  <c:v>45</c:v>
                </c:pt>
                <c:pt idx="51">
                  <c:v>45.5</c:v>
                </c:pt>
                <c:pt idx="52">
                  <c:v>46</c:v>
                </c:pt>
                <c:pt idx="53">
                  <c:v>46.5</c:v>
                </c:pt>
                <c:pt idx="54">
                  <c:v>47</c:v>
                </c:pt>
                <c:pt idx="55">
                  <c:v>47.5</c:v>
                </c:pt>
                <c:pt idx="56">
                  <c:v>48</c:v>
                </c:pt>
                <c:pt idx="57">
                  <c:v>48.5</c:v>
                </c:pt>
                <c:pt idx="58">
                  <c:v>49</c:v>
                </c:pt>
                <c:pt idx="59">
                  <c:v>49.5</c:v>
                </c:pt>
                <c:pt idx="60">
                  <c:v>50</c:v>
                </c:pt>
                <c:pt idx="61">
                  <c:v>50.5</c:v>
                </c:pt>
                <c:pt idx="62">
                  <c:v>51</c:v>
                </c:pt>
                <c:pt idx="63">
                  <c:v>51.5</c:v>
                </c:pt>
                <c:pt idx="64">
                  <c:v>52</c:v>
                </c:pt>
                <c:pt idx="65">
                  <c:v>52.5</c:v>
                </c:pt>
                <c:pt idx="66">
                  <c:v>53</c:v>
                </c:pt>
                <c:pt idx="67">
                  <c:v>53.5</c:v>
                </c:pt>
                <c:pt idx="68">
                  <c:v>54</c:v>
                </c:pt>
                <c:pt idx="69">
                  <c:v>54.5</c:v>
                </c:pt>
                <c:pt idx="70">
                  <c:v>55</c:v>
                </c:pt>
              </c:numCache>
            </c:numRef>
          </c:cat>
          <c:val>
            <c:numRef>
              <c:f>'F10.5'!$Y$46:$Y$116</c:f>
              <c:numCache>
                <c:formatCode>General</c:formatCode>
                <c:ptCount val="7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numCache>
            </c:numRef>
          </c:val>
          <c:smooth val="0"/>
          <c:extLst>
            <c:ext xmlns:c16="http://schemas.microsoft.com/office/drawing/2014/chart" uri="{C3380CC4-5D6E-409C-BE32-E72D297353CC}">
              <c16:uniqueId val="{00000003-F80A-4DD7-86FF-D4835D9E33B4}"/>
            </c:ext>
          </c:extLst>
        </c:ser>
        <c:dLbls>
          <c:showLegendKey val="0"/>
          <c:showVal val="0"/>
          <c:showCatName val="0"/>
          <c:showSerName val="0"/>
          <c:showPercent val="0"/>
          <c:showBubbleSize val="0"/>
        </c:dLbls>
        <c:smooth val="0"/>
        <c:axId val="269523968"/>
        <c:axId val="269530240"/>
      </c:lineChart>
      <c:catAx>
        <c:axId val="269523968"/>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sz="1100" b="1">
                    <a:latin typeface="Times New Roman" panose="02020603050405020304" pitchFamily="18" charset="0"/>
                    <a:cs typeface="Times New Roman" panose="02020603050405020304" pitchFamily="18" charset="0"/>
                  </a:rPr>
                  <a:t>Age</a:t>
                </a:r>
              </a:p>
            </c:rich>
          </c:tx>
          <c:overlay val="0"/>
          <c:spPr>
            <a:noFill/>
            <a:ln>
              <a:noFill/>
            </a:ln>
            <a:effectLst/>
          </c:spPr>
        </c:title>
        <c:numFmt formatCode="_(* #,##0_);_(* \(#,##0\);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9530240"/>
        <c:crosses val="autoZero"/>
        <c:auto val="1"/>
        <c:lblAlgn val="ctr"/>
        <c:lblOffset val="100"/>
        <c:tickLblSkip val="10"/>
        <c:noMultiLvlLbl val="0"/>
      </c:catAx>
      <c:valAx>
        <c:axId val="269530240"/>
        <c:scaling>
          <c:orientation val="minMax"/>
          <c:max val="600"/>
          <c:min val="0"/>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9523968"/>
        <c:crosses val="autoZero"/>
        <c:crossBetween val="between"/>
        <c:majorUnit val="100"/>
      </c:valAx>
      <c:spPr>
        <a:solidFill>
          <a:schemeClr val="bg1">
            <a:lumMod val="85000"/>
          </a:schemeClr>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1">
                <a:solidFill>
                  <a:sysClr val="windowText" lastClr="000000"/>
                </a:solidFill>
                <a:latin typeface="Times New Roman" panose="02020603050405020304" pitchFamily="18" charset="0"/>
                <a:cs typeface="Times New Roman" panose="02020603050405020304" pitchFamily="18" charset="0"/>
              </a:rPr>
              <a:t>Proportion of Time Spent</a:t>
            </a:r>
            <a:r>
              <a:rPr lang="en-US" sz="1200" b="1" baseline="0">
                <a:solidFill>
                  <a:sysClr val="windowText" lastClr="000000"/>
                </a:solidFill>
                <a:latin typeface="Times New Roman" panose="02020603050405020304" pitchFamily="18" charset="0"/>
                <a:cs typeface="Times New Roman" panose="02020603050405020304" pitchFamily="18" charset="0"/>
              </a:rPr>
              <a:t> in Initial Employment Status</a:t>
            </a:r>
          </a:p>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1" baseline="0">
                <a:solidFill>
                  <a:sysClr val="windowText" lastClr="000000"/>
                </a:solidFill>
                <a:latin typeface="Times New Roman" panose="02020603050405020304" pitchFamily="18" charset="0"/>
                <a:cs typeface="Times New Roman" panose="02020603050405020304" pitchFamily="18" charset="0"/>
              </a:rPr>
              <a:t>Conditional on 2002 Status</a:t>
            </a:r>
          </a:p>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1" baseline="0">
                <a:solidFill>
                  <a:sysClr val="windowText" lastClr="000000"/>
                </a:solidFill>
                <a:latin typeface="Times New Roman" panose="02020603050405020304" pitchFamily="18" charset="0"/>
                <a:cs typeface="Times New Roman" panose="02020603050405020304" pitchFamily="18" charset="0"/>
              </a:rPr>
              <a:t>A. Men</a:t>
            </a:r>
            <a:endParaRPr lang="en-US" sz="1200" b="1">
              <a:solidFill>
                <a:sysClr val="windowText" lastClr="000000"/>
              </a:solidFill>
              <a:latin typeface="Times New Roman" panose="02020603050405020304" pitchFamily="18" charset="0"/>
              <a:cs typeface="Times New Roman" panose="02020603050405020304" pitchFamily="18" charset="0"/>
            </a:endParaRPr>
          </a:p>
        </c:rich>
      </c:tx>
      <c:overlay val="0"/>
      <c:spPr>
        <a:noFill/>
        <a:ln>
          <a:noFill/>
        </a:ln>
        <a:effectLst/>
      </c:spPr>
    </c:title>
    <c:autoTitleDeleted val="0"/>
    <c:plotArea>
      <c:layout>
        <c:manualLayout>
          <c:layoutTarget val="inner"/>
          <c:xMode val="edge"/>
          <c:yMode val="edge"/>
          <c:x val="0.4635381067359628"/>
          <c:y val="0.36191804197849881"/>
          <c:w val="6.2677156227730332E-2"/>
          <c:h val="4.937048503611971E-2"/>
        </c:manualLayout>
      </c:layout>
      <c:barChart>
        <c:barDir val="col"/>
        <c:grouping val="stacked"/>
        <c:varyColors val="0"/>
        <c:ser>
          <c:idx val="0"/>
          <c:order val="0"/>
          <c:tx>
            <c:strRef>
              <c:f>'F10.6'!$B$42</c:f>
              <c:strCache>
                <c:ptCount val="1"/>
                <c:pt idx="0">
                  <c:v>Same sector</c:v>
                </c:pt>
              </c:strCache>
            </c:strRef>
          </c:tx>
          <c:spPr>
            <a:solidFill>
              <a:srgbClr val="918477"/>
            </a:solidFill>
            <a:ln>
              <a:noFill/>
            </a:ln>
            <a:effectLst/>
          </c:spPr>
          <c:invertIfNegative val="0"/>
          <c:cat>
            <c:strRef>
              <c:f>'F10.6'!$C$41:$F$41</c:f>
              <c:strCache>
                <c:ptCount val="4"/>
                <c:pt idx="0">
                  <c:v>Employed Formal</c:v>
                </c:pt>
                <c:pt idx="1">
                  <c:v>Employed Informal</c:v>
                </c:pt>
                <c:pt idx="2">
                  <c:v>Self-Employed</c:v>
                </c:pt>
                <c:pt idx="3">
                  <c:v>Employer</c:v>
                </c:pt>
              </c:strCache>
            </c:strRef>
          </c:cat>
          <c:val>
            <c:numRef>
              <c:f>'F10.6'!$C$42:$F$42</c:f>
              <c:numCache>
                <c:formatCode>General</c:formatCode>
                <c:ptCount val="4"/>
                <c:pt idx="0">
                  <c:v>92.734819650649996</c:v>
                </c:pt>
                <c:pt idx="1">
                  <c:v>87.452787160873399</c:v>
                </c:pt>
                <c:pt idx="2">
                  <c:v>97.732847929000798</c:v>
                </c:pt>
                <c:pt idx="3">
                  <c:v>97.313594818115206</c:v>
                </c:pt>
              </c:numCache>
            </c:numRef>
          </c:val>
          <c:extLst>
            <c:ext xmlns:c16="http://schemas.microsoft.com/office/drawing/2014/chart" uri="{C3380CC4-5D6E-409C-BE32-E72D297353CC}">
              <c16:uniqueId val="{00000000-D16A-47C8-BC1C-45ED5A5CE515}"/>
            </c:ext>
          </c:extLst>
        </c:ser>
        <c:ser>
          <c:idx val="1"/>
          <c:order val="1"/>
          <c:tx>
            <c:strRef>
              <c:f>'F10.6'!$B$43</c:f>
              <c:strCache>
                <c:ptCount val="1"/>
                <c:pt idx="0">
                  <c:v>Different sector</c:v>
                </c:pt>
              </c:strCache>
            </c:strRef>
          </c:tx>
          <c:spPr>
            <a:solidFill>
              <a:srgbClr val="EDADCA"/>
            </a:solidFill>
            <a:ln>
              <a:noFill/>
            </a:ln>
            <a:effectLst/>
          </c:spPr>
          <c:invertIfNegative val="0"/>
          <c:cat>
            <c:strRef>
              <c:f>'F10.6'!$C$41:$F$41</c:f>
              <c:strCache>
                <c:ptCount val="4"/>
                <c:pt idx="0">
                  <c:v>Employed Formal</c:v>
                </c:pt>
                <c:pt idx="1">
                  <c:v>Employed Informal</c:v>
                </c:pt>
                <c:pt idx="2">
                  <c:v>Self-Employed</c:v>
                </c:pt>
                <c:pt idx="3">
                  <c:v>Employer</c:v>
                </c:pt>
              </c:strCache>
            </c:strRef>
          </c:cat>
          <c:val>
            <c:numRef>
              <c:f>'F10.6'!$C$43:$F$43</c:f>
              <c:numCache>
                <c:formatCode>General</c:formatCode>
                <c:ptCount val="4"/>
                <c:pt idx="0">
                  <c:v>2.9959665611386197</c:v>
                </c:pt>
                <c:pt idx="1">
                  <c:v>5.1699716597795407</c:v>
                </c:pt>
                <c:pt idx="2">
                  <c:v>0.74550653807818801</c:v>
                </c:pt>
                <c:pt idx="3">
                  <c:v>0.90460525825619598</c:v>
                </c:pt>
              </c:numCache>
            </c:numRef>
          </c:val>
          <c:extLst>
            <c:ext xmlns:c16="http://schemas.microsoft.com/office/drawing/2014/chart" uri="{C3380CC4-5D6E-409C-BE32-E72D297353CC}">
              <c16:uniqueId val="{00000001-D16A-47C8-BC1C-45ED5A5CE515}"/>
            </c:ext>
          </c:extLst>
        </c:ser>
        <c:ser>
          <c:idx val="2"/>
          <c:order val="2"/>
          <c:tx>
            <c:strRef>
              <c:f>'F10.6'!$B$44</c:f>
              <c:strCache>
                <c:ptCount val="1"/>
                <c:pt idx="0">
                  <c:v>Inactive or Unemployed</c:v>
                </c:pt>
              </c:strCache>
            </c:strRef>
          </c:tx>
          <c:spPr>
            <a:solidFill>
              <a:schemeClr val="accent4">
                <a:lumMod val="60000"/>
                <a:lumOff val="40000"/>
              </a:schemeClr>
            </a:solidFill>
            <a:ln>
              <a:noFill/>
            </a:ln>
            <a:effectLst/>
          </c:spPr>
          <c:invertIfNegative val="0"/>
          <c:cat>
            <c:strRef>
              <c:f>'F10.6'!$C$41:$F$41</c:f>
              <c:strCache>
                <c:ptCount val="4"/>
                <c:pt idx="0">
                  <c:v>Employed Formal</c:v>
                </c:pt>
                <c:pt idx="1">
                  <c:v>Employed Informal</c:v>
                </c:pt>
                <c:pt idx="2">
                  <c:v>Self-Employed</c:v>
                </c:pt>
                <c:pt idx="3">
                  <c:v>Employer</c:v>
                </c:pt>
              </c:strCache>
            </c:strRef>
          </c:cat>
          <c:val>
            <c:numRef>
              <c:f>'F10.6'!$C$44:$F$44</c:f>
              <c:numCache>
                <c:formatCode>General</c:formatCode>
                <c:ptCount val="4"/>
                <c:pt idx="0">
                  <c:v>4.2692095041274998</c:v>
                </c:pt>
                <c:pt idx="1">
                  <c:v>7.3772422969341198</c:v>
                </c:pt>
                <c:pt idx="2">
                  <c:v>1.5216503292322099</c:v>
                </c:pt>
                <c:pt idx="3">
                  <c:v>1.78179834038019</c:v>
                </c:pt>
              </c:numCache>
            </c:numRef>
          </c:val>
          <c:extLst>
            <c:ext xmlns:c16="http://schemas.microsoft.com/office/drawing/2014/chart" uri="{C3380CC4-5D6E-409C-BE32-E72D297353CC}">
              <c16:uniqueId val="{00000002-D16A-47C8-BC1C-45ED5A5CE515}"/>
            </c:ext>
          </c:extLst>
        </c:ser>
        <c:dLbls>
          <c:showLegendKey val="0"/>
          <c:showVal val="0"/>
          <c:showCatName val="0"/>
          <c:showSerName val="0"/>
          <c:showPercent val="0"/>
          <c:showBubbleSize val="0"/>
        </c:dLbls>
        <c:gapWidth val="150"/>
        <c:overlap val="100"/>
        <c:axId val="269639680"/>
        <c:axId val="269641216"/>
      </c:barChart>
      <c:catAx>
        <c:axId val="26963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69641216"/>
        <c:crosses val="autoZero"/>
        <c:auto val="1"/>
        <c:lblAlgn val="ctr"/>
        <c:lblOffset val="100"/>
        <c:noMultiLvlLbl val="0"/>
      </c:catAx>
      <c:valAx>
        <c:axId val="269641216"/>
        <c:scaling>
          <c:orientation val="minMax"/>
          <c:max val="110"/>
          <c:min val="0"/>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69639680"/>
        <c:crosses val="autoZero"/>
        <c:crossBetween val="between"/>
        <c:majorUnit val="20"/>
      </c:valAx>
      <c:spPr>
        <a:solidFill>
          <a:schemeClr val="bg1">
            <a:lumMod val="85000"/>
          </a:schemeClr>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B.</a:t>
            </a:r>
            <a:r>
              <a:rPr lang="en-US" sz="1200" b="1" baseline="0">
                <a:solidFill>
                  <a:sysClr val="windowText" lastClr="000000"/>
                </a:solidFill>
              </a:rPr>
              <a:t> </a:t>
            </a:r>
            <a:r>
              <a:rPr lang="en-US" sz="1200" b="1">
                <a:solidFill>
                  <a:sysClr val="windowText" lastClr="000000"/>
                </a:solidFill>
              </a:rPr>
              <a:t>Women</a:t>
            </a:r>
          </a:p>
        </c:rich>
      </c:tx>
      <c:overlay val="0"/>
      <c:spPr>
        <a:noFill/>
        <a:ln>
          <a:noFill/>
        </a:ln>
        <a:effectLst/>
      </c:spPr>
    </c:title>
    <c:autoTitleDeleted val="0"/>
    <c:plotArea>
      <c:layout>
        <c:manualLayout>
          <c:layoutTarget val="inner"/>
          <c:xMode val="edge"/>
          <c:yMode val="edge"/>
          <c:x val="0.4672366272500037"/>
          <c:y val="0.25046296296296294"/>
          <c:w val="9.7813490773264955E-2"/>
          <c:h val="8.6522309711286091E-2"/>
        </c:manualLayout>
      </c:layout>
      <c:barChart>
        <c:barDir val="col"/>
        <c:grouping val="stacked"/>
        <c:varyColors val="0"/>
        <c:ser>
          <c:idx val="0"/>
          <c:order val="0"/>
          <c:tx>
            <c:strRef>
              <c:f>'F10.6'!$B$42</c:f>
              <c:strCache>
                <c:ptCount val="1"/>
                <c:pt idx="0">
                  <c:v>Same sector</c:v>
                </c:pt>
              </c:strCache>
            </c:strRef>
          </c:tx>
          <c:spPr>
            <a:solidFill>
              <a:srgbClr val="918477"/>
            </a:solidFill>
            <a:ln>
              <a:noFill/>
            </a:ln>
            <a:effectLst/>
          </c:spPr>
          <c:invertIfNegative val="0"/>
          <c:cat>
            <c:strRef>
              <c:f>'F10.6'!$C$41:$F$41</c:f>
              <c:strCache>
                <c:ptCount val="4"/>
                <c:pt idx="0">
                  <c:v>Employed Formal</c:v>
                </c:pt>
                <c:pt idx="1">
                  <c:v>Employed Informal</c:v>
                </c:pt>
                <c:pt idx="2">
                  <c:v>Self-Employed</c:v>
                </c:pt>
                <c:pt idx="3">
                  <c:v>Employer</c:v>
                </c:pt>
              </c:strCache>
            </c:strRef>
          </c:cat>
          <c:val>
            <c:numRef>
              <c:f>'F10.6'!$C$42:$F$42</c:f>
              <c:numCache>
                <c:formatCode>General</c:formatCode>
                <c:ptCount val="4"/>
                <c:pt idx="0">
                  <c:v>92.734819650649996</c:v>
                </c:pt>
                <c:pt idx="1">
                  <c:v>87.452787160873399</c:v>
                </c:pt>
                <c:pt idx="2">
                  <c:v>97.732847929000798</c:v>
                </c:pt>
                <c:pt idx="3">
                  <c:v>97.313594818115206</c:v>
                </c:pt>
              </c:numCache>
            </c:numRef>
          </c:val>
          <c:extLst>
            <c:ext xmlns:c16="http://schemas.microsoft.com/office/drawing/2014/chart" uri="{C3380CC4-5D6E-409C-BE32-E72D297353CC}">
              <c16:uniqueId val="{00000000-84F8-48B0-8D14-8FE016307D6B}"/>
            </c:ext>
          </c:extLst>
        </c:ser>
        <c:ser>
          <c:idx val="1"/>
          <c:order val="1"/>
          <c:tx>
            <c:strRef>
              <c:f>'F10.6'!$B$43</c:f>
              <c:strCache>
                <c:ptCount val="1"/>
                <c:pt idx="0">
                  <c:v>Different sector</c:v>
                </c:pt>
              </c:strCache>
            </c:strRef>
          </c:tx>
          <c:spPr>
            <a:solidFill>
              <a:srgbClr val="EDADCA"/>
            </a:solidFill>
            <a:ln>
              <a:noFill/>
            </a:ln>
            <a:effectLst/>
          </c:spPr>
          <c:invertIfNegative val="0"/>
          <c:cat>
            <c:strRef>
              <c:f>'F10.6'!$C$41:$F$41</c:f>
              <c:strCache>
                <c:ptCount val="4"/>
                <c:pt idx="0">
                  <c:v>Employed Formal</c:v>
                </c:pt>
                <c:pt idx="1">
                  <c:v>Employed Informal</c:v>
                </c:pt>
                <c:pt idx="2">
                  <c:v>Self-Employed</c:v>
                </c:pt>
                <c:pt idx="3">
                  <c:v>Employer</c:v>
                </c:pt>
              </c:strCache>
            </c:strRef>
          </c:cat>
          <c:val>
            <c:numRef>
              <c:f>'F10.6'!$C$43:$F$43</c:f>
              <c:numCache>
                <c:formatCode>General</c:formatCode>
                <c:ptCount val="4"/>
                <c:pt idx="0">
                  <c:v>2.9959665611386197</c:v>
                </c:pt>
                <c:pt idx="1">
                  <c:v>5.1699716597795407</c:v>
                </c:pt>
                <c:pt idx="2">
                  <c:v>0.74550653807818801</c:v>
                </c:pt>
                <c:pt idx="3">
                  <c:v>0.90460525825619598</c:v>
                </c:pt>
              </c:numCache>
            </c:numRef>
          </c:val>
          <c:extLst>
            <c:ext xmlns:c16="http://schemas.microsoft.com/office/drawing/2014/chart" uri="{C3380CC4-5D6E-409C-BE32-E72D297353CC}">
              <c16:uniqueId val="{00000001-84F8-48B0-8D14-8FE016307D6B}"/>
            </c:ext>
          </c:extLst>
        </c:ser>
        <c:ser>
          <c:idx val="2"/>
          <c:order val="2"/>
          <c:tx>
            <c:strRef>
              <c:f>'F10.6'!$B$44</c:f>
              <c:strCache>
                <c:ptCount val="1"/>
                <c:pt idx="0">
                  <c:v>Inactive or Unemployed</c:v>
                </c:pt>
              </c:strCache>
            </c:strRef>
          </c:tx>
          <c:spPr>
            <a:solidFill>
              <a:schemeClr val="accent4">
                <a:lumMod val="60000"/>
                <a:lumOff val="40000"/>
              </a:schemeClr>
            </a:solidFill>
            <a:ln>
              <a:noFill/>
            </a:ln>
            <a:effectLst/>
          </c:spPr>
          <c:invertIfNegative val="0"/>
          <c:cat>
            <c:strRef>
              <c:f>'F10.6'!$C$41:$F$41</c:f>
              <c:strCache>
                <c:ptCount val="4"/>
                <c:pt idx="0">
                  <c:v>Employed Formal</c:v>
                </c:pt>
                <c:pt idx="1">
                  <c:v>Employed Informal</c:v>
                </c:pt>
                <c:pt idx="2">
                  <c:v>Self-Employed</c:v>
                </c:pt>
                <c:pt idx="3">
                  <c:v>Employer</c:v>
                </c:pt>
              </c:strCache>
            </c:strRef>
          </c:cat>
          <c:val>
            <c:numRef>
              <c:f>'F10.6'!$C$44:$F$44</c:f>
              <c:numCache>
                <c:formatCode>General</c:formatCode>
                <c:ptCount val="4"/>
                <c:pt idx="0">
                  <c:v>4.2692095041274998</c:v>
                </c:pt>
                <c:pt idx="1">
                  <c:v>7.3772422969341198</c:v>
                </c:pt>
                <c:pt idx="2">
                  <c:v>1.5216503292322099</c:v>
                </c:pt>
                <c:pt idx="3">
                  <c:v>1.78179834038019</c:v>
                </c:pt>
              </c:numCache>
            </c:numRef>
          </c:val>
          <c:extLst>
            <c:ext xmlns:c16="http://schemas.microsoft.com/office/drawing/2014/chart" uri="{C3380CC4-5D6E-409C-BE32-E72D297353CC}">
              <c16:uniqueId val="{00000002-84F8-48B0-8D14-8FE016307D6B}"/>
            </c:ext>
          </c:extLst>
        </c:ser>
        <c:dLbls>
          <c:showLegendKey val="0"/>
          <c:showVal val="0"/>
          <c:showCatName val="0"/>
          <c:showSerName val="0"/>
          <c:showPercent val="0"/>
          <c:showBubbleSize val="0"/>
        </c:dLbls>
        <c:gapWidth val="150"/>
        <c:overlap val="100"/>
        <c:axId val="269672448"/>
        <c:axId val="269673984"/>
      </c:barChart>
      <c:catAx>
        <c:axId val="269672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69673984"/>
        <c:crosses val="autoZero"/>
        <c:auto val="1"/>
        <c:lblAlgn val="ctr"/>
        <c:lblOffset val="100"/>
        <c:noMultiLvlLbl val="0"/>
      </c:catAx>
      <c:valAx>
        <c:axId val="269673984"/>
        <c:scaling>
          <c:orientation val="minMax"/>
          <c:max val="110"/>
          <c:min val="0"/>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69672448"/>
        <c:crosses val="autoZero"/>
        <c:crossBetween val="between"/>
        <c:majorUnit val="20"/>
      </c:valAx>
      <c:spPr>
        <a:solidFill>
          <a:schemeClr val="bg1">
            <a:lumMod val="85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'F3.3'!$P$53</c:f>
              <c:strCache>
                <c:ptCount val="1"/>
                <c:pt idx="0">
                  <c:v>US</c:v>
                </c:pt>
              </c:strCache>
            </c:strRef>
          </c:tx>
          <c:spPr>
            <a:solidFill>
              <a:schemeClr val="tx2"/>
            </a:solidFill>
          </c:spPr>
          <c:invertIfNegative val="0"/>
          <c:dLbls>
            <c:spPr>
              <a:noFill/>
              <a:ln>
                <a:noFill/>
              </a:ln>
              <a:effectLst/>
            </c:spPr>
            <c:txPr>
              <a:bodyPr/>
              <a:lstStyle/>
              <a:p>
                <a:pPr>
                  <a:defRPr sz="1200">
                    <a:latin typeface="Times New Roman" panose="02020603050405020304" pitchFamily="18"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'F3.3'!$Q$51:$R$51</c:f>
              <c:strCache>
                <c:ptCount val="2"/>
                <c:pt idx="0">
                  <c:v>Childhood (TIMMS - 4th and 5th graders)</c:v>
                </c:pt>
                <c:pt idx="1">
                  <c:v>Adolescence (PISA - 8th graders)</c:v>
                </c:pt>
              </c:strCache>
            </c:strRef>
          </c:cat>
          <c:val>
            <c:numRef>
              <c:f>'F3.3'!$Q$53:$R$53</c:f>
              <c:numCache>
                <c:formatCode>0%</c:formatCode>
                <c:ptCount val="2"/>
                <c:pt idx="0">
                  <c:v>0.95</c:v>
                </c:pt>
                <c:pt idx="1">
                  <c:v>0.70621176414530906</c:v>
                </c:pt>
              </c:numCache>
            </c:numRef>
          </c:val>
          <c:extLst>
            <c:ext xmlns:c16="http://schemas.microsoft.com/office/drawing/2014/chart" uri="{C3380CC4-5D6E-409C-BE32-E72D297353CC}">
              <c16:uniqueId val="{00000000-F584-44B8-965E-62F9B64E2386}"/>
            </c:ext>
          </c:extLst>
        </c:ser>
        <c:ser>
          <c:idx val="2"/>
          <c:order val="1"/>
          <c:tx>
            <c:strRef>
              <c:f>'F3.3'!$P$54</c:f>
              <c:strCache>
                <c:ptCount val="1"/>
                <c:pt idx="0">
                  <c:v>Developed Countries</c:v>
                </c:pt>
              </c:strCache>
            </c:strRef>
          </c:tx>
          <c:spPr>
            <a:pattFill prst="wdDnDiag">
              <a:fgClr>
                <a:schemeClr val="tx2"/>
              </a:fgClr>
              <a:bgClr>
                <a:schemeClr val="bg1"/>
              </a:bgClr>
            </a:pattFill>
            <a:ln>
              <a:solidFill>
                <a:schemeClr val="tx2"/>
              </a:solidFill>
            </a:ln>
          </c:spPr>
          <c:invertIfNegative val="0"/>
          <c:dLbls>
            <c:spPr>
              <a:noFill/>
              <a:ln>
                <a:noFill/>
              </a:ln>
              <a:effectLst/>
            </c:spPr>
            <c:txPr>
              <a:bodyPr/>
              <a:lstStyle/>
              <a:p>
                <a:pPr>
                  <a:defRPr sz="1200">
                    <a:latin typeface="Times New Roman" panose="02020603050405020304" pitchFamily="18"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'F3.3'!$Q$51:$R$51</c:f>
              <c:strCache>
                <c:ptCount val="2"/>
                <c:pt idx="0">
                  <c:v>Childhood (TIMMS - 4th and 5th graders)</c:v>
                </c:pt>
                <c:pt idx="1">
                  <c:v>Adolescence (PISA - 8th graders)</c:v>
                </c:pt>
              </c:strCache>
            </c:strRef>
          </c:cat>
          <c:val>
            <c:numRef>
              <c:f>'F3.3'!$Q$54:$R$54</c:f>
              <c:numCache>
                <c:formatCode>0%</c:formatCode>
                <c:ptCount val="2"/>
                <c:pt idx="0">
                  <c:v>0.93200000000000005</c:v>
                </c:pt>
                <c:pt idx="1">
                  <c:v>0.80241948271594044</c:v>
                </c:pt>
              </c:numCache>
            </c:numRef>
          </c:val>
          <c:extLst>
            <c:ext xmlns:c16="http://schemas.microsoft.com/office/drawing/2014/chart" uri="{C3380CC4-5D6E-409C-BE32-E72D297353CC}">
              <c16:uniqueId val="{00000001-F584-44B8-965E-62F9B64E2386}"/>
            </c:ext>
          </c:extLst>
        </c:ser>
        <c:ser>
          <c:idx val="0"/>
          <c:order val="2"/>
          <c:tx>
            <c:strRef>
              <c:f>'F3.3'!$P$52</c:f>
              <c:strCache>
                <c:ptCount val="1"/>
                <c:pt idx="0">
                  <c:v>Panama</c:v>
                </c:pt>
              </c:strCache>
            </c:strRef>
          </c:tx>
          <c:spPr>
            <a:solidFill>
              <a:schemeClr val="accent2">
                <a:lumMod val="75000"/>
              </a:schemeClr>
            </a:solidFill>
          </c:spPr>
          <c:invertIfNegative val="0"/>
          <c:dLbls>
            <c:spPr>
              <a:noFill/>
              <a:ln>
                <a:noFill/>
              </a:ln>
              <a:effectLst/>
            </c:spPr>
            <c:txPr>
              <a:bodyPr/>
              <a:lstStyle/>
              <a:p>
                <a:pPr>
                  <a:defRPr sz="1200">
                    <a:latin typeface="Times New Roman" panose="02020603050405020304" pitchFamily="18"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'F3.3'!$Q$51:$R$51</c:f>
              <c:strCache>
                <c:ptCount val="2"/>
                <c:pt idx="0">
                  <c:v>Childhood (TIMMS - 4th and 5th graders)</c:v>
                </c:pt>
                <c:pt idx="1">
                  <c:v>Adolescence (PISA - 8th graders)</c:v>
                </c:pt>
              </c:strCache>
            </c:strRef>
          </c:cat>
          <c:val>
            <c:numRef>
              <c:f>'F3.3'!$Q$52:$R$52</c:f>
              <c:numCache>
                <c:formatCode>0%</c:formatCode>
                <c:ptCount val="2"/>
                <c:pt idx="0">
                  <c:v>0.15835260000000001</c:v>
                </c:pt>
                <c:pt idx="1">
                  <c:v>0</c:v>
                </c:pt>
              </c:numCache>
            </c:numRef>
          </c:val>
          <c:extLst>
            <c:ext xmlns:c16="http://schemas.microsoft.com/office/drawing/2014/chart" uri="{C3380CC4-5D6E-409C-BE32-E72D297353CC}">
              <c16:uniqueId val="{00000002-F584-44B8-965E-62F9B64E2386}"/>
            </c:ext>
          </c:extLst>
        </c:ser>
        <c:ser>
          <c:idx val="4"/>
          <c:order val="3"/>
          <c:tx>
            <c:strRef>
              <c:f>'F3.3'!$P$55</c:f>
              <c:strCache>
                <c:ptCount val="1"/>
                <c:pt idx="0">
                  <c:v>Latin America</c:v>
                </c:pt>
              </c:strCache>
            </c:strRef>
          </c:tx>
          <c:spPr>
            <a:solidFill>
              <a:schemeClr val="bg2">
                <a:lumMod val="50000"/>
              </a:schemeClr>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'F3.3'!$Q$55:$R$55</c:f>
              <c:numCache>
                <c:formatCode>0%</c:formatCode>
                <c:ptCount val="2"/>
                <c:pt idx="0">
                  <c:v>0.29565557999999997</c:v>
                </c:pt>
                <c:pt idx="1">
                  <c:v>0.35475769291764248</c:v>
                </c:pt>
              </c:numCache>
            </c:numRef>
          </c:val>
          <c:extLst>
            <c:ext xmlns:c16="http://schemas.microsoft.com/office/drawing/2014/chart" uri="{C3380CC4-5D6E-409C-BE32-E72D297353CC}">
              <c16:uniqueId val="{00000000-BE78-421B-A05E-BEEC017E52AB}"/>
            </c:ext>
          </c:extLst>
        </c:ser>
        <c:ser>
          <c:idx val="3"/>
          <c:order val="4"/>
          <c:tx>
            <c:strRef>
              <c:f>'F3.3'!$P$56</c:f>
              <c:strCache>
                <c:ptCount val="1"/>
                <c:pt idx="0">
                  <c:v>Comparison Countries</c:v>
                </c:pt>
              </c:strCache>
            </c:strRef>
          </c:tx>
          <c:spPr>
            <a:solidFill>
              <a:schemeClr val="bg1">
                <a:lumMod val="50000"/>
              </a:schemeClr>
            </a:solidFill>
          </c:spPr>
          <c:invertIfNegative val="0"/>
          <c:dLbls>
            <c:spPr>
              <a:noFill/>
              <a:ln>
                <a:noFill/>
              </a:ln>
              <a:effectLst/>
            </c:spPr>
            <c:txPr>
              <a:bodyPr/>
              <a:lstStyle/>
              <a:p>
                <a:pPr>
                  <a:defRPr sz="1200">
                    <a:latin typeface="Times New Roman" panose="02020603050405020304" pitchFamily="18"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'F3.3'!$Q$51:$R$51</c:f>
              <c:strCache>
                <c:ptCount val="2"/>
                <c:pt idx="0">
                  <c:v>Childhood (TIMMS - 4th and 5th graders)</c:v>
                </c:pt>
                <c:pt idx="1">
                  <c:v>Adolescence (PISA - 8th graders)</c:v>
                </c:pt>
              </c:strCache>
            </c:strRef>
          </c:cat>
          <c:val>
            <c:numRef>
              <c:f>'F3.3'!$Q$56:$R$56</c:f>
              <c:numCache>
                <c:formatCode>0%</c:formatCode>
                <c:ptCount val="2"/>
                <c:pt idx="0">
                  <c:v>0.66125</c:v>
                </c:pt>
                <c:pt idx="1">
                  <c:v>0.50485482102270218</c:v>
                </c:pt>
              </c:numCache>
            </c:numRef>
          </c:val>
          <c:extLst>
            <c:ext xmlns:c16="http://schemas.microsoft.com/office/drawing/2014/chart" uri="{C3380CC4-5D6E-409C-BE32-E72D297353CC}">
              <c16:uniqueId val="{00000003-F584-44B8-965E-62F9B64E2386}"/>
            </c:ext>
          </c:extLst>
        </c:ser>
        <c:dLbls>
          <c:dLblPos val="outEnd"/>
          <c:showLegendKey val="0"/>
          <c:showVal val="1"/>
          <c:showCatName val="0"/>
          <c:showSerName val="0"/>
          <c:showPercent val="0"/>
          <c:showBubbleSize val="0"/>
        </c:dLbls>
        <c:gapWidth val="150"/>
        <c:axId val="262841472"/>
        <c:axId val="262856704"/>
      </c:barChart>
      <c:catAx>
        <c:axId val="262841472"/>
        <c:scaling>
          <c:orientation val="minMax"/>
        </c:scaling>
        <c:delete val="0"/>
        <c:axPos val="b"/>
        <c:numFmt formatCode="General" sourceLinked="0"/>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2856704"/>
        <c:crosses val="autoZero"/>
        <c:auto val="1"/>
        <c:lblAlgn val="ctr"/>
        <c:lblOffset val="100"/>
        <c:noMultiLvlLbl val="0"/>
      </c:catAx>
      <c:valAx>
        <c:axId val="262856704"/>
        <c:scaling>
          <c:orientation val="minMax"/>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Percent of students</a:t>
                </a:r>
              </a:p>
            </c:rich>
          </c:tx>
          <c:overlay val="0"/>
        </c:title>
        <c:numFmt formatCode="0%"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2841472"/>
        <c:crosses val="autoZero"/>
        <c:crossBetween val="between"/>
      </c:valAx>
    </c:plotArea>
    <c:legend>
      <c:legendPos val="b"/>
      <c:overlay val="0"/>
      <c:txPr>
        <a:bodyPr/>
        <a:lstStyle/>
        <a:p>
          <a:pPr>
            <a:defRPr sz="120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1">
                <a:solidFill>
                  <a:sysClr val="windowText" lastClr="000000"/>
                </a:solidFill>
                <a:latin typeface="Times New Roman" panose="02020603050405020304" pitchFamily="18" charset="0"/>
                <a:cs typeface="Times New Roman" panose="02020603050405020304" pitchFamily="18" charset="0"/>
              </a:rPr>
              <a:t>2 years after 2002</a:t>
            </a:r>
          </a:p>
        </c:rich>
      </c:tx>
      <c:layout>
        <c:manualLayout>
          <c:xMode val="edge"/>
          <c:yMode val="edge"/>
          <c:x val="0.35543253295430344"/>
          <c:y val="1.7826904963880633E-2"/>
        </c:manualLayout>
      </c:layout>
      <c:overlay val="0"/>
      <c:spPr>
        <a:noFill/>
        <a:ln>
          <a:noFill/>
        </a:ln>
        <a:effectLst/>
      </c:spPr>
    </c:title>
    <c:autoTitleDeleted val="0"/>
    <c:plotArea>
      <c:layout>
        <c:manualLayout>
          <c:layoutTarget val="inner"/>
          <c:xMode val="edge"/>
          <c:yMode val="edge"/>
          <c:x val="0.14691487535945247"/>
          <c:y val="0.11989156632688847"/>
          <c:w val="0.81453934621724366"/>
          <c:h val="0.60348050433764622"/>
        </c:manualLayout>
      </c:layout>
      <c:barChart>
        <c:barDir val="col"/>
        <c:grouping val="stacked"/>
        <c:varyColors val="0"/>
        <c:ser>
          <c:idx val="0"/>
          <c:order val="0"/>
          <c:tx>
            <c:strRef>
              <c:f>'F10.6'!$B$42</c:f>
              <c:strCache>
                <c:ptCount val="1"/>
                <c:pt idx="0">
                  <c:v>Same sector</c:v>
                </c:pt>
              </c:strCache>
            </c:strRef>
          </c:tx>
          <c:spPr>
            <a:solidFill>
              <a:srgbClr val="918477"/>
            </a:solidFill>
            <a:ln>
              <a:noFill/>
            </a:ln>
            <a:effectLst/>
          </c:spPr>
          <c:invertIfNegative val="0"/>
          <c:cat>
            <c:strRef>
              <c:f>'F10.6'!$C$41:$F$41</c:f>
              <c:strCache>
                <c:ptCount val="4"/>
                <c:pt idx="0">
                  <c:v>Employed Formal</c:v>
                </c:pt>
                <c:pt idx="1">
                  <c:v>Employed Informal</c:v>
                </c:pt>
                <c:pt idx="2">
                  <c:v>Self-Employed</c:v>
                </c:pt>
                <c:pt idx="3">
                  <c:v>Employer</c:v>
                </c:pt>
              </c:strCache>
            </c:strRef>
          </c:cat>
          <c:val>
            <c:numRef>
              <c:f>'F10.6'!$C$42:$F$42</c:f>
              <c:numCache>
                <c:formatCode>General</c:formatCode>
                <c:ptCount val="4"/>
                <c:pt idx="0">
                  <c:v>92.734819650649996</c:v>
                </c:pt>
                <c:pt idx="1">
                  <c:v>87.452787160873399</c:v>
                </c:pt>
                <c:pt idx="2">
                  <c:v>97.732847929000798</c:v>
                </c:pt>
                <c:pt idx="3">
                  <c:v>97.313594818115206</c:v>
                </c:pt>
              </c:numCache>
            </c:numRef>
          </c:val>
          <c:extLst>
            <c:ext xmlns:c16="http://schemas.microsoft.com/office/drawing/2014/chart" uri="{C3380CC4-5D6E-409C-BE32-E72D297353CC}">
              <c16:uniqueId val="{00000000-88DC-46BD-AC9A-47D3C543EB4E}"/>
            </c:ext>
          </c:extLst>
        </c:ser>
        <c:ser>
          <c:idx val="1"/>
          <c:order val="1"/>
          <c:tx>
            <c:strRef>
              <c:f>'F10.6'!$B$43</c:f>
              <c:strCache>
                <c:ptCount val="1"/>
                <c:pt idx="0">
                  <c:v>Different sector</c:v>
                </c:pt>
              </c:strCache>
            </c:strRef>
          </c:tx>
          <c:spPr>
            <a:solidFill>
              <a:srgbClr val="EDADCA"/>
            </a:solidFill>
            <a:ln>
              <a:noFill/>
            </a:ln>
            <a:effectLst/>
          </c:spPr>
          <c:invertIfNegative val="0"/>
          <c:cat>
            <c:strRef>
              <c:f>'F10.6'!$C$41:$F$41</c:f>
              <c:strCache>
                <c:ptCount val="4"/>
                <c:pt idx="0">
                  <c:v>Employed Formal</c:v>
                </c:pt>
                <c:pt idx="1">
                  <c:v>Employed Informal</c:v>
                </c:pt>
                <c:pt idx="2">
                  <c:v>Self-Employed</c:v>
                </c:pt>
                <c:pt idx="3">
                  <c:v>Employer</c:v>
                </c:pt>
              </c:strCache>
            </c:strRef>
          </c:cat>
          <c:val>
            <c:numRef>
              <c:f>'F10.6'!$C$43:$F$43</c:f>
              <c:numCache>
                <c:formatCode>General</c:formatCode>
                <c:ptCount val="4"/>
                <c:pt idx="0">
                  <c:v>2.9959665611386197</c:v>
                </c:pt>
                <c:pt idx="1">
                  <c:v>5.1699716597795407</c:v>
                </c:pt>
                <c:pt idx="2">
                  <c:v>0.74550653807818801</c:v>
                </c:pt>
                <c:pt idx="3">
                  <c:v>0.90460525825619598</c:v>
                </c:pt>
              </c:numCache>
            </c:numRef>
          </c:val>
          <c:extLst>
            <c:ext xmlns:c16="http://schemas.microsoft.com/office/drawing/2014/chart" uri="{C3380CC4-5D6E-409C-BE32-E72D297353CC}">
              <c16:uniqueId val="{00000001-88DC-46BD-AC9A-47D3C543EB4E}"/>
            </c:ext>
          </c:extLst>
        </c:ser>
        <c:ser>
          <c:idx val="2"/>
          <c:order val="2"/>
          <c:tx>
            <c:strRef>
              <c:f>'F10.6'!$B$44</c:f>
              <c:strCache>
                <c:ptCount val="1"/>
                <c:pt idx="0">
                  <c:v>Inactive or Unemployed</c:v>
                </c:pt>
              </c:strCache>
            </c:strRef>
          </c:tx>
          <c:spPr>
            <a:solidFill>
              <a:schemeClr val="accent4">
                <a:lumMod val="60000"/>
                <a:lumOff val="40000"/>
              </a:schemeClr>
            </a:solidFill>
            <a:ln>
              <a:noFill/>
            </a:ln>
            <a:effectLst/>
          </c:spPr>
          <c:invertIfNegative val="0"/>
          <c:cat>
            <c:strRef>
              <c:f>'F10.6'!$C$41:$F$41</c:f>
              <c:strCache>
                <c:ptCount val="4"/>
                <c:pt idx="0">
                  <c:v>Employed Formal</c:v>
                </c:pt>
                <c:pt idx="1">
                  <c:v>Employed Informal</c:v>
                </c:pt>
                <c:pt idx="2">
                  <c:v>Self-Employed</c:v>
                </c:pt>
                <c:pt idx="3">
                  <c:v>Employer</c:v>
                </c:pt>
              </c:strCache>
            </c:strRef>
          </c:cat>
          <c:val>
            <c:numRef>
              <c:f>'F10.6'!$C$44:$F$44</c:f>
              <c:numCache>
                <c:formatCode>General</c:formatCode>
                <c:ptCount val="4"/>
                <c:pt idx="0">
                  <c:v>4.2692095041274998</c:v>
                </c:pt>
                <c:pt idx="1">
                  <c:v>7.3772422969341198</c:v>
                </c:pt>
                <c:pt idx="2">
                  <c:v>1.5216503292322099</c:v>
                </c:pt>
                <c:pt idx="3">
                  <c:v>1.78179834038019</c:v>
                </c:pt>
              </c:numCache>
            </c:numRef>
          </c:val>
          <c:extLst>
            <c:ext xmlns:c16="http://schemas.microsoft.com/office/drawing/2014/chart" uri="{C3380CC4-5D6E-409C-BE32-E72D297353CC}">
              <c16:uniqueId val="{00000002-88DC-46BD-AC9A-47D3C543EB4E}"/>
            </c:ext>
          </c:extLst>
        </c:ser>
        <c:dLbls>
          <c:showLegendKey val="0"/>
          <c:showVal val="0"/>
          <c:showCatName val="0"/>
          <c:showSerName val="0"/>
          <c:showPercent val="0"/>
          <c:showBubbleSize val="0"/>
        </c:dLbls>
        <c:gapWidth val="150"/>
        <c:overlap val="100"/>
        <c:axId val="269726080"/>
        <c:axId val="269728000"/>
      </c:barChart>
      <c:catAx>
        <c:axId val="269726080"/>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sz="1100" b="0">
                    <a:latin typeface="Times New Roman" panose="02020603050405020304" pitchFamily="18" charset="0"/>
                    <a:cs typeface="Times New Roman" panose="02020603050405020304" pitchFamily="18" charset="0"/>
                  </a:rPr>
                  <a:t>Employment Status on Jan 2002</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9728000"/>
        <c:crosses val="autoZero"/>
        <c:auto val="1"/>
        <c:lblAlgn val="ctr"/>
        <c:lblOffset val="100"/>
        <c:noMultiLvlLbl val="0"/>
      </c:catAx>
      <c:valAx>
        <c:axId val="269728000"/>
        <c:scaling>
          <c:orientation val="minMax"/>
          <c:max val="100"/>
          <c:min val="0"/>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Percentage</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9726080"/>
        <c:crosses val="autoZero"/>
        <c:crossBetween val="between"/>
        <c:majorUnit val="20"/>
      </c:valAx>
      <c:spPr>
        <a:solidFill>
          <a:schemeClr val="bg1">
            <a:lumMod val="85000"/>
          </a:schemeClr>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100" b="1">
                <a:solidFill>
                  <a:sysClr val="windowText" lastClr="000000"/>
                </a:solidFill>
                <a:latin typeface="Times New Roman" panose="02020603050405020304" pitchFamily="18" charset="0"/>
                <a:cs typeface="Times New Roman" panose="02020603050405020304" pitchFamily="18" charset="0"/>
              </a:rPr>
              <a:t>2 years after 2002</a:t>
            </a:r>
          </a:p>
        </c:rich>
      </c:tx>
      <c:layout>
        <c:manualLayout>
          <c:xMode val="edge"/>
          <c:yMode val="edge"/>
          <c:x val="0.36643820545977179"/>
          <c:y val="2.376920661850751E-2"/>
        </c:manualLayout>
      </c:layout>
      <c:overlay val="0"/>
      <c:spPr>
        <a:noFill/>
        <a:ln>
          <a:noFill/>
        </a:ln>
        <a:effectLst/>
      </c:spPr>
    </c:title>
    <c:autoTitleDeleted val="0"/>
    <c:plotArea>
      <c:layout>
        <c:manualLayout>
          <c:layoutTarget val="inner"/>
          <c:xMode val="edge"/>
          <c:yMode val="edge"/>
          <c:x val="0.14691487535945247"/>
          <c:y val="0.11989156632688847"/>
          <c:w val="0.81453934621724366"/>
          <c:h val="0.57971129771913876"/>
        </c:manualLayout>
      </c:layout>
      <c:barChart>
        <c:barDir val="col"/>
        <c:grouping val="stacked"/>
        <c:varyColors val="0"/>
        <c:ser>
          <c:idx val="0"/>
          <c:order val="0"/>
          <c:tx>
            <c:strRef>
              <c:f>'F10.6'!$B$59</c:f>
              <c:strCache>
                <c:ptCount val="1"/>
                <c:pt idx="0">
                  <c:v>Same sector</c:v>
                </c:pt>
              </c:strCache>
            </c:strRef>
          </c:tx>
          <c:spPr>
            <a:solidFill>
              <a:srgbClr val="918477"/>
            </a:solidFill>
            <a:ln>
              <a:noFill/>
            </a:ln>
            <a:effectLst/>
          </c:spPr>
          <c:invertIfNegative val="0"/>
          <c:cat>
            <c:strRef>
              <c:f>'F10.6'!$C$41:$F$41</c:f>
              <c:strCache>
                <c:ptCount val="4"/>
                <c:pt idx="0">
                  <c:v>Employed Formal</c:v>
                </c:pt>
                <c:pt idx="1">
                  <c:v>Employed Informal</c:v>
                </c:pt>
                <c:pt idx="2">
                  <c:v>Self-Employed</c:v>
                </c:pt>
                <c:pt idx="3">
                  <c:v>Employer</c:v>
                </c:pt>
              </c:strCache>
            </c:strRef>
          </c:cat>
          <c:val>
            <c:numRef>
              <c:f>'F10.6'!$C$59:$F$59</c:f>
              <c:numCache>
                <c:formatCode>General</c:formatCode>
                <c:ptCount val="4"/>
                <c:pt idx="0">
                  <c:v>91.268270000000001</c:v>
                </c:pt>
                <c:pt idx="1">
                  <c:v>83.223039999999997</c:v>
                </c:pt>
                <c:pt idx="2">
                  <c:v>96.197549999999993</c:v>
                </c:pt>
                <c:pt idx="3">
                  <c:v>89.814809999999994</c:v>
                </c:pt>
              </c:numCache>
            </c:numRef>
          </c:val>
          <c:extLst>
            <c:ext xmlns:c16="http://schemas.microsoft.com/office/drawing/2014/chart" uri="{C3380CC4-5D6E-409C-BE32-E72D297353CC}">
              <c16:uniqueId val="{00000000-5A5E-4795-9C09-927CDF1DC868}"/>
            </c:ext>
          </c:extLst>
        </c:ser>
        <c:ser>
          <c:idx val="1"/>
          <c:order val="1"/>
          <c:tx>
            <c:strRef>
              <c:f>'F10.6'!$B$60</c:f>
              <c:strCache>
                <c:ptCount val="1"/>
                <c:pt idx="0">
                  <c:v>Different sector</c:v>
                </c:pt>
              </c:strCache>
            </c:strRef>
          </c:tx>
          <c:spPr>
            <a:solidFill>
              <a:srgbClr val="EDADCA"/>
            </a:solidFill>
            <a:ln>
              <a:noFill/>
            </a:ln>
            <a:effectLst/>
          </c:spPr>
          <c:invertIfNegative val="0"/>
          <c:cat>
            <c:strRef>
              <c:f>'F10.6'!$C$41:$F$41</c:f>
              <c:strCache>
                <c:ptCount val="4"/>
                <c:pt idx="0">
                  <c:v>Employed Formal</c:v>
                </c:pt>
                <c:pt idx="1">
                  <c:v>Employed Informal</c:v>
                </c:pt>
                <c:pt idx="2">
                  <c:v>Self-Employed</c:v>
                </c:pt>
                <c:pt idx="3">
                  <c:v>Employer</c:v>
                </c:pt>
              </c:strCache>
            </c:strRef>
          </c:cat>
          <c:val>
            <c:numRef>
              <c:f>'F10.6'!$C$60:$F$60</c:f>
              <c:numCache>
                <c:formatCode>General</c:formatCode>
                <c:ptCount val="4"/>
                <c:pt idx="0">
                  <c:v>1.3728199999999999</c:v>
                </c:pt>
                <c:pt idx="1">
                  <c:v>2.4387300000000001</c:v>
                </c:pt>
                <c:pt idx="2">
                  <c:v>1.04895</c:v>
                </c:pt>
                <c:pt idx="3">
                  <c:v>0.27777999999999997</c:v>
                </c:pt>
              </c:numCache>
            </c:numRef>
          </c:val>
          <c:extLst>
            <c:ext xmlns:c16="http://schemas.microsoft.com/office/drawing/2014/chart" uri="{C3380CC4-5D6E-409C-BE32-E72D297353CC}">
              <c16:uniqueId val="{00000001-5A5E-4795-9C09-927CDF1DC868}"/>
            </c:ext>
          </c:extLst>
        </c:ser>
        <c:ser>
          <c:idx val="2"/>
          <c:order val="2"/>
          <c:tx>
            <c:strRef>
              <c:f>'F10.6'!$B$61</c:f>
              <c:strCache>
                <c:ptCount val="1"/>
                <c:pt idx="0">
                  <c:v>Inactive or Unemployed</c:v>
                </c:pt>
              </c:strCache>
            </c:strRef>
          </c:tx>
          <c:spPr>
            <a:solidFill>
              <a:schemeClr val="accent4">
                <a:lumMod val="60000"/>
                <a:lumOff val="40000"/>
              </a:schemeClr>
            </a:solidFill>
            <a:ln>
              <a:noFill/>
            </a:ln>
            <a:effectLst/>
          </c:spPr>
          <c:invertIfNegative val="0"/>
          <c:cat>
            <c:strRef>
              <c:f>'F10.6'!$C$41:$F$41</c:f>
              <c:strCache>
                <c:ptCount val="4"/>
                <c:pt idx="0">
                  <c:v>Employed Formal</c:v>
                </c:pt>
                <c:pt idx="1">
                  <c:v>Employed Informal</c:v>
                </c:pt>
                <c:pt idx="2">
                  <c:v>Self-Employed</c:v>
                </c:pt>
                <c:pt idx="3">
                  <c:v>Employer</c:v>
                </c:pt>
              </c:strCache>
            </c:strRef>
          </c:cat>
          <c:val>
            <c:numRef>
              <c:f>'F10.6'!$C$61:$F$61</c:f>
              <c:numCache>
                <c:formatCode>General</c:formatCode>
                <c:ptCount val="4"/>
                <c:pt idx="0">
                  <c:v>7.3589100000000007</c:v>
                </c:pt>
                <c:pt idx="1">
                  <c:v>14.338239999999999</c:v>
                </c:pt>
                <c:pt idx="2">
                  <c:v>2.7534999999999998</c:v>
                </c:pt>
                <c:pt idx="3">
                  <c:v>9.9074100000000005</c:v>
                </c:pt>
              </c:numCache>
            </c:numRef>
          </c:val>
          <c:extLst>
            <c:ext xmlns:c16="http://schemas.microsoft.com/office/drawing/2014/chart" uri="{C3380CC4-5D6E-409C-BE32-E72D297353CC}">
              <c16:uniqueId val="{00000002-5A5E-4795-9C09-927CDF1DC868}"/>
            </c:ext>
          </c:extLst>
        </c:ser>
        <c:dLbls>
          <c:showLegendKey val="0"/>
          <c:showVal val="0"/>
          <c:showCatName val="0"/>
          <c:showSerName val="0"/>
          <c:showPercent val="0"/>
          <c:showBubbleSize val="0"/>
        </c:dLbls>
        <c:gapWidth val="150"/>
        <c:overlap val="100"/>
        <c:axId val="269845632"/>
        <c:axId val="269847552"/>
      </c:barChart>
      <c:catAx>
        <c:axId val="269845632"/>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sz="1100" b="0">
                    <a:latin typeface="Times New Roman" panose="02020603050405020304" pitchFamily="18" charset="0"/>
                    <a:cs typeface="Times New Roman" panose="02020603050405020304" pitchFamily="18" charset="0"/>
                  </a:rPr>
                  <a:t>Employment Status on Jan 2002</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9847552"/>
        <c:crosses val="autoZero"/>
        <c:auto val="1"/>
        <c:lblAlgn val="ctr"/>
        <c:lblOffset val="100"/>
        <c:noMultiLvlLbl val="0"/>
      </c:catAx>
      <c:valAx>
        <c:axId val="269847552"/>
        <c:scaling>
          <c:orientation val="minMax"/>
          <c:max val="100"/>
          <c:min val="0"/>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Percentage</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9845632"/>
        <c:crosses val="autoZero"/>
        <c:crossBetween val="between"/>
        <c:majorUnit val="20"/>
      </c:valAx>
      <c:spPr>
        <a:solidFill>
          <a:schemeClr val="bg1">
            <a:lumMod val="85000"/>
          </a:schemeClr>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1">
                <a:solidFill>
                  <a:sysClr val="windowText" lastClr="000000"/>
                </a:solidFill>
                <a:latin typeface="Times New Roman" panose="02020603050405020304" pitchFamily="18" charset="0"/>
                <a:cs typeface="Times New Roman" panose="02020603050405020304" pitchFamily="18" charset="0"/>
              </a:rPr>
              <a:t>7 years after 2002</a:t>
            </a:r>
          </a:p>
        </c:rich>
      </c:tx>
      <c:layout>
        <c:manualLayout>
          <c:xMode val="edge"/>
          <c:yMode val="edge"/>
          <c:x val="0.35543253295430344"/>
          <c:y val="2.376920661850751E-2"/>
        </c:manualLayout>
      </c:layout>
      <c:overlay val="0"/>
      <c:spPr>
        <a:noFill/>
        <a:ln>
          <a:noFill/>
        </a:ln>
        <a:effectLst/>
      </c:spPr>
    </c:title>
    <c:autoTitleDeleted val="0"/>
    <c:plotArea>
      <c:layout>
        <c:manualLayout>
          <c:layoutTarget val="inner"/>
          <c:xMode val="edge"/>
          <c:yMode val="edge"/>
          <c:x val="0.14691487535945247"/>
          <c:y val="0.11989156632688847"/>
          <c:w val="0.81453934621724366"/>
          <c:h val="0.59753820268301938"/>
        </c:manualLayout>
      </c:layout>
      <c:barChart>
        <c:barDir val="col"/>
        <c:grouping val="stacked"/>
        <c:varyColors val="0"/>
        <c:ser>
          <c:idx val="0"/>
          <c:order val="0"/>
          <c:tx>
            <c:strRef>
              <c:f>'F10.6'!$B$49</c:f>
              <c:strCache>
                <c:ptCount val="1"/>
                <c:pt idx="0">
                  <c:v>Same sector</c:v>
                </c:pt>
              </c:strCache>
            </c:strRef>
          </c:tx>
          <c:spPr>
            <a:solidFill>
              <a:srgbClr val="918477"/>
            </a:solidFill>
            <a:ln>
              <a:noFill/>
            </a:ln>
            <a:effectLst/>
          </c:spPr>
          <c:invertIfNegative val="0"/>
          <c:cat>
            <c:strRef>
              <c:f>'F10.6'!$C$41:$F$41</c:f>
              <c:strCache>
                <c:ptCount val="4"/>
                <c:pt idx="0">
                  <c:v>Employed Formal</c:v>
                </c:pt>
                <c:pt idx="1">
                  <c:v>Employed Informal</c:v>
                </c:pt>
                <c:pt idx="2">
                  <c:v>Self-Employed</c:v>
                </c:pt>
                <c:pt idx="3">
                  <c:v>Employer</c:v>
                </c:pt>
              </c:strCache>
            </c:strRef>
          </c:cat>
          <c:val>
            <c:numRef>
              <c:f>'F10.6'!$C$49:$F$49</c:f>
              <c:numCache>
                <c:formatCode>General</c:formatCode>
                <c:ptCount val="4"/>
                <c:pt idx="0">
                  <c:v>69.802779999999998</c:v>
                </c:pt>
                <c:pt idx="1">
                  <c:v>61.356230000000004</c:v>
                </c:pt>
                <c:pt idx="2">
                  <c:v>73.446359999999999</c:v>
                </c:pt>
                <c:pt idx="3">
                  <c:v>72.090879999999999</c:v>
                </c:pt>
              </c:numCache>
            </c:numRef>
          </c:val>
          <c:extLst>
            <c:ext xmlns:c16="http://schemas.microsoft.com/office/drawing/2014/chart" uri="{C3380CC4-5D6E-409C-BE32-E72D297353CC}">
              <c16:uniqueId val="{00000000-E7D4-48B6-A815-9AA35A68F473}"/>
            </c:ext>
          </c:extLst>
        </c:ser>
        <c:ser>
          <c:idx val="1"/>
          <c:order val="1"/>
          <c:tx>
            <c:strRef>
              <c:f>'F10.6'!$B$50</c:f>
              <c:strCache>
                <c:ptCount val="1"/>
                <c:pt idx="0">
                  <c:v>Different sector</c:v>
                </c:pt>
              </c:strCache>
            </c:strRef>
          </c:tx>
          <c:spPr>
            <a:solidFill>
              <a:srgbClr val="EDADCA"/>
            </a:solidFill>
            <a:ln>
              <a:noFill/>
            </a:ln>
            <a:effectLst/>
          </c:spPr>
          <c:invertIfNegative val="0"/>
          <c:cat>
            <c:strRef>
              <c:f>'F10.6'!$C$41:$F$41</c:f>
              <c:strCache>
                <c:ptCount val="4"/>
                <c:pt idx="0">
                  <c:v>Employed Formal</c:v>
                </c:pt>
                <c:pt idx="1">
                  <c:v>Employed Informal</c:v>
                </c:pt>
                <c:pt idx="2">
                  <c:v>Self-Employed</c:v>
                </c:pt>
                <c:pt idx="3">
                  <c:v>Employer</c:v>
                </c:pt>
              </c:strCache>
            </c:strRef>
          </c:cat>
          <c:val>
            <c:numRef>
              <c:f>'F10.6'!$C$50:$F$50</c:f>
              <c:numCache>
                <c:formatCode>General</c:formatCode>
                <c:ptCount val="4"/>
                <c:pt idx="0">
                  <c:v>24.594390000000001</c:v>
                </c:pt>
                <c:pt idx="1">
                  <c:v>26.31983</c:v>
                </c:pt>
                <c:pt idx="2">
                  <c:v>16.863299999999999</c:v>
                </c:pt>
                <c:pt idx="3">
                  <c:v>24.73207</c:v>
                </c:pt>
              </c:numCache>
            </c:numRef>
          </c:val>
          <c:extLst>
            <c:ext xmlns:c16="http://schemas.microsoft.com/office/drawing/2014/chart" uri="{C3380CC4-5D6E-409C-BE32-E72D297353CC}">
              <c16:uniqueId val="{00000001-E7D4-48B6-A815-9AA35A68F473}"/>
            </c:ext>
          </c:extLst>
        </c:ser>
        <c:ser>
          <c:idx val="2"/>
          <c:order val="2"/>
          <c:tx>
            <c:strRef>
              <c:f>'F10.6'!$B$51</c:f>
              <c:strCache>
                <c:ptCount val="1"/>
                <c:pt idx="0">
                  <c:v>Inactive or Unemployed</c:v>
                </c:pt>
              </c:strCache>
            </c:strRef>
          </c:tx>
          <c:spPr>
            <a:solidFill>
              <a:schemeClr val="accent4">
                <a:lumMod val="60000"/>
                <a:lumOff val="40000"/>
              </a:schemeClr>
            </a:solidFill>
            <a:ln>
              <a:noFill/>
            </a:ln>
            <a:effectLst/>
          </c:spPr>
          <c:invertIfNegative val="0"/>
          <c:cat>
            <c:strRef>
              <c:f>'F10.6'!$C$41:$F$41</c:f>
              <c:strCache>
                <c:ptCount val="4"/>
                <c:pt idx="0">
                  <c:v>Employed Formal</c:v>
                </c:pt>
                <c:pt idx="1">
                  <c:v>Employed Informal</c:v>
                </c:pt>
                <c:pt idx="2">
                  <c:v>Self-Employed</c:v>
                </c:pt>
                <c:pt idx="3">
                  <c:v>Employer</c:v>
                </c:pt>
              </c:strCache>
            </c:strRef>
          </c:cat>
          <c:val>
            <c:numRef>
              <c:f>'F10.6'!$C$51:$F$51</c:f>
              <c:numCache>
                <c:formatCode>General</c:formatCode>
                <c:ptCount val="4"/>
                <c:pt idx="0">
                  <c:v>5.60283</c:v>
                </c:pt>
                <c:pt idx="1">
                  <c:v>12.32394</c:v>
                </c:pt>
                <c:pt idx="2">
                  <c:v>9.6903400000000008</c:v>
                </c:pt>
                <c:pt idx="3">
                  <c:v>3.1770399999999999</c:v>
                </c:pt>
              </c:numCache>
            </c:numRef>
          </c:val>
          <c:extLst>
            <c:ext xmlns:c16="http://schemas.microsoft.com/office/drawing/2014/chart" uri="{C3380CC4-5D6E-409C-BE32-E72D297353CC}">
              <c16:uniqueId val="{00000002-E7D4-48B6-A815-9AA35A68F473}"/>
            </c:ext>
          </c:extLst>
        </c:ser>
        <c:dLbls>
          <c:showLegendKey val="0"/>
          <c:showVal val="0"/>
          <c:showCatName val="0"/>
          <c:showSerName val="0"/>
          <c:showPercent val="0"/>
          <c:showBubbleSize val="0"/>
        </c:dLbls>
        <c:gapWidth val="150"/>
        <c:overlap val="100"/>
        <c:axId val="269883264"/>
        <c:axId val="269893632"/>
      </c:barChart>
      <c:catAx>
        <c:axId val="269883264"/>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sz="1100" b="0">
                    <a:latin typeface="Times New Roman" panose="02020603050405020304" pitchFamily="18" charset="0"/>
                    <a:cs typeface="Times New Roman" panose="02020603050405020304" pitchFamily="18" charset="0"/>
                  </a:rPr>
                  <a:t>Employment Status on Jan 2002</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9893632"/>
        <c:crosses val="autoZero"/>
        <c:auto val="1"/>
        <c:lblAlgn val="ctr"/>
        <c:lblOffset val="100"/>
        <c:noMultiLvlLbl val="0"/>
      </c:catAx>
      <c:valAx>
        <c:axId val="269893632"/>
        <c:scaling>
          <c:orientation val="minMax"/>
          <c:max val="100"/>
          <c:min val="0"/>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9883264"/>
        <c:crosses val="autoZero"/>
        <c:crossBetween val="between"/>
        <c:majorUnit val="20"/>
      </c:valAx>
      <c:spPr>
        <a:solidFill>
          <a:schemeClr val="bg1">
            <a:lumMod val="85000"/>
          </a:schemeClr>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100" b="1">
                <a:solidFill>
                  <a:sysClr val="windowText" lastClr="000000"/>
                </a:solidFill>
                <a:latin typeface="Times New Roman" panose="02020603050405020304" pitchFamily="18" charset="0"/>
                <a:cs typeface="Times New Roman" panose="02020603050405020304" pitchFamily="18" charset="0"/>
              </a:rPr>
              <a:t>7 years after 2002</a:t>
            </a:r>
          </a:p>
        </c:rich>
      </c:tx>
      <c:layout>
        <c:manualLayout>
          <c:xMode val="edge"/>
          <c:yMode val="edge"/>
          <c:x val="0.36643820545977179"/>
          <c:y val="1.7826904963880633E-2"/>
        </c:manualLayout>
      </c:layout>
      <c:overlay val="0"/>
      <c:spPr>
        <a:noFill/>
        <a:ln>
          <a:noFill/>
        </a:ln>
        <a:effectLst/>
      </c:spPr>
    </c:title>
    <c:autoTitleDeleted val="0"/>
    <c:plotArea>
      <c:layout>
        <c:manualLayout>
          <c:layoutTarget val="inner"/>
          <c:xMode val="edge"/>
          <c:yMode val="edge"/>
          <c:x val="0.14691487535945247"/>
          <c:y val="0.11989156632688847"/>
          <c:w val="0.81453934621724366"/>
          <c:h val="0.5856535993737656"/>
        </c:manualLayout>
      </c:layout>
      <c:barChart>
        <c:barDir val="col"/>
        <c:grouping val="stacked"/>
        <c:varyColors val="0"/>
        <c:ser>
          <c:idx val="0"/>
          <c:order val="0"/>
          <c:tx>
            <c:strRef>
              <c:f>'F10.6'!$B$66</c:f>
              <c:strCache>
                <c:ptCount val="1"/>
                <c:pt idx="0">
                  <c:v>Same sector</c:v>
                </c:pt>
              </c:strCache>
            </c:strRef>
          </c:tx>
          <c:spPr>
            <a:solidFill>
              <a:srgbClr val="918477"/>
            </a:solidFill>
            <a:ln>
              <a:noFill/>
            </a:ln>
            <a:effectLst/>
          </c:spPr>
          <c:invertIfNegative val="0"/>
          <c:cat>
            <c:strRef>
              <c:f>'F10.6'!$C$41:$F$41</c:f>
              <c:strCache>
                <c:ptCount val="4"/>
                <c:pt idx="0">
                  <c:v>Employed Formal</c:v>
                </c:pt>
                <c:pt idx="1">
                  <c:v>Employed Informal</c:v>
                </c:pt>
                <c:pt idx="2">
                  <c:v>Self-Employed</c:v>
                </c:pt>
                <c:pt idx="3">
                  <c:v>Employer</c:v>
                </c:pt>
              </c:strCache>
            </c:strRef>
          </c:cat>
          <c:val>
            <c:numRef>
              <c:f>'F10.6'!$C$66:$F$66</c:f>
              <c:numCache>
                <c:formatCode>General</c:formatCode>
                <c:ptCount val="4"/>
                <c:pt idx="0">
                  <c:v>70.77252</c:v>
                </c:pt>
                <c:pt idx="1">
                  <c:v>61.005379999999995</c:v>
                </c:pt>
                <c:pt idx="2">
                  <c:v>68.098320000000001</c:v>
                </c:pt>
                <c:pt idx="3">
                  <c:v>65.809479999999994</c:v>
                </c:pt>
              </c:numCache>
            </c:numRef>
          </c:val>
          <c:extLst>
            <c:ext xmlns:c16="http://schemas.microsoft.com/office/drawing/2014/chart" uri="{C3380CC4-5D6E-409C-BE32-E72D297353CC}">
              <c16:uniqueId val="{00000000-7879-4CDC-8F62-1426C28A5C9F}"/>
            </c:ext>
          </c:extLst>
        </c:ser>
        <c:ser>
          <c:idx val="1"/>
          <c:order val="1"/>
          <c:tx>
            <c:strRef>
              <c:f>'F10.6'!$B$67</c:f>
              <c:strCache>
                <c:ptCount val="1"/>
                <c:pt idx="0">
                  <c:v>Different sector</c:v>
                </c:pt>
              </c:strCache>
            </c:strRef>
          </c:tx>
          <c:spPr>
            <a:solidFill>
              <a:srgbClr val="EDADCA"/>
            </a:solidFill>
            <a:ln>
              <a:noFill/>
            </a:ln>
            <a:effectLst/>
          </c:spPr>
          <c:invertIfNegative val="0"/>
          <c:cat>
            <c:strRef>
              <c:f>'F10.6'!$C$41:$F$41</c:f>
              <c:strCache>
                <c:ptCount val="4"/>
                <c:pt idx="0">
                  <c:v>Employed Formal</c:v>
                </c:pt>
                <c:pt idx="1">
                  <c:v>Employed Informal</c:v>
                </c:pt>
                <c:pt idx="2">
                  <c:v>Self-Employed</c:v>
                </c:pt>
                <c:pt idx="3">
                  <c:v>Employer</c:v>
                </c:pt>
              </c:strCache>
            </c:strRef>
          </c:cat>
          <c:val>
            <c:numRef>
              <c:f>'F10.6'!$C$67:$F$67</c:f>
              <c:numCache>
                <c:formatCode>General</c:formatCode>
                <c:ptCount val="4"/>
                <c:pt idx="0">
                  <c:v>15.025540000000001</c:v>
                </c:pt>
                <c:pt idx="1">
                  <c:v>12.322990000000001</c:v>
                </c:pt>
                <c:pt idx="2">
                  <c:v>10.31001</c:v>
                </c:pt>
                <c:pt idx="3">
                  <c:v>8.2401600000000013</c:v>
                </c:pt>
              </c:numCache>
            </c:numRef>
          </c:val>
          <c:extLst>
            <c:ext xmlns:c16="http://schemas.microsoft.com/office/drawing/2014/chart" uri="{C3380CC4-5D6E-409C-BE32-E72D297353CC}">
              <c16:uniqueId val="{00000001-7879-4CDC-8F62-1426C28A5C9F}"/>
            </c:ext>
          </c:extLst>
        </c:ser>
        <c:ser>
          <c:idx val="2"/>
          <c:order val="2"/>
          <c:tx>
            <c:strRef>
              <c:f>'F10.6'!$B$68</c:f>
              <c:strCache>
                <c:ptCount val="1"/>
                <c:pt idx="0">
                  <c:v>Inactive or Unemployed</c:v>
                </c:pt>
              </c:strCache>
            </c:strRef>
          </c:tx>
          <c:spPr>
            <a:solidFill>
              <a:schemeClr val="accent4">
                <a:lumMod val="60000"/>
                <a:lumOff val="40000"/>
              </a:schemeClr>
            </a:solidFill>
            <a:ln>
              <a:noFill/>
            </a:ln>
            <a:effectLst/>
          </c:spPr>
          <c:invertIfNegative val="0"/>
          <c:cat>
            <c:strRef>
              <c:f>'F10.6'!$C$41:$F$41</c:f>
              <c:strCache>
                <c:ptCount val="4"/>
                <c:pt idx="0">
                  <c:v>Employed Formal</c:v>
                </c:pt>
                <c:pt idx="1">
                  <c:v>Employed Informal</c:v>
                </c:pt>
                <c:pt idx="2">
                  <c:v>Self-Employed</c:v>
                </c:pt>
                <c:pt idx="3">
                  <c:v>Employer</c:v>
                </c:pt>
              </c:strCache>
            </c:strRef>
          </c:cat>
          <c:val>
            <c:numRef>
              <c:f>'F10.6'!$C$68:$F$68</c:f>
              <c:numCache>
                <c:formatCode>General</c:formatCode>
                <c:ptCount val="4"/>
                <c:pt idx="0">
                  <c:v>14.201939999999999</c:v>
                </c:pt>
                <c:pt idx="1">
                  <c:v>26.67163</c:v>
                </c:pt>
                <c:pt idx="2">
                  <c:v>21.591670000000001</c:v>
                </c:pt>
                <c:pt idx="3">
                  <c:v>25.95036</c:v>
                </c:pt>
              </c:numCache>
            </c:numRef>
          </c:val>
          <c:extLst>
            <c:ext xmlns:c16="http://schemas.microsoft.com/office/drawing/2014/chart" uri="{C3380CC4-5D6E-409C-BE32-E72D297353CC}">
              <c16:uniqueId val="{00000002-7879-4CDC-8F62-1426C28A5C9F}"/>
            </c:ext>
          </c:extLst>
        </c:ser>
        <c:dLbls>
          <c:showLegendKey val="0"/>
          <c:showVal val="0"/>
          <c:showCatName val="0"/>
          <c:showSerName val="0"/>
          <c:showPercent val="0"/>
          <c:showBubbleSize val="0"/>
        </c:dLbls>
        <c:gapWidth val="150"/>
        <c:overlap val="100"/>
        <c:axId val="269933184"/>
        <c:axId val="269935360"/>
      </c:barChart>
      <c:catAx>
        <c:axId val="269933184"/>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sz="1100" b="0">
                    <a:latin typeface="Times New Roman" panose="02020603050405020304" pitchFamily="18" charset="0"/>
                    <a:cs typeface="Times New Roman" panose="02020603050405020304" pitchFamily="18" charset="0"/>
                  </a:rPr>
                  <a:t>Employment Status on Jan 2002</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9935360"/>
        <c:crosses val="autoZero"/>
        <c:auto val="1"/>
        <c:lblAlgn val="ctr"/>
        <c:lblOffset val="100"/>
        <c:noMultiLvlLbl val="0"/>
      </c:catAx>
      <c:valAx>
        <c:axId val="269935360"/>
        <c:scaling>
          <c:orientation val="minMax"/>
          <c:max val="100"/>
          <c:min val="0"/>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69933184"/>
        <c:crosses val="autoZero"/>
        <c:crossBetween val="between"/>
        <c:majorUnit val="20"/>
      </c:valAx>
      <c:spPr>
        <a:solidFill>
          <a:schemeClr val="bg1">
            <a:lumMod val="85000"/>
          </a:schemeClr>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66338853379709E-2"/>
          <c:y val="3.2860784941969472E-2"/>
          <c:w val="0.9066643077811587"/>
          <c:h val="0.58379916197627413"/>
        </c:manualLayout>
      </c:layout>
      <c:barChart>
        <c:barDir val="col"/>
        <c:grouping val="clustered"/>
        <c:varyColors val="0"/>
        <c:ser>
          <c:idx val="0"/>
          <c:order val="0"/>
          <c:tx>
            <c:strRef>
              <c:f>'F3.4'!$D$53</c:f>
              <c:strCache>
                <c:ptCount val="1"/>
                <c:pt idx="0">
                  <c:v>Early Childhood (PRIDI)</c:v>
                </c:pt>
              </c:strCache>
            </c:strRef>
          </c:tx>
          <c:spPr>
            <a:solidFill>
              <a:schemeClr val="tx2"/>
            </a:solidFill>
          </c:spPr>
          <c:invertIfNegative val="0"/>
          <c:dLbls>
            <c:numFmt formatCode="#,##0.00" sourceLinked="0"/>
            <c:spPr>
              <a:noFill/>
              <a:ln>
                <a:noFill/>
              </a:ln>
              <a:effectLst/>
            </c:spPr>
            <c:txPr>
              <a:bodyPr/>
              <a:lstStyle/>
              <a:p>
                <a:pPr>
                  <a:defRPr sz="1100">
                    <a:latin typeface="Times New Roman" panose="02020603050405020304" pitchFamily="18"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'F3.4'!$B$54:$C$65</c:f>
              <c:multiLvlStrCache>
                <c:ptCount val="12"/>
                <c:lvl>
                  <c:pt idx="0">
                    <c:v>Socio-emotional development</c:v>
                  </c:pt>
                  <c:pt idx="1">
                    <c:v>Cognitive development</c:v>
                  </c:pt>
                  <c:pt idx="2">
                    <c:v>Language and communication</c:v>
                  </c:pt>
                  <c:pt idx="3">
                    <c:v>Math</c:v>
                  </c:pt>
                  <c:pt idx="4">
                    <c:v>Reading</c:v>
                  </c:pt>
                  <c:pt idx="5">
                    <c:v>Math</c:v>
                  </c:pt>
                  <c:pt idx="6">
                    <c:v>Reading</c:v>
                  </c:pt>
                  <c:pt idx="7">
                    <c:v>Science</c:v>
                  </c:pt>
                  <c:pt idx="8">
                    <c:v>Reading</c:v>
                  </c:pt>
                  <c:pt idx="9">
                    <c:v>Openness</c:v>
                  </c:pt>
                  <c:pt idx="10">
                    <c:v>Decision Making</c:v>
                  </c:pt>
                  <c:pt idx="11">
                    <c:v>Wages*</c:v>
                  </c:pt>
                </c:lvl>
                <c:lvl>
                  <c:pt idx="0">
                    <c:v>Early Childhood (PRIDI)</c:v>
                  </c:pt>
                  <c:pt idx="3">
                    <c:v>Childhood (TERCE)</c:v>
                  </c:pt>
                  <c:pt idx="5">
                    <c:v>Adolescence (PISA)</c:v>
                  </c:pt>
                  <c:pt idx="8">
                    <c:v>Adulthood (STEP)</c:v>
                  </c:pt>
                  <c:pt idx="11">
                    <c:v>Adulthood (STEP)</c:v>
                  </c:pt>
                </c:lvl>
              </c:multiLvlStrCache>
            </c:multiLvlStrRef>
          </c:cat>
          <c:val>
            <c:numRef>
              <c:f>'F3.4'!$D$54:$D$65</c:f>
              <c:numCache>
                <c:formatCode>0.00</c:formatCode>
                <c:ptCount val="12"/>
                <c:pt idx="0">
                  <c:v>0</c:v>
                </c:pt>
                <c:pt idx="1">
                  <c:v>0</c:v>
                </c:pt>
                <c:pt idx="2">
                  <c:v>0</c:v>
                </c:pt>
              </c:numCache>
            </c:numRef>
          </c:val>
          <c:extLst>
            <c:ext xmlns:c16="http://schemas.microsoft.com/office/drawing/2014/chart" uri="{C3380CC4-5D6E-409C-BE32-E72D297353CC}">
              <c16:uniqueId val="{00000000-E6F7-4A90-9FC5-499F45397D0D}"/>
            </c:ext>
          </c:extLst>
        </c:ser>
        <c:ser>
          <c:idx val="1"/>
          <c:order val="1"/>
          <c:tx>
            <c:strRef>
              <c:f>'F3.4'!$E$53</c:f>
              <c:strCache>
                <c:ptCount val="1"/>
                <c:pt idx="0">
                  <c:v>Childhood (TERCE)</c:v>
                </c:pt>
              </c:strCache>
            </c:strRef>
          </c:tx>
          <c:spPr>
            <a:solidFill>
              <a:schemeClr val="bg2">
                <a:lumMod val="50000"/>
              </a:schemeClr>
            </a:solidFill>
          </c:spPr>
          <c:invertIfNegative val="0"/>
          <c:dLbls>
            <c:spPr>
              <a:noFill/>
              <a:ln>
                <a:noFill/>
              </a:ln>
              <a:effectLst/>
            </c:spPr>
            <c:txPr>
              <a:bodyPr/>
              <a:lstStyle/>
              <a:p>
                <a:pPr>
                  <a:defRPr sz="1200">
                    <a:latin typeface="Times New Roman" panose="02020603050405020304" pitchFamily="18"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'F3.4'!$B$54:$C$65</c:f>
              <c:multiLvlStrCache>
                <c:ptCount val="12"/>
                <c:lvl>
                  <c:pt idx="0">
                    <c:v>Socio-emotional development</c:v>
                  </c:pt>
                  <c:pt idx="1">
                    <c:v>Cognitive development</c:v>
                  </c:pt>
                  <c:pt idx="2">
                    <c:v>Language and communication</c:v>
                  </c:pt>
                  <c:pt idx="3">
                    <c:v>Math</c:v>
                  </c:pt>
                  <c:pt idx="4">
                    <c:v>Reading</c:v>
                  </c:pt>
                  <c:pt idx="5">
                    <c:v>Math</c:v>
                  </c:pt>
                  <c:pt idx="6">
                    <c:v>Reading</c:v>
                  </c:pt>
                  <c:pt idx="7">
                    <c:v>Science</c:v>
                  </c:pt>
                  <c:pt idx="8">
                    <c:v>Reading</c:v>
                  </c:pt>
                  <c:pt idx="9">
                    <c:v>Openness</c:v>
                  </c:pt>
                  <c:pt idx="10">
                    <c:v>Decision Making</c:v>
                  </c:pt>
                  <c:pt idx="11">
                    <c:v>Wages*</c:v>
                  </c:pt>
                </c:lvl>
                <c:lvl>
                  <c:pt idx="0">
                    <c:v>Early Childhood (PRIDI)</c:v>
                  </c:pt>
                  <c:pt idx="3">
                    <c:v>Childhood (TERCE)</c:v>
                  </c:pt>
                  <c:pt idx="5">
                    <c:v>Adolescence (PISA)</c:v>
                  </c:pt>
                  <c:pt idx="8">
                    <c:v>Adulthood (STEP)</c:v>
                  </c:pt>
                  <c:pt idx="11">
                    <c:v>Adulthood (STEP)</c:v>
                  </c:pt>
                </c:lvl>
              </c:multiLvlStrCache>
            </c:multiLvlStrRef>
          </c:cat>
          <c:val>
            <c:numRef>
              <c:f>'F3.4'!$E$54:$E$65</c:f>
              <c:numCache>
                <c:formatCode>0.00</c:formatCode>
                <c:ptCount val="12"/>
                <c:pt idx="3">
                  <c:v>0.87213300000000005</c:v>
                </c:pt>
                <c:pt idx="4">
                  <c:v>0.76700699999999999</c:v>
                </c:pt>
              </c:numCache>
            </c:numRef>
          </c:val>
          <c:extLst>
            <c:ext xmlns:c16="http://schemas.microsoft.com/office/drawing/2014/chart" uri="{C3380CC4-5D6E-409C-BE32-E72D297353CC}">
              <c16:uniqueId val="{00000001-E6F7-4A90-9FC5-499F45397D0D}"/>
            </c:ext>
          </c:extLst>
        </c:ser>
        <c:ser>
          <c:idx val="2"/>
          <c:order val="2"/>
          <c:tx>
            <c:strRef>
              <c:f>'F3.4'!$F$53</c:f>
              <c:strCache>
                <c:ptCount val="1"/>
                <c:pt idx="0">
                  <c:v>Adolescence (PISA)</c:v>
                </c:pt>
              </c:strCache>
            </c:strRef>
          </c:tx>
          <c:spPr>
            <a:solidFill>
              <a:schemeClr val="bg1">
                <a:lumMod val="65000"/>
              </a:schemeClr>
            </a:solidFill>
          </c:spPr>
          <c:invertIfNegative val="0"/>
          <c:dLbls>
            <c:numFmt formatCode="#,##0.00" sourceLinked="0"/>
            <c:spPr>
              <a:noFill/>
              <a:ln>
                <a:noFill/>
              </a:ln>
              <a:effectLst/>
            </c:spPr>
            <c:txPr>
              <a:bodyPr/>
              <a:lstStyle/>
              <a:p>
                <a:pPr>
                  <a:defRPr sz="1200">
                    <a:latin typeface="Times New Roman" panose="02020603050405020304" pitchFamily="18"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'F3.4'!$B$54:$C$65</c:f>
              <c:multiLvlStrCache>
                <c:ptCount val="12"/>
                <c:lvl>
                  <c:pt idx="0">
                    <c:v>Socio-emotional development</c:v>
                  </c:pt>
                  <c:pt idx="1">
                    <c:v>Cognitive development</c:v>
                  </c:pt>
                  <c:pt idx="2">
                    <c:v>Language and communication</c:v>
                  </c:pt>
                  <c:pt idx="3">
                    <c:v>Math</c:v>
                  </c:pt>
                  <c:pt idx="4">
                    <c:v>Reading</c:v>
                  </c:pt>
                  <c:pt idx="5">
                    <c:v>Math</c:v>
                  </c:pt>
                  <c:pt idx="6">
                    <c:v>Reading</c:v>
                  </c:pt>
                  <c:pt idx="7">
                    <c:v>Science</c:v>
                  </c:pt>
                  <c:pt idx="8">
                    <c:v>Reading</c:v>
                  </c:pt>
                  <c:pt idx="9">
                    <c:v>Openness</c:v>
                  </c:pt>
                  <c:pt idx="10">
                    <c:v>Decision Making</c:v>
                  </c:pt>
                  <c:pt idx="11">
                    <c:v>Wages*</c:v>
                  </c:pt>
                </c:lvl>
                <c:lvl>
                  <c:pt idx="0">
                    <c:v>Early Childhood (PRIDI)</c:v>
                  </c:pt>
                  <c:pt idx="3">
                    <c:v>Childhood (TERCE)</c:v>
                  </c:pt>
                  <c:pt idx="5">
                    <c:v>Adolescence (PISA)</c:v>
                  </c:pt>
                  <c:pt idx="8">
                    <c:v>Adulthood (STEP)</c:v>
                  </c:pt>
                  <c:pt idx="11">
                    <c:v>Adulthood (STEP)</c:v>
                  </c:pt>
                </c:lvl>
              </c:multiLvlStrCache>
            </c:multiLvlStrRef>
          </c:cat>
          <c:val>
            <c:numRef>
              <c:f>'F3.4'!$F$54:$F$65</c:f>
              <c:numCache>
                <c:formatCode>0.00</c:formatCode>
                <c:ptCount val="12"/>
                <c:pt idx="5">
                  <c:v>0</c:v>
                </c:pt>
                <c:pt idx="6">
                  <c:v>0</c:v>
                </c:pt>
                <c:pt idx="7">
                  <c:v>0</c:v>
                </c:pt>
              </c:numCache>
            </c:numRef>
          </c:val>
          <c:extLst>
            <c:ext xmlns:c16="http://schemas.microsoft.com/office/drawing/2014/chart" uri="{C3380CC4-5D6E-409C-BE32-E72D297353CC}">
              <c16:uniqueId val="{00000002-E6F7-4A90-9FC5-499F45397D0D}"/>
            </c:ext>
          </c:extLst>
        </c:ser>
        <c:ser>
          <c:idx val="3"/>
          <c:order val="3"/>
          <c:tx>
            <c:strRef>
              <c:f>'F3.4'!$G$53</c:f>
              <c:strCache>
                <c:ptCount val="1"/>
                <c:pt idx="0">
                  <c:v>Adulthood (STEP)</c:v>
                </c:pt>
              </c:strCache>
            </c:strRef>
          </c:tx>
          <c:spPr>
            <a:solidFill>
              <a:srgbClr val="516529"/>
            </a:solidFill>
          </c:spPr>
          <c:invertIfNegative val="0"/>
          <c:dLbls>
            <c:numFmt formatCode="#,##0.00" sourceLinked="0"/>
            <c:spPr>
              <a:noFill/>
              <a:ln>
                <a:noFill/>
              </a:ln>
              <a:effectLst/>
            </c:spPr>
            <c:txPr>
              <a:bodyPr/>
              <a:lstStyle/>
              <a:p>
                <a:pPr>
                  <a:defRPr sz="1400">
                    <a:latin typeface="Times New Roman" panose="02020603050405020304" pitchFamily="18"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'F3.4'!$B$54:$C$65</c:f>
              <c:multiLvlStrCache>
                <c:ptCount val="12"/>
                <c:lvl>
                  <c:pt idx="0">
                    <c:v>Socio-emotional development</c:v>
                  </c:pt>
                  <c:pt idx="1">
                    <c:v>Cognitive development</c:v>
                  </c:pt>
                  <c:pt idx="2">
                    <c:v>Language and communication</c:v>
                  </c:pt>
                  <c:pt idx="3">
                    <c:v>Math</c:v>
                  </c:pt>
                  <c:pt idx="4">
                    <c:v>Reading</c:v>
                  </c:pt>
                  <c:pt idx="5">
                    <c:v>Math</c:v>
                  </c:pt>
                  <c:pt idx="6">
                    <c:v>Reading</c:v>
                  </c:pt>
                  <c:pt idx="7">
                    <c:v>Science</c:v>
                  </c:pt>
                  <c:pt idx="8">
                    <c:v>Reading</c:v>
                  </c:pt>
                  <c:pt idx="9">
                    <c:v>Openness</c:v>
                  </c:pt>
                  <c:pt idx="10">
                    <c:v>Decision Making</c:v>
                  </c:pt>
                  <c:pt idx="11">
                    <c:v>Wages*</c:v>
                  </c:pt>
                </c:lvl>
                <c:lvl>
                  <c:pt idx="0">
                    <c:v>Early Childhood (PRIDI)</c:v>
                  </c:pt>
                  <c:pt idx="3">
                    <c:v>Childhood (TERCE)</c:v>
                  </c:pt>
                  <c:pt idx="5">
                    <c:v>Adolescence (PISA)</c:v>
                  </c:pt>
                  <c:pt idx="8">
                    <c:v>Adulthood (STEP)</c:v>
                  </c:pt>
                  <c:pt idx="11">
                    <c:v>Adulthood (STEP)</c:v>
                  </c:pt>
                </c:lvl>
              </c:multiLvlStrCache>
            </c:multiLvlStrRef>
          </c:cat>
          <c:val>
            <c:numRef>
              <c:f>'F3.4'!$G$54:$G$65</c:f>
              <c:numCache>
                <c:formatCode>0.00</c:formatCode>
                <c:ptCount val="12"/>
                <c:pt idx="8">
                  <c:v>0</c:v>
                </c:pt>
                <c:pt idx="9">
                  <c:v>0</c:v>
                </c:pt>
                <c:pt idx="10">
                  <c:v>0</c:v>
                </c:pt>
              </c:numCache>
            </c:numRef>
          </c:val>
          <c:extLst>
            <c:ext xmlns:c16="http://schemas.microsoft.com/office/drawing/2014/chart" uri="{C3380CC4-5D6E-409C-BE32-E72D297353CC}">
              <c16:uniqueId val="{00000003-E6F7-4A90-9FC5-499F45397D0D}"/>
            </c:ext>
          </c:extLst>
        </c:ser>
        <c:ser>
          <c:idx val="4"/>
          <c:order val="4"/>
          <c:tx>
            <c:strRef>
              <c:f>'F3.4'!$H$53</c:f>
              <c:strCache>
                <c:ptCount val="1"/>
                <c:pt idx="0">
                  <c:v>Adulthood (Wages)</c:v>
                </c:pt>
              </c:strCache>
            </c:strRef>
          </c:tx>
          <c:invertIfNegative val="0"/>
          <c:dLbls>
            <c:numFmt formatCode="#,##0.00" sourceLinked="0"/>
            <c:spPr>
              <a:noFill/>
              <a:ln>
                <a:noFill/>
              </a:ln>
              <a:effectLst/>
            </c:spPr>
            <c:txPr>
              <a:bodyPr/>
              <a:lstStyle/>
              <a:p>
                <a:pPr>
                  <a:defRPr sz="1200">
                    <a:latin typeface="Times New Roman" panose="02020603050405020304" pitchFamily="18"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'F3.4'!$B$54:$C$65</c:f>
              <c:multiLvlStrCache>
                <c:ptCount val="12"/>
                <c:lvl>
                  <c:pt idx="0">
                    <c:v>Socio-emotional development</c:v>
                  </c:pt>
                  <c:pt idx="1">
                    <c:v>Cognitive development</c:v>
                  </c:pt>
                  <c:pt idx="2">
                    <c:v>Language and communication</c:v>
                  </c:pt>
                  <c:pt idx="3">
                    <c:v>Math</c:v>
                  </c:pt>
                  <c:pt idx="4">
                    <c:v>Reading</c:v>
                  </c:pt>
                  <c:pt idx="5">
                    <c:v>Math</c:v>
                  </c:pt>
                  <c:pt idx="6">
                    <c:v>Reading</c:v>
                  </c:pt>
                  <c:pt idx="7">
                    <c:v>Science</c:v>
                  </c:pt>
                  <c:pt idx="8">
                    <c:v>Reading</c:v>
                  </c:pt>
                  <c:pt idx="9">
                    <c:v>Openness</c:v>
                  </c:pt>
                  <c:pt idx="10">
                    <c:v>Decision Making</c:v>
                  </c:pt>
                  <c:pt idx="11">
                    <c:v>Wages*</c:v>
                  </c:pt>
                </c:lvl>
                <c:lvl>
                  <c:pt idx="0">
                    <c:v>Early Childhood (PRIDI)</c:v>
                  </c:pt>
                  <c:pt idx="3">
                    <c:v>Childhood (TERCE)</c:v>
                  </c:pt>
                  <c:pt idx="5">
                    <c:v>Adolescence (PISA)</c:v>
                  </c:pt>
                  <c:pt idx="8">
                    <c:v>Adulthood (STEP)</c:v>
                  </c:pt>
                  <c:pt idx="11">
                    <c:v>Adulthood (STEP)</c:v>
                  </c:pt>
                </c:lvl>
              </c:multiLvlStrCache>
            </c:multiLvlStrRef>
          </c:cat>
          <c:val>
            <c:numRef>
              <c:f>'F3.4'!$H$54:$H$65</c:f>
              <c:numCache>
                <c:formatCode>0.00</c:formatCode>
                <c:ptCount val="12"/>
                <c:pt idx="11">
                  <c:v>0</c:v>
                </c:pt>
              </c:numCache>
            </c:numRef>
          </c:val>
          <c:extLst>
            <c:ext xmlns:c16="http://schemas.microsoft.com/office/drawing/2014/chart" uri="{C3380CC4-5D6E-409C-BE32-E72D297353CC}">
              <c16:uniqueId val="{00000004-E6F7-4A90-9FC5-499F45397D0D}"/>
            </c:ext>
          </c:extLst>
        </c:ser>
        <c:dLbls>
          <c:dLblPos val="outEnd"/>
          <c:showLegendKey val="0"/>
          <c:showVal val="1"/>
          <c:showCatName val="0"/>
          <c:showSerName val="0"/>
          <c:showPercent val="0"/>
          <c:showBubbleSize val="0"/>
        </c:dLbls>
        <c:gapWidth val="125"/>
        <c:overlap val="100"/>
        <c:axId val="262117248"/>
        <c:axId val="262118784"/>
      </c:barChart>
      <c:catAx>
        <c:axId val="262117248"/>
        <c:scaling>
          <c:orientation val="minMax"/>
        </c:scaling>
        <c:delete val="0"/>
        <c:axPos val="b"/>
        <c:numFmt formatCode="General" sourceLinked="0"/>
        <c:majorTickMark val="out"/>
        <c:minorTickMark val="none"/>
        <c:tickLblPos val="nextTo"/>
        <c:txPr>
          <a:bodyPr/>
          <a:lstStyle/>
          <a:p>
            <a:pPr>
              <a:defRPr sz="1000">
                <a:latin typeface="Times New Roman" panose="02020603050405020304" pitchFamily="18" charset="0"/>
                <a:cs typeface="Times New Roman" panose="02020603050405020304" pitchFamily="18" charset="0"/>
              </a:defRPr>
            </a:pPr>
            <a:endParaRPr lang="en-US"/>
          </a:p>
        </c:txPr>
        <c:crossAx val="262118784"/>
        <c:crosses val="autoZero"/>
        <c:auto val="1"/>
        <c:lblAlgn val="ctr"/>
        <c:lblOffset val="100"/>
        <c:noMultiLvlLbl val="0"/>
      </c:catAx>
      <c:valAx>
        <c:axId val="262118784"/>
        <c:scaling>
          <c:orientation val="minMax"/>
        </c:scaling>
        <c:delete val="0"/>
        <c:axPos val="l"/>
        <c:title>
          <c:tx>
            <c:rich>
              <a:bodyPr rot="-5400000" vert="horz"/>
              <a:lstStyle/>
              <a:p>
                <a:pPr>
                  <a:defRPr sz="1200">
                    <a:latin typeface="Times New Roman" panose="02020603050405020304" pitchFamily="18" charset="0"/>
                    <a:cs typeface="Times New Roman" panose="02020603050405020304" pitchFamily="18" charset="0"/>
                  </a:defRPr>
                </a:pPr>
                <a:r>
                  <a:rPr lang="en-US" sz="1200">
                    <a:latin typeface="Times New Roman" panose="02020603050405020304" pitchFamily="18" charset="0"/>
                    <a:cs typeface="Times New Roman" panose="02020603050405020304" pitchFamily="18" charset="0"/>
                  </a:rPr>
                  <a:t>Standard deviations</a:t>
                </a:r>
              </a:p>
            </c:rich>
          </c:tx>
          <c:overlay val="0"/>
        </c:title>
        <c:numFmt formatCode="0.00"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21172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Times New Roman" panose="02020603050405020304" pitchFamily="18" charset="0"/>
                <a:cs typeface="Times New Roman" panose="02020603050405020304" pitchFamily="18" charset="0"/>
              </a:defRPr>
            </a:pPr>
            <a:r>
              <a:rPr lang="en-US" sz="1200">
                <a:latin typeface="Times New Roman" panose="02020603050405020304" pitchFamily="18" charset="0"/>
                <a:cs typeface="Times New Roman" panose="02020603050405020304" pitchFamily="18" charset="0"/>
              </a:rPr>
              <a:t>a. As % of GDP</a:t>
            </a:r>
          </a:p>
        </c:rich>
      </c:tx>
      <c:overlay val="0"/>
    </c:title>
    <c:autoTitleDeleted val="0"/>
    <c:plotArea>
      <c:layout/>
      <c:lineChart>
        <c:grouping val="standard"/>
        <c:varyColors val="0"/>
        <c:ser>
          <c:idx val="0"/>
          <c:order val="0"/>
          <c:tx>
            <c:strRef>
              <c:f>'F3.7'!$D$71</c:f>
              <c:strCache>
                <c:ptCount val="1"/>
                <c:pt idx="0">
                  <c:v>United States</c:v>
                </c:pt>
              </c:strCache>
            </c:strRef>
          </c:tx>
          <c:spPr>
            <a:ln>
              <a:solidFill>
                <a:schemeClr val="tx2"/>
              </a:solidFill>
            </a:ln>
          </c:spPr>
          <c:marker>
            <c:symbol val="none"/>
          </c:marker>
          <c:cat>
            <c:numRef>
              <c:f>'F3.7'!$C$72:$C$95</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'F3.7'!$D$72:$D$95</c:f>
              <c:numCache>
                <c:formatCode>0.0%</c:formatCode>
                <c:ptCount val="24"/>
                <c:pt idx="0">
                  <c:v>4.8164100999999994E-2</c:v>
                </c:pt>
                <c:pt idx="1">
                  <c:v>4.8990698000000006E-2</c:v>
                </c:pt>
                <c:pt idx="2">
                  <c:v>4.8907465999999997E-2</c:v>
                </c:pt>
                <c:pt idx="3">
                  <c:v>4.8824234000000001E-2</c:v>
                </c:pt>
                <c:pt idx="4">
                  <c:v>4.8741001999999999E-2</c:v>
                </c:pt>
                <c:pt idx="5">
                  <c:v>4.9415302000000001E-2</c:v>
                </c:pt>
                <c:pt idx="6">
                  <c:v>4.8994968999999999E-2</c:v>
                </c:pt>
                <c:pt idx="7">
                  <c:v>4.8574634999999998E-2</c:v>
                </c:pt>
                <c:pt idx="8">
                  <c:v>4.8154301999999996E-2</c:v>
                </c:pt>
                <c:pt idx="9">
                  <c:v>4.8493399999999999E-2</c:v>
                </c:pt>
                <c:pt idx="10">
                  <c:v>5.1535999999999998E-2</c:v>
                </c:pt>
                <c:pt idx="11">
                  <c:v>5.4578600000000005E-2</c:v>
                </c:pt>
                <c:pt idx="12">
                  <c:v>5.4061998999999999E-2</c:v>
                </c:pt>
                <c:pt idx="13">
                  <c:v>5.5655098E-2</c:v>
                </c:pt>
                <c:pt idx="14">
                  <c:v>5.3092299000000003E-2</c:v>
                </c:pt>
                <c:pt idx="15">
                  <c:v>5.0736499000000004E-2</c:v>
                </c:pt>
                <c:pt idx="16">
                  <c:v>5.3888102E-2</c:v>
                </c:pt>
                <c:pt idx="17">
                  <c:v>5.2464899999999995E-2</c:v>
                </c:pt>
                <c:pt idx="18">
                  <c:v>5.3035401999999995E-2</c:v>
                </c:pt>
                <c:pt idx="19">
                  <c:v>5.2495798999999996E-2</c:v>
                </c:pt>
                <c:pt idx="20">
                  <c:v>5.4200101000000001E-2</c:v>
                </c:pt>
                <c:pt idx="21">
                  <c:v>5.2238998000000002E-2</c:v>
                </c:pt>
                <c:pt idx="22">
                  <c:v>5.2192325999999997E-2</c:v>
                </c:pt>
                <c:pt idx="23">
                  <c:v>5.2145653E-2</c:v>
                </c:pt>
              </c:numCache>
            </c:numRef>
          </c:val>
          <c:smooth val="0"/>
          <c:extLst>
            <c:ext xmlns:c16="http://schemas.microsoft.com/office/drawing/2014/chart" uri="{C3380CC4-5D6E-409C-BE32-E72D297353CC}">
              <c16:uniqueId val="{00000000-626A-41EC-85AF-E7CE1F7655A1}"/>
            </c:ext>
          </c:extLst>
        </c:ser>
        <c:ser>
          <c:idx val="2"/>
          <c:order val="1"/>
          <c:tx>
            <c:strRef>
              <c:f>'F3.7'!$E$71</c:f>
              <c:strCache>
                <c:ptCount val="1"/>
                <c:pt idx="0">
                  <c:v>Panama</c:v>
                </c:pt>
              </c:strCache>
            </c:strRef>
          </c:tx>
          <c:spPr>
            <a:ln w="31750">
              <a:solidFill>
                <a:srgbClr val="C00000"/>
              </a:solidFill>
            </a:ln>
          </c:spPr>
          <c:marker>
            <c:symbol val="none"/>
          </c:marker>
          <c:cat>
            <c:numRef>
              <c:f>'F3.7'!$C$72:$C$95</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'F3.7'!$E$72:$E$95</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smooth val="0"/>
          <c:extLst>
            <c:ext xmlns:c16="http://schemas.microsoft.com/office/drawing/2014/chart" uri="{C3380CC4-5D6E-409C-BE32-E72D297353CC}">
              <c16:uniqueId val="{00000001-626A-41EC-85AF-E7CE1F7655A1}"/>
            </c:ext>
          </c:extLst>
        </c:ser>
        <c:ser>
          <c:idx val="1"/>
          <c:order val="2"/>
          <c:tx>
            <c:strRef>
              <c:f>'F3.7'!$H$71</c:f>
              <c:strCache>
                <c:ptCount val="1"/>
                <c:pt idx="0">
                  <c:v>Latin America</c:v>
                </c:pt>
              </c:strCache>
            </c:strRef>
          </c:tx>
          <c:spPr>
            <a:ln>
              <a:solidFill>
                <a:schemeClr val="bg2">
                  <a:lumMod val="50000"/>
                </a:schemeClr>
              </a:solidFill>
              <a:prstDash val="solid"/>
            </a:ln>
          </c:spPr>
          <c:marker>
            <c:symbol val="none"/>
          </c:marker>
          <c:cat>
            <c:numRef>
              <c:f>'F3.7'!$C$72:$C$95</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'F3.7'!$H$72:$H$95</c:f>
              <c:numCache>
                <c:formatCode>0.0%</c:formatCode>
                <c:ptCount val="24"/>
                <c:pt idx="0">
                  <c:v>2.1373465512499999E-2</c:v>
                </c:pt>
                <c:pt idx="1">
                  <c:v>2.3674832581249996E-2</c:v>
                </c:pt>
                <c:pt idx="2">
                  <c:v>2.5660093999999994E-2</c:v>
                </c:pt>
                <c:pt idx="3">
                  <c:v>2.6645065868749998E-2</c:v>
                </c:pt>
                <c:pt idx="4">
                  <c:v>2.914389206875E-2</c:v>
                </c:pt>
                <c:pt idx="5">
                  <c:v>3.1197889124999999E-2</c:v>
                </c:pt>
                <c:pt idx="6">
                  <c:v>3.2294131937499998E-2</c:v>
                </c:pt>
                <c:pt idx="7">
                  <c:v>3.3843530687499998E-2</c:v>
                </c:pt>
                <c:pt idx="8">
                  <c:v>3.5050071124999999E-2</c:v>
                </c:pt>
                <c:pt idx="9">
                  <c:v>3.6020199812499994E-2</c:v>
                </c:pt>
                <c:pt idx="10">
                  <c:v>3.5569155875000001E-2</c:v>
                </c:pt>
                <c:pt idx="11">
                  <c:v>3.6990679374999995E-2</c:v>
                </c:pt>
                <c:pt idx="12">
                  <c:v>3.6974903187499998E-2</c:v>
                </c:pt>
                <c:pt idx="13">
                  <c:v>3.6350525812499999E-2</c:v>
                </c:pt>
                <c:pt idx="14">
                  <c:v>3.5577097875000005E-2</c:v>
                </c:pt>
                <c:pt idx="15">
                  <c:v>3.6873585E-2</c:v>
                </c:pt>
                <c:pt idx="16">
                  <c:v>3.78277993125E-2</c:v>
                </c:pt>
                <c:pt idx="17">
                  <c:v>3.9611350750000003E-2</c:v>
                </c:pt>
                <c:pt idx="18">
                  <c:v>4.3994884562499996E-2</c:v>
                </c:pt>
                <c:pt idx="19">
                  <c:v>4.8400566000000006E-2</c:v>
                </c:pt>
                <c:pt idx="20">
                  <c:v>4.8352128187499996E-2</c:v>
                </c:pt>
                <c:pt idx="21">
                  <c:v>4.9182319312500014E-2</c:v>
                </c:pt>
                <c:pt idx="22">
                  <c:v>4.9968971312499999E-2</c:v>
                </c:pt>
                <c:pt idx="23">
                  <c:v>5.1406690312500003E-2</c:v>
                </c:pt>
              </c:numCache>
            </c:numRef>
          </c:val>
          <c:smooth val="0"/>
          <c:extLst>
            <c:ext xmlns:c16="http://schemas.microsoft.com/office/drawing/2014/chart" uri="{C3380CC4-5D6E-409C-BE32-E72D297353CC}">
              <c16:uniqueId val="{00000002-626A-41EC-85AF-E7CE1F7655A1}"/>
            </c:ext>
          </c:extLst>
        </c:ser>
        <c:ser>
          <c:idx val="3"/>
          <c:order val="3"/>
          <c:tx>
            <c:strRef>
              <c:f>'F3.7'!$G$71</c:f>
              <c:strCache>
                <c:ptCount val="1"/>
                <c:pt idx="0">
                  <c:v>Comparison Countries</c:v>
                </c:pt>
              </c:strCache>
            </c:strRef>
          </c:tx>
          <c:spPr>
            <a:ln>
              <a:solidFill>
                <a:schemeClr val="bg1">
                  <a:lumMod val="50000"/>
                </a:schemeClr>
              </a:solidFill>
              <a:prstDash val="dash"/>
            </a:ln>
          </c:spPr>
          <c:marker>
            <c:symbol val="circle"/>
            <c:size val="5"/>
            <c:spPr>
              <a:solidFill>
                <a:schemeClr val="bg1">
                  <a:lumMod val="50000"/>
                </a:schemeClr>
              </a:solidFill>
              <a:ln>
                <a:solidFill>
                  <a:schemeClr val="bg1">
                    <a:lumMod val="50000"/>
                  </a:schemeClr>
                </a:solidFill>
              </a:ln>
            </c:spPr>
          </c:marker>
          <c:cat>
            <c:numRef>
              <c:f>'F3.7'!$C$72:$C$95</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'F3.7'!$G$72:$G$95</c:f>
              <c:numCache>
                <c:formatCode>0.0%</c:formatCode>
                <c:ptCount val="24"/>
                <c:pt idx="0">
                  <c:v>3.9879151333333328E-2</c:v>
                </c:pt>
                <c:pt idx="1">
                  <c:v>4.0384705733333338E-2</c:v>
                </c:pt>
                <c:pt idx="2">
                  <c:v>4.0396583999999992E-2</c:v>
                </c:pt>
                <c:pt idx="3">
                  <c:v>4.0112833513333335E-2</c:v>
                </c:pt>
                <c:pt idx="4">
                  <c:v>3.9369987733333334E-2</c:v>
                </c:pt>
                <c:pt idx="5">
                  <c:v>3.8008371533333335E-2</c:v>
                </c:pt>
                <c:pt idx="6">
                  <c:v>3.8555928400000002E-2</c:v>
                </c:pt>
                <c:pt idx="7">
                  <c:v>3.9827846066666665E-2</c:v>
                </c:pt>
                <c:pt idx="8">
                  <c:v>4.0209402400000011E-2</c:v>
                </c:pt>
                <c:pt idx="9">
                  <c:v>4.0465515933333335E-2</c:v>
                </c:pt>
                <c:pt idx="10">
                  <c:v>4.0872286399999999E-2</c:v>
                </c:pt>
                <c:pt idx="11">
                  <c:v>4.2262834466666656E-2</c:v>
                </c:pt>
                <c:pt idx="12">
                  <c:v>4.1637126666666663E-2</c:v>
                </c:pt>
                <c:pt idx="13">
                  <c:v>4.2758398999999996E-2</c:v>
                </c:pt>
                <c:pt idx="14">
                  <c:v>3.9712544799999992E-2</c:v>
                </c:pt>
                <c:pt idx="15">
                  <c:v>4.0417006599999993E-2</c:v>
                </c:pt>
                <c:pt idx="16">
                  <c:v>4.0143956066666667E-2</c:v>
                </c:pt>
                <c:pt idx="17">
                  <c:v>3.9952609E-2</c:v>
                </c:pt>
                <c:pt idx="18">
                  <c:v>4.0243624000000006E-2</c:v>
                </c:pt>
                <c:pt idx="19">
                  <c:v>4.3226027933333327E-2</c:v>
                </c:pt>
                <c:pt idx="20">
                  <c:v>3.9996344466666667E-2</c:v>
                </c:pt>
                <c:pt idx="21">
                  <c:v>4.1024104266666667E-2</c:v>
                </c:pt>
                <c:pt idx="22">
                  <c:v>4.0740496133333338E-2</c:v>
                </c:pt>
                <c:pt idx="23">
                  <c:v>4.0187750533333337E-2</c:v>
                </c:pt>
              </c:numCache>
            </c:numRef>
          </c:val>
          <c:smooth val="0"/>
          <c:extLst>
            <c:ext xmlns:c16="http://schemas.microsoft.com/office/drawing/2014/chart" uri="{C3380CC4-5D6E-409C-BE32-E72D297353CC}">
              <c16:uniqueId val="{00000003-626A-41EC-85AF-E7CE1F7655A1}"/>
            </c:ext>
          </c:extLst>
        </c:ser>
        <c:dLbls>
          <c:showLegendKey val="0"/>
          <c:showVal val="0"/>
          <c:showCatName val="0"/>
          <c:showSerName val="0"/>
          <c:showPercent val="0"/>
          <c:showBubbleSize val="0"/>
        </c:dLbls>
        <c:smooth val="0"/>
        <c:axId val="262174976"/>
        <c:axId val="262181248"/>
      </c:lineChart>
      <c:catAx>
        <c:axId val="262174976"/>
        <c:scaling>
          <c:orientation val="minMax"/>
        </c:scaling>
        <c:delete val="0"/>
        <c:axPos val="b"/>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2181248"/>
        <c:crosses val="autoZero"/>
        <c:auto val="1"/>
        <c:lblAlgn val="ctr"/>
        <c:lblOffset val="100"/>
        <c:noMultiLvlLbl val="0"/>
      </c:catAx>
      <c:valAx>
        <c:axId val="262181248"/>
        <c:scaling>
          <c:orientation val="minMax"/>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 of GDP</a:t>
                </a:r>
              </a:p>
            </c:rich>
          </c:tx>
          <c:layout>
            <c:manualLayout>
              <c:xMode val="edge"/>
              <c:yMode val="edge"/>
              <c:x val="1.6003044358674848E-2"/>
              <c:y val="0.34595974776701671"/>
            </c:manualLayout>
          </c:layout>
          <c:overlay val="0"/>
        </c:title>
        <c:numFmt formatCode="0.0%"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2174976"/>
        <c:crosses val="autoZero"/>
        <c:crossBetween val="between"/>
      </c:valAx>
    </c:plotArea>
    <c:legend>
      <c:legendPos val="b"/>
      <c:overlay val="0"/>
      <c:txPr>
        <a:bodyPr/>
        <a:lstStyle/>
        <a:p>
          <a:pPr>
            <a:defRPr sz="120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Times New Roman" panose="02020603050405020304" pitchFamily="18" charset="0"/>
                <a:cs typeface="Times New Roman" panose="02020603050405020304" pitchFamily="18" charset="0"/>
              </a:defRPr>
            </a:pPr>
            <a:r>
              <a:rPr lang="en-US" sz="1200">
                <a:latin typeface="Times New Roman" panose="02020603050405020304" pitchFamily="18" charset="0"/>
                <a:cs typeface="Times New Roman" panose="02020603050405020304" pitchFamily="18" charset="0"/>
              </a:rPr>
              <a:t>b. By educational level in Latin America and the Caribbean</a:t>
            </a:r>
          </a:p>
        </c:rich>
      </c:tx>
      <c:overlay val="0"/>
    </c:title>
    <c:autoTitleDeleted val="0"/>
    <c:plotArea>
      <c:layout>
        <c:manualLayout>
          <c:layoutTarget val="inner"/>
          <c:xMode val="edge"/>
          <c:yMode val="edge"/>
          <c:x val="0.14246413976336425"/>
          <c:y val="0.12001769021653505"/>
          <c:w val="0.83719379102792546"/>
          <c:h val="0.64962417255054561"/>
        </c:manualLayout>
      </c:layout>
      <c:barChart>
        <c:barDir val="col"/>
        <c:grouping val="clustered"/>
        <c:varyColors val="0"/>
        <c:ser>
          <c:idx val="0"/>
          <c:order val="0"/>
          <c:tx>
            <c:strRef>
              <c:f>'F3.7'!$J$27:$K$27</c:f>
              <c:strCache>
                <c:ptCount val="2"/>
                <c:pt idx="0">
                  <c:v>Panama</c:v>
                </c:pt>
              </c:strCache>
            </c:strRef>
          </c:tx>
          <c:spPr>
            <a:solidFill>
              <a:srgbClr val="C00000"/>
            </a:solidFill>
          </c:spPr>
          <c:invertIfNegative val="0"/>
          <c:dPt>
            <c:idx val="0"/>
            <c:invertIfNegative val="0"/>
            <c:bubble3D val="0"/>
            <c:extLst>
              <c:ext xmlns:c16="http://schemas.microsoft.com/office/drawing/2014/chart" uri="{C3380CC4-5D6E-409C-BE32-E72D297353CC}">
                <c16:uniqueId val="{00000001-A13B-4CA4-A4C1-CFFBCB74488F}"/>
              </c:ext>
            </c:extLst>
          </c:dPt>
          <c:dPt>
            <c:idx val="1"/>
            <c:invertIfNegative val="0"/>
            <c:bubble3D val="0"/>
            <c:extLst>
              <c:ext xmlns:c16="http://schemas.microsoft.com/office/drawing/2014/chart" uri="{C3380CC4-5D6E-409C-BE32-E72D297353CC}">
                <c16:uniqueId val="{00000003-A13B-4CA4-A4C1-CFFBCB74488F}"/>
              </c:ext>
            </c:extLst>
          </c:dPt>
          <c:dPt>
            <c:idx val="2"/>
            <c:invertIfNegative val="0"/>
            <c:bubble3D val="0"/>
            <c:extLst>
              <c:ext xmlns:c16="http://schemas.microsoft.com/office/drawing/2014/chart" uri="{C3380CC4-5D6E-409C-BE32-E72D297353CC}">
                <c16:uniqueId val="{00000005-A13B-4CA4-A4C1-CFFBCB74488F}"/>
              </c:ext>
            </c:extLst>
          </c:dPt>
          <c:dLbls>
            <c:spPr>
              <a:noFill/>
              <a:ln>
                <a:noFill/>
              </a:ln>
              <a:effectLst/>
            </c:spPr>
            <c:txPr>
              <a:bodyPr/>
              <a:lstStyle/>
              <a:p>
                <a:pPr>
                  <a:defRPr sz="1050" b="1">
                    <a:solidFill>
                      <a:sysClr val="windowText" lastClr="000000"/>
                    </a:solidFill>
                    <a:latin typeface="Times New Roman" panose="02020603050405020304" pitchFamily="18"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'F3.7'!$L$26:$O$26</c:f>
              <c:strCache>
                <c:ptCount val="4"/>
                <c:pt idx="0">
                  <c:v>PrePrimary</c:v>
                </c:pt>
                <c:pt idx="1">
                  <c:v>Primary</c:v>
                </c:pt>
                <c:pt idx="2">
                  <c:v>Secondary</c:v>
                </c:pt>
                <c:pt idx="3">
                  <c:v>Tertiary</c:v>
                </c:pt>
              </c:strCache>
            </c:strRef>
          </c:cat>
          <c:val>
            <c:numRef>
              <c:f>'F3.7'!$L$27:$O$27</c:f>
              <c:numCache>
                <c:formatCode>0.0%</c:formatCode>
                <c:ptCount val="4"/>
                <c:pt idx="0">
                  <c:v>1.4347826086956522E-3</c:v>
                </c:pt>
                <c:pt idx="1">
                  <c:v>1.1478260869565217E-2</c:v>
                </c:pt>
                <c:pt idx="2">
                  <c:v>1.0043478260869565E-2</c:v>
                </c:pt>
                <c:pt idx="3">
                  <c:v>1.0043478260869565E-2</c:v>
                </c:pt>
              </c:numCache>
            </c:numRef>
          </c:val>
          <c:extLst>
            <c:ext xmlns:c16="http://schemas.microsoft.com/office/drawing/2014/chart" uri="{C3380CC4-5D6E-409C-BE32-E72D297353CC}">
              <c16:uniqueId val="{00000006-A13B-4CA4-A4C1-CFFBCB74488F}"/>
            </c:ext>
          </c:extLst>
        </c:ser>
        <c:ser>
          <c:idx val="1"/>
          <c:order val="1"/>
          <c:tx>
            <c:strRef>
              <c:f>'F3.7'!$J$28:$K$28</c:f>
              <c:strCache>
                <c:ptCount val="2"/>
                <c:pt idx="0">
                  <c:v>Latin America</c:v>
                </c:pt>
              </c:strCache>
            </c:strRef>
          </c:tx>
          <c:spPr>
            <a:solidFill>
              <a:schemeClr val="bg2">
                <a:lumMod val="50000"/>
              </a:schemeClr>
            </a:solidFill>
          </c:spPr>
          <c:invertIfNegative val="0"/>
          <c:dLbls>
            <c:dLbl>
              <c:idx val="0"/>
              <c:layout>
                <c:manualLayout>
                  <c:x val="6.863676397654388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C5F-48AF-A766-8561139FF9FC}"/>
                </c:ext>
              </c:extLst>
            </c:dLbl>
            <c:dLbl>
              <c:idx val="1"/>
              <c:layout>
                <c:manualLayout>
                  <c:x val="1.143946066275731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C5F-48AF-A766-8561139FF9FC}"/>
                </c:ext>
              </c:extLst>
            </c:dLbl>
            <c:dLbl>
              <c:idx val="2"/>
              <c:layout>
                <c:manualLayout>
                  <c:x val="1.601524492786015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5F-48AF-A766-8561139FF9FC}"/>
                </c:ext>
              </c:extLst>
            </c:dLbl>
            <c:dLbl>
              <c:idx val="3"/>
              <c:layout>
                <c:manualLayout>
                  <c:x val="2.059102919296316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C5F-48AF-A766-8561139FF9FC}"/>
                </c:ext>
              </c:extLst>
            </c:dLbl>
            <c:spPr>
              <a:noFill/>
              <a:ln>
                <a:noFill/>
              </a:ln>
              <a:effectLst/>
            </c:spPr>
            <c:txPr>
              <a:bodyPr/>
              <a:lstStyle/>
              <a:p>
                <a:pPr>
                  <a:defRPr b="1">
                    <a:latin typeface="Times New Roman" panose="02020603050405020304" pitchFamily="18"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'F3.7'!$L$26:$O$26</c:f>
              <c:strCache>
                <c:ptCount val="4"/>
                <c:pt idx="0">
                  <c:v>PrePrimary</c:v>
                </c:pt>
                <c:pt idx="1">
                  <c:v>Primary</c:v>
                </c:pt>
                <c:pt idx="2">
                  <c:v>Secondary</c:v>
                </c:pt>
                <c:pt idx="3">
                  <c:v>Tertiary</c:v>
                </c:pt>
              </c:strCache>
            </c:strRef>
          </c:cat>
          <c:val>
            <c:numRef>
              <c:f>'F3.7'!$L$28:$O$28</c:f>
              <c:numCache>
                <c:formatCode>0.0%</c:formatCode>
                <c:ptCount val="4"/>
                <c:pt idx="0">
                  <c:v>4.1510759528690681E-3</c:v>
                </c:pt>
                <c:pt idx="1">
                  <c:v>1.9385284781376837E-2</c:v>
                </c:pt>
                <c:pt idx="2">
                  <c:v>1.5562093470141331E-2</c:v>
                </c:pt>
                <c:pt idx="3">
                  <c:v>1.0935887547977108E-2</c:v>
                </c:pt>
              </c:numCache>
            </c:numRef>
          </c:val>
          <c:extLst>
            <c:ext xmlns:c16="http://schemas.microsoft.com/office/drawing/2014/chart" uri="{C3380CC4-5D6E-409C-BE32-E72D297353CC}">
              <c16:uniqueId val="{0000000B-A13B-4CA4-A4C1-CFFBCB74488F}"/>
            </c:ext>
          </c:extLst>
        </c:ser>
        <c:dLbls>
          <c:dLblPos val="ctr"/>
          <c:showLegendKey val="0"/>
          <c:showVal val="1"/>
          <c:showCatName val="0"/>
          <c:showSerName val="0"/>
          <c:showPercent val="0"/>
          <c:showBubbleSize val="0"/>
        </c:dLbls>
        <c:gapWidth val="150"/>
        <c:axId val="263423104"/>
        <c:axId val="263424640"/>
      </c:barChart>
      <c:catAx>
        <c:axId val="263423104"/>
        <c:scaling>
          <c:orientation val="minMax"/>
        </c:scaling>
        <c:delete val="0"/>
        <c:axPos val="b"/>
        <c:numFmt formatCode="General" sourceLinked="0"/>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263424640"/>
        <c:crosses val="autoZero"/>
        <c:auto val="1"/>
        <c:lblAlgn val="ctr"/>
        <c:lblOffset val="100"/>
        <c:noMultiLvlLbl val="0"/>
      </c:catAx>
      <c:valAx>
        <c:axId val="263424640"/>
        <c:scaling>
          <c:orientation val="minMax"/>
          <c:max val="2.5000000000000005E-2"/>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 of GDP</a:t>
                </a:r>
              </a:p>
            </c:rich>
          </c:tx>
          <c:layout>
            <c:manualLayout>
              <c:xMode val="edge"/>
              <c:yMode val="edge"/>
              <c:x val="8.6842385469178343E-3"/>
              <c:y val="0.34338963351296176"/>
            </c:manualLayout>
          </c:layout>
          <c:overlay val="0"/>
        </c:title>
        <c:numFmt formatCode="0.0%" sourceLinked="1"/>
        <c:majorTickMark val="out"/>
        <c:minorTickMark val="none"/>
        <c:tickLblPos val="nextTo"/>
        <c:txPr>
          <a:bodyPr/>
          <a:lstStyle/>
          <a:p>
            <a:pPr>
              <a:defRPr sz="1100">
                <a:latin typeface="Times New Roman" panose="02020603050405020304" pitchFamily="18" charset="0"/>
                <a:cs typeface="Times New Roman" panose="02020603050405020304" pitchFamily="18" charset="0"/>
              </a:defRPr>
            </a:pPr>
            <a:endParaRPr lang="en-US"/>
          </a:p>
        </c:txPr>
        <c:crossAx val="263423104"/>
        <c:crosses val="autoZero"/>
        <c:crossBetween val="between"/>
        <c:majorUnit val="5.000000000000001E-3"/>
      </c:valAx>
    </c:plotArea>
    <c:legend>
      <c:legendPos val="b"/>
      <c:layout>
        <c:manualLayout>
          <c:xMode val="edge"/>
          <c:yMode val="edge"/>
          <c:x val="0.44610023381537001"/>
          <c:y val="0.89073516225469651"/>
          <c:w val="0.35748098392332434"/>
          <c:h val="6.9409753911261529E-2"/>
        </c:manualLayout>
      </c:layout>
      <c:overlay val="0"/>
      <c:txPr>
        <a:bodyPr/>
        <a:lstStyle/>
        <a:p>
          <a:pPr>
            <a:defRPr sz="120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i="0">
                <a:latin typeface="Times New Roman" panose="02020603050405020304" pitchFamily="18" charset="0"/>
                <a:cs typeface="Times New Roman" panose="02020603050405020304" pitchFamily="18" charset="0"/>
              </a:defRPr>
            </a:pPr>
            <a:r>
              <a:rPr lang="en-US" sz="1200" b="1" i="0" u="none" strike="noStrike" baseline="0">
                <a:effectLst/>
                <a:latin typeface="Times New Roman" panose="02020603050405020304" pitchFamily="18" charset="0"/>
                <a:cs typeface="Times New Roman" panose="02020603050405020304" pitchFamily="18" charset="0"/>
              </a:rPr>
              <a:t>A. Premium to year of schooling </a:t>
            </a:r>
            <a:endParaRPr lang="en-US" sz="1200" i="0">
              <a:latin typeface="Times New Roman" panose="02020603050405020304" pitchFamily="18" charset="0"/>
              <a:cs typeface="Times New Roman" panose="02020603050405020304" pitchFamily="18" charset="0"/>
            </a:endParaRPr>
          </a:p>
        </c:rich>
      </c:tx>
      <c:overlay val="0"/>
    </c:title>
    <c:autoTitleDeleted val="0"/>
    <c:plotArea>
      <c:layout>
        <c:manualLayout>
          <c:layoutTarget val="inner"/>
          <c:xMode val="edge"/>
          <c:yMode val="edge"/>
          <c:x val="0.13401914414321184"/>
          <c:y val="0.11396383526938994"/>
          <c:w val="0.83716612205260577"/>
          <c:h val="0.68752176193639725"/>
        </c:manualLayout>
      </c:layout>
      <c:areaChart>
        <c:grouping val="standard"/>
        <c:varyColors val="0"/>
        <c:ser>
          <c:idx val="1"/>
          <c:order val="0"/>
          <c:tx>
            <c:strRef>
              <c:f>'F4.1'!$E$57</c:f>
              <c:strCache>
                <c:ptCount val="1"/>
                <c:pt idx="0">
                  <c:v>max95</c:v>
                </c:pt>
              </c:strCache>
            </c:strRef>
          </c:tx>
          <c:spPr>
            <a:solidFill>
              <a:schemeClr val="bg1">
                <a:lumMod val="65000"/>
              </a:schemeClr>
            </a:solidFill>
            <a:ln>
              <a:noFill/>
            </a:ln>
          </c:spPr>
          <c:cat>
            <c:numRef>
              <c:f>'F4.1'!$D$58:$D$77</c:f>
              <c:numCache>
                <c:formatCode>General</c:formatCode>
                <c:ptCount val="2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numCache>
            </c:numRef>
          </c:cat>
          <c:val>
            <c:numRef>
              <c:f>'F4.1'!$E$58:$E$77</c:f>
              <c:numCache>
                <c:formatCode>General</c:formatCode>
                <c:ptCount val="20"/>
                <c:pt idx="0">
                  <c:v>0.11526670999999999</c:v>
                </c:pt>
                <c:pt idx="1">
                  <c:v>0.12967085</c:v>
                </c:pt>
                <c:pt idx="2">
                  <c:v>0.12844668000000001</c:v>
                </c:pt>
                <c:pt idx="3">
                  <c:v>0.12911879000000001</c:v>
                </c:pt>
                <c:pt idx="4">
                  <c:v>0.12957969999999999</c:v>
                </c:pt>
                <c:pt idx="5">
                  <c:v>0.12672839999999999</c:v>
                </c:pt>
                <c:pt idx="6">
                  <c:v>0.13020849000000001</c:v>
                </c:pt>
                <c:pt idx="7">
                  <c:v>0.13843875999999999</c:v>
                </c:pt>
                <c:pt idx="8">
                  <c:v>0.13260590999999999</c:v>
                </c:pt>
                <c:pt idx="9">
                  <c:v>0.13816841999999999</c:v>
                </c:pt>
                <c:pt idx="10">
                  <c:v>0.13666382999999999</c:v>
                </c:pt>
                <c:pt idx="11">
                  <c:v>0.13884236999999999</c:v>
                </c:pt>
                <c:pt idx="12">
                  <c:v>0.12849431</c:v>
                </c:pt>
                <c:pt idx="13">
                  <c:v>0.12996694</c:v>
                </c:pt>
                <c:pt idx="14">
                  <c:v>0.130583</c:v>
                </c:pt>
                <c:pt idx="15">
                  <c:v>0.12961352000000001</c:v>
                </c:pt>
                <c:pt idx="16">
                  <c:v>0.12184526</c:v>
                </c:pt>
                <c:pt idx="17">
                  <c:v>0.12315624999999999</c:v>
                </c:pt>
                <c:pt idx="18">
                  <c:v>0.12315727999999999</c:v>
                </c:pt>
                <c:pt idx="19">
                  <c:v>0.12036380000000001</c:v>
                </c:pt>
              </c:numCache>
            </c:numRef>
          </c:val>
          <c:extLst>
            <c:ext xmlns:c16="http://schemas.microsoft.com/office/drawing/2014/chart" uri="{C3380CC4-5D6E-409C-BE32-E72D297353CC}">
              <c16:uniqueId val="{00000000-8CF0-41B4-A465-B4AED0CF6468}"/>
            </c:ext>
          </c:extLst>
        </c:ser>
        <c:ser>
          <c:idx val="3"/>
          <c:order val="2"/>
          <c:tx>
            <c:strRef>
              <c:f>'F4.1'!$G$57</c:f>
              <c:strCache>
                <c:ptCount val="1"/>
                <c:pt idx="0">
                  <c:v>min95</c:v>
                </c:pt>
              </c:strCache>
            </c:strRef>
          </c:tx>
          <c:spPr>
            <a:solidFill>
              <a:schemeClr val="bg1"/>
            </a:solidFill>
            <a:ln>
              <a:solidFill>
                <a:schemeClr val="bg1"/>
              </a:solidFill>
            </a:ln>
          </c:spPr>
          <c:cat>
            <c:numRef>
              <c:f>'F4.1'!$D$58:$D$77</c:f>
              <c:numCache>
                <c:formatCode>General</c:formatCode>
                <c:ptCount val="2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numCache>
            </c:numRef>
          </c:cat>
          <c:val>
            <c:numRef>
              <c:f>'F4.1'!$G$58:$G$77</c:f>
              <c:numCache>
                <c:formatCode>General</c:formatCode>
                <c:ptCount val="20"/>
                <c:pt idx="0">
                  <c:v>0.10903813</c:v>
                </c:pt>
                <c:pt idx="1">
                  <c:v>0.12295148</c:v>
                </c:pt>
                <c:pt idx="2">
                  <c:v>0.12183796</c:v>
                </c:pt>
                <c:pt idx="3">
                  <c:v>0.12225139</c:v>
                </c:pt>
                <c:pt idx="4">
                  <c:v>0.12315106000000001</c:v>
                </c:pt>
                <c:pt idx="5">
                  <c:v>0.12007178</c:v>
                </c:pt>
                <c:pt idx="6">
                  <c:v>0.12384837999999999</c:v>
                </c:pt>
                <c:pt idx="7">
                  <c:v>0.13192587</c:v>
                </c:pt>
                <c:pt idx="8">
                  <c:v>0.12629715999999999</c:v>
                </c:pt>
                <c:pt idx="9">
                  <c:v>0.13147806000000001</c:v>
                </c:pt>
                <c:pt idx="10">
                  <c:v>0.12972492999999999</c:v>
                </c:pt>
                <c:pt idx="11">
                  <c:v>0.13170392</c:v>
                </c:pt>
                <c:pt idx="12">
                  <c:v>0.12213894</c:v>
                </c:pt>
                <c:pt idx="13">
                  <c:v>0.12300603</c:v>
                </c:pt>
                <c:pt idx="14">
                  <c:v>0.12388873</c:v>
                </c:pt>
                <c:pt idx="15">
                  <c:v>0.12269281999999999</c:v>
                </c:pt>
                <c:pt idx="16">
                  <c:v>0.11494093</c:v>
                </c:pt>
                <c:pt idx="17">
                  <c:v>0.11657974</c:v>
                </c:pt>
                <c:pt idx="18">
                  <c:v>0.11623334</c:v>
                </c:pt>
                <c:pt idx="19">
                  <c:v>0.11335041</c:v>
                </c:pt>
              </c:numCache>
            </c:numRef>
          </c:val>
          <c:extLst>
            <c:ext xmlns:c16="http://schemas.microsoft.com/office/drawing/2014/chart" uri="{C3380CC4-5D6E-409C-BE32-E72D297353CC}">
              <c16:uniqueId val="{00000001-8CF0-41B4-A465-B4AED0CF6468}"/>
            </c:ext>
          </c:extLst>
        </c:ser>
        <c:dLbls>
          <c:showLegendKey val="0"/>
          <c:showVal val="0"/>
          <c:showCatName val="0"/>
          <c:showSerName val="0"/>
          <c:showPercent val="0"/>
          <c:showBubbleSize val="0"/>
        </c:dLbls>
        <c:axId val="255797504"/>
        <c:axId val="255807488"/>
      </c:areaChart>
      <c:lineChart>
        <c:grouping val="standard"/>
        <c:varyColors val="0"/>
        <c:ser>
          <c:idx val="2"/>
          <c:order val="1"/>
          <c:tx>
            <c:strRef>
              <c:f>'F4.1'!$F$57</c:f>
              <c:strCache>
                <c:ptCount val="1"/>
                <c:pt idx="0">
                  <c:v>estimate</c:v>
                </c:pt>
              </c:strCache>
            </c:strRef>
          </c:tx>
          <c:spPr>
            <a:ln w="15875">
              <a:solidFill>
                <a:schemeClr val="tx2"/>
              </a:solidFill>
            </a:ln>
          </c:spPr>
          <c:marker>
            <c:symbol val="none"/>
          </c:marker>
          <c:cat>
            <c:numRef>
              <c:f>'F4.1'!$D$58:$D$77</c:f>
              <c:numCache>
                <c:formatCode>General</c:formatCode>
                <c:ptCount val="2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numCache>
            </c:numRef>
          </c:cat>
          <c:val>
            <c:numRef>
              <c:f>'F4.1'!$F$58:$F$77</c:f>
              <c:numCache>
                <c:formatCode>General</c:formatCode>
                <c:ptCount val="20"/>
                <c:pt idx="0">
                  <c:v>0.11215242</c:v>
                </c:pt>
                <c:pt idx="1">
                  <c:v>0.12631116000000001</c:v>
                </c:pt>
                <c:pt idx="2">
                  <c:v>0.12514232</c:v>
                </c:pt>
                <c:pt idx="3">
                  <c:v>0.12568509</c:v>
                </c:pt>
                <c:pt idx="4">
                  <c:v>0.12636538</c:v>
                </c:pt>
                <c:pt idx="5">
                  <c:v>0.12340009</c:v>
                </c:pt>
                <c:pt idx="6">
                  <c:v>0.12702843</c:v>
                </c:pt>
                <c:pt idx="7">
                  <c:v>0.13518231</c:v>
                </c:pt>
                <c:pt idx="8">
                  <c:v>0.12945153000000001</c:v>
                </c:pt>
                <c:pt idx="9">
                  <c:v>0.13482324000000001</c:v>
                </c:pt>
                <c:pt idx="10">
                  <c:v>0.13319438</c:v>
                </c:pt>
                <c:pt idx="11">
                  <c:v>0.13527313999999999</c:v>
                </c:pt>
                <c:pt idx="12">
                  <c:v>0.12531661999999999</c:v>
                </c:pt>
                <c:pt idx="13">
                  <c:v>0.12648648000000001</c:v>
                </c:pt>
                <c:pt idx="14">
                  <c:v>0.12723587</c:v>
                </c:pt>
                <c:pt idx="15">
                  <c:v>0.12615317000000001</c:v>
                </c:pt>
                <c:pt idx="16">
                  <c:v>0.11839309000000001</c:v>
                </c:pt>
                <c:pt idx="17">
                  <c:v>0.119868</c:v>
                </c:pt>
                <c:pt idx="18">
                  <c:v>0.11969531</c:v>
                </c:pt>
                <c:pt idx="19">
                  <c:v>0.11685710000000001</c:v>
                </c:pt>
              </c:numCache>
            </c:numRef>
          </c:val>
          <c:smooth val="0"/>
          <c:extLst>
            <c:ext xmlns:c16="http://schemas.microsoft.com/office/drawing/2014/chart" uri="{C3380CC4-5D6E-409C-BE32-E72D297353CC}">
              <c16:uniqueId val="{00000002-8CF0-41B4-A465-B4AED0CF6468}"/>
            </c:ext>
          </c:extLst>
        </c:ser>
        <c:dLbls>
          <c:showLegendKey val="0"/>
          <c:showVal val="0"/>
          <c:showCatName val="0"/>
          <c:showSerName val="0"/>
          <c:showPercent val="0"/>
          <c:showBubbleSize val="0"/>
        </c:dLbls>
        <c:marker val="1"/>
        <c:smooth val="0"/>
        <c:axId val="255797504"/>
        <c:axId val="255807488"/>
      </c:lineChart>
      <c:catAx>
        <c:axId val="255797504"/>
        <c:scaling>
          <c:orientation val="minMax"/>
        </c:scaling>
        <c:delete val="0"/>
        <c:axPos val="b"/>
        <c:numFmt formatCode="General" sourceLinked="1"/>
        <c:majorTickMark val="out"/>
        <c:minorTickMark val="none"/>
        <c:tickLblPos val="nextTo"/>
        <c:txPr>
          <a:bodyPr/>
          <a:lstStyle/>
          <a:p>
            <a:pPr>
              <a:defRPr sz="1100">
                <a:latin typeface="Times New Roman" panose="02020603050405020304" pitchFamily="18" charset="0"/>
                <a:cs typeface="Times New Roman" panose="02020603050405020304" pitchFamily="18" charset="0"/>
              </a:defRPr>
            </a:pPr>
            <a:endParaRPr lang="en-US"/>
          </a:p>
        </c:txPr>
        <c:crossAx val="255807488"/>
        <c:crosses val="autoZero"/>
        <c:auto val="1"/>
        <c:lblAlgn val="ctr"/>
        <c:lblOffset val="100"/>
        <c:noMultiLvlLbl val="0"/>
      </c:catAx>
      <c:valAx>
        <c:axId val="255807488"/>
        <c:scaling>
          <c:orientation val="minMax"/>
          <c:max val="0.16000000000000003"/>
          <c:min val="0"/>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Premium (%)</a:t>
                </a:r>
              </a:p>
            </c:rich>
          </c:tx>
          <c:overlay val="0"/>
        </c:title>
        <c:numFmt formatCode="General" sourceLinked="1"/>
        <c:majorTickMark val="out"/>
        <c:minorTickMark val="none"/>
        <c:tickLblPos val="nextTo"/>
        <c:txPr>
          <a:bodyPr/>
          <a:lstStyle/>
          <a:p>
            <a:pPr>
              <a:defRPr sz="1100">
                <a:latin typeface="Times New Roman" panose="02020603050405020304" pitchFamily="18" charset="0"/>
                <a:cs typeface="Times New Roman" panose="02020603050405020304" pitchFamily="18" charset="0"/>
              </a:defRPr>
            </a:pPr>
            <a:endParaRPr lang="en-US"/>
          </a:p>
        </c:txPr>
        <c:crossAx val="255797504"/>
        <c:crosses val="autoZero"/>
        <c:crossBetween val="between"/>
        <c:majorUnit val="2.0000000000000004E-2"/>
      </c:valAx>
    </c:plotArea>
    <c:plotVisOnly val="1"/>
    <c:dispBlanksAs val="zero"/>
    <c:showDLblsOverMax val="0"/>
  </c:chart>
  <c:spPr>
    <a:ln>
      <a:noFill/>
    </a:ln>
  </c:spPr>
  <c:printSettings>
    <c:headerFooter/>
    <c:pageMargins b="0.75" l="0.7" r="0.7" t="0.75" header="0.3" footer="0.3"/>
    <c:pageSetup/>
  </c:printSettings>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19.xml"/></Relationships>
</file>

<file path=xl/chartsheets/sheet1.xml><?xml version="1.0" encoding="utf-8"?>
<chartsheet xmlns="http://schemas.openxmlformats.org/spreadsheetml/2006/main" xmlns:r="http://schemas.openxmlformats.org/officeDocument/2006/relationships">
  <sheetPr/>
  <sheetViews>
    <sheetView zoomScale="6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chart" Target="../charts/chart39.xml"/><Relationship Id="rId4" Type="http://schemas.openxmlformats.org/officeDocument/2006/relationships/chart" Target="../charts/chart38.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chart" Target="../charts/chart40.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chart" Target="../charts/chart47.xml"/><Relationship Id="rId4" Type="http://schemas.openxmlformats.org/officeDocument/2006/relationships/chart" Target="../charts/chart46.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chart" Target="../charts/chart48.xml"/><Relationship Id="rId6" Type="http://schemas.openxmlformats.org/officeDocument/2006/relationships/chart" Target="../charts/chart53.xml"/><Relationship Id="rId5" Type="http://schemas.openxmlformats.org/officeDocument/2006/relationships/chart" Target="../charts/chart52.xml"/><Relationship Id="rId4" Type="http://schemas.openxmlformats.org/officeDocument/2006/relationships/chart" Target="../charts/chart5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609600</xdr:colOff>
      <xdr:row>10</xdr:row>
      <xdr:rowOff>114300</xdr:rowOff>
    </xdr:to>
    <xdr:pic>
      <xdr:nvPicPr>
        <xdr:cNvPr id="2" name="Picture 1" descr="Attribution | Noncommercial | No Derivative Works 3.0 Unported">
          <a:extLst>
            <a:ext uri="{FF2B5EF4-FFF2-40B4-BE49-F238E27FC236}">
              <a16:creationId xmlns:a16="http://schemas.microsoft.com/office/drawing/2014/main" id="{C1770ECB-C4D6-42FC-A2C0-C459700C52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0" y="7766050"/>
          <a:ext cx="609600" cy="29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xdr:row>
      <xdr:rowOff>0</xdr:rowOff>
    </xdr:from>
    <xdr:to>
      <xdr:col>2</xdr:col>
      <xdr:colOff>609600</xdr:colOff>
      <xdr:row>10</xdr:row>
      <xdr:rowOff>114300</xdr:rowOff>
    </xdr:to>
    <xdr:pic>
      <xdr:nvPicPr>
        <xdr:cNvPr id="3" name="Picture 2" descr="Attribution | Noncommercial | No Derivative Works 3.0 Unported">
          <a:extLst>
            <a:ext uri="{FF2B5EF4-FFF2-40B4-BE49-F238E27FC236}">
              <a16:creationId xmlns:a16="http://schemas.microsoft.com/office/drawing/2014/main" id="{F5FDD347-A6C3-4DB3-B379-985C61E381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0" y="7766050"/>
          <a:ext cx="609600" cy="29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3</xdr:row>
      <xdr:rowOff>52387</xdr:rowOff>
    </xdr:from>
    <xdr:to>
      <xdr:col>9</xdr:col>
      <xdr:colOff>600076</xdr:colOff>
      <xdr:row>19</xdr:row>
      <xdr:rowOff>180975</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247649</xdr:colOff>
      <xdr:row>20</xdr:row>
      <xdr:rowOff>0</xdr:rowOff>
    </xdr:from>
    <xdr:to>
      <xdr:col>19</xdr:col>
      <xdr:colOff>9524</xdr:colOff>
      <xdr:row>36</xdr:row>
      <xdr:rowOff>128588</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3</xdr:row>
      <xdr:rowOff>63500</xdr:rowOff>
    </xdr:from>
    <xdr:to>
      <xdr:col>18</xdr:col>
      <xdr:colOff>600076</xdr:colOff>
      <xdr:row>20</xdr:row>
      <xdr:rowOff>1588</xdr:rowOff>
    </xdr:to>
    <xdr:graphicFrame macro="">
      <xdr:nvGraphicFramePr>
        <xdr:cNvPr id="4" name="Chart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238124</xdr:colOff>
      <xdr:row>3</xdr:row>
      <xdr:rowOff>4762</xdr:rowOff>
    </xdr:from>
    <xdr:to>
      <xdr:col>13</xdr:col>
      <xdr:colOff>590549</xdr:colOff>
      <xdr:row>31</xdr:row>
      <xdr:rowOff>152400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0.27334</cdr:x>
      <cdr:y>0.05184</cdr:y>
    </cdr:from>
    <cdr:to>
      <cdr:x>0.31186</cdr:x>
      <cdr:y>0.07258</cdr:y>
    </cdr:to>
    <cdr:sp macro="" textlink="">
      <cdr:nvSpPr>
        <cdr:cNvPr id="2" name="TextBox 1"/>
        <cdr:cNvSpPr txBox="1"/>
      </cdr:nvSpPr>
      <cdr:spPr>
        <a:xfrm xmlns:a="http://schemas.openxmlformats.org/drawingml/2006/main">
          <a:off x="2369038" y="325641"/>
          <a:ext cx="333783" cy="1302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13.xml><?xml version="1.0" encoding="utf-8"?>
<xdr:wsDr xmlns:xdr="http://schemas.openxmlformats.org/drawingml/2006/spreadsheetDrawing" xmlns:a="http://schemas.openxmlformats.org/drawingml/2006/main">
  <xdr:twoCellAnchor>
    <xdr:from>
      <xdr:col>1</xdr:col>
      <xdr:colOff>0</xdr:colOff>
      <xdr:row>3</xdr:row>
      <xdr:rowOff>0</xdr:rowOff>
    </xdr:from>
    <xdr:to>
      <xdr:col>13</xdr:col>
      <xdr:colOff>581025</xdr:colOff>
      <xdr:row>30</xdr:row>
      <xdr:rowOff>152400</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19049</xdr:colOff>
      <xdr:row>3</xdr:row>
      <xdr:rowOff>0</xdr:rowOff>
    </xdr:from>
    <xdr:to>
      <xdr:col>22</xdr:col>
      <xdr:colOff>447675</xdr:colOff>
      <xdr:row>27</xdr:row>
      <xdr:rowOff>161925</xdr:rowOff>
    </xdr:to>
    <xdr:grpSp>
      <xdr:nvGrpSpPr>
        <xdr:cNvPr id="2" name="Group 1">
          <a:extLst>
            <a:ext uri="{FF2B5EF4-FFF2-40B4-BE49-F238E27FC236}">
              <a16:creationId xmlns:a16="http://schemas.microsoft.com/office/drawing/2014/main" id="{00000000-0008-0000-1000-000002000000}"/>
            </a:ext>
          </a:extLst>
        </xdr:cNvPr>
        <xdr:cNvGrpSpPr/>
      </xdr:nvGrpSpPr>
      <xdr:grpSpPr>
        <a:xfrm>
          <a:off x="400049" y="587375"/>
          <a:ext cx="13430251" cy="4543425"/>
          <a:chOff x="614362" y="619125"/>
          <a:chExt cx="12930188" cy="4733925"/>
        </a:xfrm>
      </xdr:grpSpPr>
      <xdr:graphicFrame macro="">
        <xdr:nvGraphicFramePr>
          <xdr:cNvPr id="3" name="Chart 2">
            <a:extLst>
              <a:ext uri="{FF2B5EF4-FFF2-40B4-BE49-F238E27FC236}">
                <a16:creationId xmlns:a16="http://schemas.microsoft.com/office/drawing/2014/main" id="{00000000-0008-0000-1000-000003000000}"/>
              </a:ext>
            </a:extLst>
          </xdr:cNvPr>
          <xdr:cNvGraphicFramePr/>
        </xdr:nvGraphicFramePr>
        <xdr:xfrm>
          <a:off x="614362" y="633412"/>
          <a:ext cx="6400800" cy="47196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a:extLst>
              <a:ext uri="{FF2B5EF4-FFF2-40B4-BE49-F238E27FC236}">
                <a16:creationId xmlns:a16="http://schemas.microsoft.com/office/drawing/2014/main" id="{00000000-0008-0000-1000-000004000000}"/>
              </a:ext>
            </a:extLst>
          </xdr:cNvPr>
          <xdr:cNvGraphicFramePr>
            <a:graphicFrameLocks/>
          </xdr:cNvGraphicFramePr>
        </xdr:nvGraphicFramePr>
        <xdr:xfrm>
          <a:off x="7143750" y="619125"/>
          <a:ext cx="6400800" cy="4719638"/>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5.xml><?xml version="1.0" encoding="utf-8"?>
<xdr:wsDr xmlns:xdr="http://schemas.openxmlformats.org/drawingml/2006/spreadsheetDrawing" xmlns:a="http://schemas.openxmlformats.org/drawingml/2006/main">
  <xdr:absoluteAnchor>
    <xdr:pos x="0" y="0"/>
    <xdr:ext cx="8668712" cy="6292273"/>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0.59931</cdr:x>
      <cdr:y>0.13098</cdr:y>
    </cdr:from>
    <cdr:to>
      <cdr:x>0.66879</cdr:x>
      <cdr:y>0.18919</cdr:y>
    </cdr:to>
    <cdr:sp macro="" textlink="">
      <cdr:nvSpPr>
        <cdr:cNvPr id="2" name="TextBox 1">
          <a:extLst xmlns:a="http://schemas.openxmlformats.org/drawingml/2006/main">
            <a:ext uri="{FF2B5EF4-FFF2-40B4-BE49-F238E27FC236}">
              <a16:creationId xmlns:a16="http://schemas.microsoft.com/office/drawing/2014/main" id="{BAB71D44-6ADB-42D7-AD67-4B1AEF47F4F1}"/>
            </a:ext>
          </a:extLst>
        </cdr:cNvPr>
        <cdr:cNvSpPr txBox="1"/>
      </cdr:nvSpPr>
      <cdr:spPr>
        <a:xfrm xmlns:a="http://schemas.openxmlformats.org/drawingml/2006/main">
          <a:off x="5191254" y="824237"/>
          <a:ext cx="601839" cy="3663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50">
              <a:latin typeface="Times New Roman" panose="02020603050405020304" pitchFamily="18" charset="0"/>
              <a:cs typeface="Times New Roman" panose="02020603050405020304" pitchFamily="18" charset="0"/>
            </a:rPr>
            <a:t>Mexico</a:t>
          </a:r>
        </a:p>
      </cdr:txBody>
    </cdr:sp>
  </cdr:relSizeAnchor>
  <cdr:relSizeAnchor xmlns:cdr="http://schemas.openxmlformats.org/drawingml/2006/chartDrawing">
    <cdr:from>
      <cdr:x>0.86783</cdr:x>
      <cdr:y>0.56693</cdr:y>
    </cdr:from>
    <cdr:to>
      <cdr:x>0.93732</cdr:x>
      <cdr:y>0.62514</cdr:y>
    </cdr:to>
    <cdr:sp macro="" textlink="">
      <cdr:nvSpPr>
        <cdr:cNvPr id="3" name="TextBox 1">
          <a:extLst xmlns:a="http://schemas.openxmlformats.org/drawingml/2006/main">
            <a:ext uri="{FF2B5EF4-FFF2-40B4-BE49-F238E27FC236}">
              <a16:creationId xmlns:a16="http://schemas.microsoft.com/office/drawing/2014/main" id="{99D57D6F-E1E3-4686-AE53-2D500481E8B4}"/>
            </a:ext>
          </a:extLst>
        </cdr:cNvPr>
        <cdr:cNvSpPr txBox="1"/>
      </cdr:nvSpPr>
      <cdr:spPr>
        <a:xfrm xmlns:a="http://schemas.openxmlformats.org/drawingml/2006/main">
          <a:off x="7517185" y="3567712"/>
          <a:ext cx="601926" cy="3663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50">
              <a:latin typeface="Times New Roman" panose="02020603050405020304" pitchFamily="18" charset="0"/>
              <a:cs typeface="Times New Roman" panose="02020603050405020304" pitchFamily="18" charset="0"/>
            </a:rPr>
            <a:t>Brazil</a:t>
          </a:r>
        </a:p>
      </cdr:txBody>
    </cdr:sp>
  </cdr:relSizeAnchor>
  <cdr:relSizeAnchor xmlns:cdr="http://schemas.openxmlformats.org/drawingml/2006/chartDrawing">
    <cdr:from>
      <cdr:x>0.26692</cdr:x>
      <cdr:y>0.82826</cdr:y>
    </cdr:from>
    <cdr:to>
      <cdr:x>0.36623</cdr:x>
      <cdr:y>0.88647</cdr:y>
    </cdr:to>
    <cdr:sp macro="" textlink="">
      <cdr:nvSpPr>
        <cdr:cNvPr id="4" name="TextBox 1">
          <a:extLst xmlns:a="http://schemas.openxmlformats.org/drawingml/2006/main">
            <a:ext uri="{FF2B5EF4-FFF2-40B4-BE49-F238E27FC236}">
              <a16:creationId xmlns:a16="http://schemas.microsoft.com/office/drawing/2014/main" id="{EFAA068E-D562-4334-95A4-41346C40624F}"/>
            </a:ext>
          </a:extLst>
        </cdr:cNvPr>
        <cdr:cNvSpPr txBox="1"/>
      </cdr:nvSpPr>
      <cdr:spPr>
        <a:xfrm xmlns:a="http://schemas.openxmlformats.org/drawingml/2006/main">
          <a:off x="2312076" y="5212238"/>
          <a:ext cx="860228" cy="3663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50">
              <a:latin typeface="Times New Roman" panose="02020603050405020304" pitchFamily="18" charset="0"/>
              <a:cs typeface="Times New Roman" panose="02020603050405020304" pitchFamily="18" charset="0"/>
            </a:rPr>
            <a:t>Argentina</a:t>
          </a:r>
        </a:p>
      </cdr:txBody>
    </cdr:sp>
  </cdr:relSizeAnchor>
  <cdr:relSizeAnchor xmlns:cdr="http://schemas.openxmlformats.org/drawingml/2006/chartDrawing">
    <cdr:from>
      <cdr:x>0.18242</cdr:x>
      <cdr:y>0.84507</cdr:y>
    </cdr:from>
    <cdr:to>
      <cdr:x>0.28173</cdr:x>
      <cdr:y>0.90329</cdr:y>
    </cdr:to>
    <cdr:sp macro="" textlink="">
      <cdr:nvSpPr>
        <cdr:cNvPr id="5" name="TextBox 1">
          <a:extLst xmlns:a="http://schemas.openxmlformats.org/drawingml/2006/main">
            <a:ext uri="{FF2B5EF4-FFF2-40B4-BE49-F238E27FC236}">
              <a16:creationId xmlns:a16="http://schemas.microsoft.com/office/drawing/2014/main" id="{EA7E7D59-8305-4F4F-83EB-B7CC787AB42E}"/>
            </a:ext>
          </a:extLst>
        </cdr:cNvPr>
        <cdr:cNvSpPr txBox="1"/>
      </cdr:nvSpPr>
      <cdr:spPr>
        <a:xfrm xmlns:a="http://schemas.openxmlformats.org/drawingml/2006/main">
          <a:off x="1580135" y="5318013"/>
          <a:ext cx="860229" cy="3663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50">
              <a:latin typeface="Times New Roman" panose="02020603050405020304" pitchFamily="18" charset="0"/>
              <a:cs typeface="Times New Roman" panose="02020603050405020304" pitchFamily="18" charset="0"/>
            </a:rPr>
            <a:t>Venezuela</a:t>
          </a:r>
        </a:p>
      </cdr:txBody>
    </cdr:sp>
  </cdr:relSizeAnchor>
  <cdr:relSizeAnchor xmlns:cdr="http://schemas.openxmlformats.org/drawingml/2006/chartDrawing">
    <cdr:from>
      <cdr:x>0.16364</cdr:x>
      <cdr:y>0.4518</cdr:y>
    </cdr:from>
    <cdr:to>
      <cdr:x>0.22351</cdr:x>
      <cdr:y>0.51001</cdr:y>
    </cdr:to>
    <cdr:sp macro="" textlink="">
      <cdr:nvSpPr>
        <cdr:cNvPr id="6" name="TextBox 1">
          <a:extLst xmlns:a="http://schemas.openxmlformats.org/drawingml/2006/main">
            <a:ext uri="{FF2B5EF4-FFF2-40B4-BE49-F238E27FC236}">
              <a16:creationId xmlns:a16="http://schemas.microsoft.com/office/drawing/2014/main" id="{8A8CBBEE-4926-4193-8BA6-B06E7829A85B}"/>
            </a:ext>
          </a:extLst>
        </cdr:cNvPr>
        <cdr:cNvSpPr txBox="1"/>
      </cdr:nvSpPr>
      <cdr:spPr>
        <a:xfrm xmlns:a="http://schemas.openxmlformats.org/drawingml/2006/main">
          <a:off x="1417457" y="2843170"/>
          <a:ext cx="518597" cy="3663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50">
              <a:latin typeface="Times New Roman" panose="02020603050405020304" pitchFamily="18" charset="0"/>
              <a:cs typeface="Times New Roman" panose="02020603050405020304" pitchFamily="18" charset="0"/>
            </a:rPr>
            <a:t>Chile</a:t>
          </a:r>
        </a:p>
      </cdr:txBody>
    </cdr:sp>
  </cdr:relSizeAnchor>
  <cdr:relSizeAnchor xmlns:cdr="http://schemas.openxmlformats.org/drawingml/2006/chartDrawing">
    <cdr:from>
      <cdr:x>0.21058</cdr:x>
      <cdr:y>0.56952</cdr:y>
    </cdr:from>
    <cdr:to>
      <cdr:x>0.30989</cdr:x>
      <cdr:y>0.62773</cdr:y>
    </cdr:to>
    <cdr:sp macro="" textlink="">
      <cdr:nvSpPr>
        <cdr:cNvPr id="7" name="TextBox 1">
          <a:extLst xmlns:a="http://schemas.openxmlformats.org/drawingml/2006/main">
            <a:ext uri="{FF2B5EF4-FFF2-40B4-BE49-F238E27FC236}">
              <a16:creationId xmlns:a16="http://schemas.microsoft.com/office/drawing/2014/main" id="{52C566DB-1C1A-4F80-A9BA-5BA761036758}"/>
            </a:ext>
          </a:extLst>
        </cdr:cNvPr>
        <cdr:cNvSpPr txBox="1"/>
      </cdr:nvSpPr>
      <cdr:spPr>
        <a:xfrm xmlns:a="http://schemas.openxmlformats.org/drawingml/2006/main">
          <a:off x="1824061" y="3583988"/>
          <a:ext cx="860229" cy="3663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50">
              <a:latin typeface="Times New Roman" panose="02020603050405020304" pitchFamily="18" charset="0"/>
              <a:cs typeface="Times New Roman" panose="02020603050405020304" pitchFamily="18" charset="0"/>
            </a:rPr>
            <a:t>Colombia</a:t>
          </a:r>
        </a:p>
      </cdr:txBody>
    </cdr:sp>
  </cdr:relSizeAnchor>
  <cdr:relSizeAnchor xmlns:cdr="http://schemas.openxmlformats.org/drawingml/2006/chartDrawing">
    <cdr:from>
      <cdr:x>0.15989</cdr:x>
      <cdr:y>0.55141</cdr:y>
    </cdr:from>
    <cdr:to>
      <cdr:x>0.21523</cdr:x>
      <cdr:y>0.60962</cdr:y>
    </cdr:to>
    <cdr:sp macro="" textlink="">
      <cdr:nvSpPr>
        <cdr:cNvPr id="8" name="TextBox 1">
          <a:extLst xmlns:a="http://schemas.openxmlformats.org/drawingml/2006/main">
            <a:ext uri="{FF2B5EF4-FFF2-40B4-BE49-F238E27FC236}">
              <a16:creationId xmlns:a16="http://schemas.microsoft.com/office/drawing/2014/main" id="{E5FDF2A4-08AA-40FE-8F87-A0CD611FCA28}"/>
            </a:ext>
          </a:extLst>
        </cdr:cNvPr>
        <cdr:cNvSpPr txBox="1"/>
      </cdr:nvSpPr>
      <cdr:spPr>
        <a:xfrm xmlns:a="http://schemas.openxmlformats.org/drawingml/2006/main">
          <a:off x="1384978" y="3470029"/>
          <a:ext cx="479358" cy="3663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50">
              <a:latin typeface="Times New Roman" panose="02020603050405020304" pitchFamily="18" charset="0"/>
              <a:cs typeface="Times New Roman" panose="02020603050405020304" pitchFamily="18" charset="0"/>
            </a:rPr>
            <a:t>Peru</a:t>
          </a:r>
        </a:p>
      </cdr:txBody>
    </cdr:sp>
  </cdr:relSizeAnchor>
  <cdr:relSizeAnchor xmlns:cdr="http://schemas.openxmlformats.org/drawingml/2006/chartDrawing">
    <cdr:from>
      <cdr:x>0.12984</cdr:x>
      <cdr:y>0.77521</cdr:y>
    </cdr:from>
    <cdr:to>
      <cdr:x>0.22915</cdr:x>
      <cdr:y>0.83343</cdr:y>
    </cdr:to>
    <cdr:sp macro="" textlink="">
      <cdr:nvSpPr>
        <cdr:cNvPr id="9" name="TextBox 1">
          <a:extLst xmlns:a="http://schemas.openxmlformats.org/drawingml/2006/main">
            <a:ext uri="{FF2B5EF4-FFF2-40B4-BE49-F238E27FC236}">
              <a16:creationId xmlns:a16="http://schemas.microsoft.com/office/drawing/2014/main" id="{74D0EFE4-486E-4B58-8E15-865529EA19C5}"/>
            </a:ext>
          </a:extLst>
        </cdr:cNvPr>
        <cdr:cNvSpPr txBox="1"/>
      </cdr:nvSpPr>
      <cdr:spPr>
        <a:xfrm xmlns:a="http://schemas.openxmlformats.org/drawingml/2006/main">
          <a:off x="1124689" y="4878394"/>
          <a:ext cx="860228" cy="3663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50">
              <a:latin typeface="Times New Roman" panose="02020603050405020304" pitchFamily="18" charset="0"/>
              <a:cs typeface="Times New Roman" panose="02020603050405020304" pitchFamily="18" charset="0"/>
            </a:rPr>
            <a:t>Ecuador</a:t>
          </a:r>
        </a:p>
      </cdr:txBody>
    </cdr:sp>
  </cdr:relSizeAnchor>
  <cdr:relSizeAnchor xmlns:cdr="http://schemas.openxmlformats.org/drawingml/2006/chartDrawing">
    <cdr:from>
      <cdr:x>0.08102</cdr:x>
      <cdr:y>0.68466</cdr:y>
    </cdr:from>
    <cdr:to>
      <cdr:x>0.18032</cdr:x>
      <cdr:y>0.74287</cdr:y>
    </cdr:to>
    <cdr:sp macro="" textlink="">
      <cdr:nvSpPr>
        <cdr:cNvPr id="10" name="TextBox 1">
          <a:extLst xmlns:a="http://schemas.openxmlformats.org/drawingml/2006/main">
            <a:ext uri="{FF2B5EF4-FFF2-40B4-BE49-F238E27FC236}">
              <a16:creationId xmlns:a16="http://schemas.microsoft.com/office/drawing/2014/main" id="{F2988AD5-25D4-43E1-83C1-1839BD237217}"/>
            </a:ext>
          </a:extLst>
        </cdr:cNvPr>
        <cdr:cNvSpPr txBox="1"/>
      </cdr:nvSpPr>
      <cdr:spPr>
        <a:xfrm xmlns:a="http://schemas.openxmlformats.org/drawingml/2006/main">
          <a:off x="701805" y="4308602"/>
          <a:ext cx="860141" cy="3663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50">
              <a:latin typeface="Times New Roman" panose="02020603050405020304" pitchFamily="18" charset="0"/>
              <a:cs typeface="Times New Roman" panose="02020603050405020304" pitchFamily="18" charset="0"/>
            </a:rPr>
            <a:t>Dominican</a:t>
          </a:r>
        </a:p>
        <a:p xmlns:a="http://schemas.openxmlformats.org/drawingml/2006/main">
          <a:r>
            <a:rPr lang="en-US" sz="1050">
              <a:latin typeface="Times New Roman" panose="02020603050405020304" pitchFamily="18" charset="0"/>
              <a:cs typeface="Times New Roman" panose="02020603050405020304" pitchFamily="18" charset="0"/>
            </a:rPr>
            <a:t>Republic</a:t>
          </a:r>
        </a:p>
      </cdr:txBody>
    </cdr:sp>
  </cdr:relSizeAnchor>
  <cdr:relSizeAnchor xmlns:cdr="http://schemas.openxmlformats.org/drawingml/2006/chartDrawing">
    <cdr:from>
      <cdr:x>0.08102</cdr:x>
      <cdr:y>0.83085</cdr:y>
    </cdr:from>
    <cdr:to>
      <cdr:x>0.18033</cdr:x>
      <cdr:y>0.88906</cdr:y>
    </cdr:to>
    <cdr:sp macro="" textlink="">
      <cdr:nvSpPr>
        <cdr:cNvPr id="11" name="TextBox 1">
          <a:extLst xmlns:a="http://schemas.openxmlformats.org/drawingml/2006/main">
            <a:ext uri="{FF2B5EF4-FFF2-40B4-BE49-F238E27FC236}">
              <a16:creationId xmlns:a16="http://schemas.microsoft.com/office/drawing/2014/main" id="{235096E3-80C8-409C-A67E-5528AA404144}"/>
            </a:ext>
          </a:extLst>
        </cdr:cNvPr>
        <cdr:cNvSpPr txBox="1"/>
      </cdr:nvSpPr>
      <cdr:spPr>
        <a:xfrm xmlns:a="http://schemas.openxmlformats.org/drawingml/2006/main">
          <a:off x="701793" y="5228556"/>
          <a:ext cx="860228" cy="3663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50">
              <a:latin typeface="Times New Roman" panose="02020603050405020304" pitchFamily="18" charset="0"/>
              <a:cs typeface="Times New Roman" panose="02020603050405020304" pitchFamily="18" charset="0"/>
            </a:rPr>
            <a:t>Guatemala</a:t>
          </a: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8663609" cy="6289261"/>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0.23387</cdr:x>
      <cdr:y>0.19609</cdr:y>
    </cdr:from>
    <cdr:to>
      <cdr:x>0.23387</cdr:x>
      <cdr:y>0.21796</cdr:y>
    </cdr:to>
    <cdr:cxnSp macro="">
      <cdr:nvCxnSpPr>
        <cdr:cNvPr id="3" name="Straight Connector 2">
          <a:extLst xmlns:a="http://schemas.openxmlformats.org/drawingml/2006/main">
            <a:ext uri="{FF2B5EF4-FFF2-40B4-BE49-F238E27FC236}">
              <a16:creationId xmlns:a16="http://schemas.microsoft.com/office/drawing/2014/main" id="{C1A3790C-AF00-4C0D-AF7E-90F6CA7DA2E7}"/>
            </a:ext>
          </a:extLst>
        </cdr:cNvPr>
        <cdr:cNvCxnSpPr/>
      </cdr:nvCxnSpPr>
      <cdr:spPr>
        <a:xfrm xmlns:a="http://schemas.openxmlformats.org/drawingml/2006/main">
          <a:off x="2026142" y="1232692"/>
          <a:ext cx="0" cy="137486"/>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0.28207</cdr:x>
      <cdr:y>0.19856</cdr:y>
    </cdr:from>
    <cdr:to>
      <cdr:x>0.28207</cdr:x>
      <cdr:y>0.22182</cdr:y>
    </cdr:to>
    <cdr:cxnSp macro="">
      <cdr:nvCxnSpPr>
        <cdr:cNvPr id="7" name="Straight Connector 6">
          <a:extLst xmlns:a="http://schemas.openxmlformats.org/drawingml/2006/main">
            <a:ext uri="{FF2B5EF4-FFF2-40B4-BE49-F238E27FC236}">
              <a16:creationId xmlns:a16="http://schemas.microsoft.com/office/drawing/2014/main" id="{6C7A1D83-0E3B-45A1-AFE3-D186A9114E6E}"/>
            </a:ext>
          </a:extLst>
        </cdr:cNvPr>
        <cdr:cNvCxnSpPr/>
      </cdr:nvCxnSpPr>
      <cdr:spPr>
        <a:xfrm xmlns:a="http://schemas.openxmlformats.org/drawingml/2006/main">
          <a:off x="2443762" y="1248250"/>
          <a:ext cx="0" cy="146224"/>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0.32945</cdr:x>
      <cdr:y>0.20026</cdr:y>
    </cdr:from>
    <cdr:to>
      <cdr:x>0.32945</cdr:x>
      <cdr:y>0.29907</cdr:y>
    </cdr:to>
    <cdr:cxnSp macro="">
      <cdr:nvCxnSpPr>
        <cdr:cNvPr id="10" name="Straight Connector 9">
          <a:extLst xmlns:a="http://schemas.openxmlformats.org/drawingml/2006/main">
            <a:ext uri="{FF2B5EF4-FFF2-40B4-BE49-F238E27FC236}">
              <a16:creationId xmlns:a16="http://schemas.microsoft.com/office/drawing/2014/main" id="{6C7A1D83-0E3B-45A1-AFE3-D186A9114E6E}"/>
            </a:ext>
          </a:extLst>
        </cdr:cNvPr>
        <cdr:cNvCxnSpPr/>
      </cdr:nvCxnSpPr>
      <cdr:spPr>
        <a:xfrm xmlns:a="http://schemas.openxmlformats.org/drawingml/2006/main">
          <a:off x="2854192" y="1258957"/>
          <a:ext cx="0" cy="621164"/>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0.37861</cdr:x>
      <cdr:y>0.20026</cdr:y>
    </cdr:from>
    <cdr:to>
      <cdr:x>0.37861</cdr:x>
      <cdr:y>0.30566</cdr:y>
    </cdr:to>
    <cdr:cxnSp macro="">
      <cdr:nvCxnSpPr>
        <cdr:cNvPr id="13" name="Straight Connector 12">
          <a:extLst xmlns:a="http://schemas.openxmlformats.org/drawingml/2006/main">
            <a:ext uri="{FF2B5EF4-FFF2-40B4-BE49-F238E27FC236}">
              <a16:creationId xmlns:a16="http://schemas.microsoft.com/office/drawing/2014/main" id="{1DE30281-EEA7-4AAF-9E9D-C17D94947459}"/>
            </a:ext>
          </a:extLst>
        </cdr:cNvPr>
        <cdr:cNvCxnSpPr/>
      </cdr:nvCxnSpPr>
      <cdr:spPr>
        <a:xfrm xmlns:a="http://schemas.openxmlformats.org/drawingml/2006/main">
          <a:off x="3280095" y="1258957"/>
          <a:ext cx="0" cy="662593"/>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0.42855</cdr:x>
      <cdr:y>0.19895</cdr:y>
    </cdr:from>
    <cdr:to>
      <cdr:x>0.42855</cdr:x>
      <cdr:y>0.32451</cdr:y>
    </cdr:to>
    <cdr:cxnSp macro="">
      <cdr:nvCxnSpPr>
        <cdr:cNvPr id="15" name="Straight Connector 14">
          <a:extLst xmlns:a="http://schemas.openxmlformats.org/drawingml/2006/main">
            <a:ext uri="{FF2B5EF4-FFF2-40B4-BE49-F238E27FC236}">
              <a16:creationId xmlns:a16="http://schemas.microsoft.com/office/drawing/2014/main" id="{1DE30281-EEA7-4AAF-9E9D-C17D94947459}"/>
            </a:ext>
          </a:extLst>
        </cdr:cNvPr>
        <cdr:cNvCxnSpPr/>
      </cdr:nvCxnSpPr>
      <cdr:spPr>
        <a:xfrm xmlns:a="http://schemas.openxmlformats.org/drawingml/2006/main">
          <a:off x="3712807" y="1250674"/>
          <a:ext cx="0" cy="789344"/>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0.47651</cdr:x>
      <cdr:y>0.20026</cdr:y>
    </cdr:from>
    <cdr:to>
      <cdr:x>0.47706</cdr:x>
      <cdr:y>0.32877</cdr:y>
    </cdr:to>
    <cdr:cxnSp macro="">
      <cdr:nvCxnSpPr>
        <cdr:cNvPr id="18" name="Straight Connector 17">
          <a:extLst xmlns:a="http://schemas.openxmlformats.org/drawingml/2006/main">
            <a:ext uri="{FF2B5EF4-FFF2-40B4-BE49-F238E27FC236}">
              <a16:creationId xmlns:a16="http://schemas.microsoft.com/office/drawing/2014/main" id="{1DE30281-EEA7-4AAF-9E9D-C17D94947459}"/>
            </a:ext>
          </a:extLst>
        </cdr:cNvPr>
        <cdr:cNvCxnSpPr/>
      </cdr:nvCxnSpPr>
      <cdr:spPr>
        <a:xfrm xmlns:a="http://schemas.openxmlformats.org/drawingml/2006/main" flipH="1">
          <a:off x="4128296" y="1258957"/>
          <a:ext cx="4726" cy="807856"/>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0.52469</cdr:x>
      <cdr:y>0.20026</cdr:y>
    </cdr:from>
    <cdr:to>
      <cdr:x>0.52581</cdr:x>
      <cdr:y>0.34256</cdr:y>
    </cdr:to>
    <cdr:cxnSp macro="">
      <cdr:nvCxnSpPr>
        <cdr:cNvPr id="21" name="Straight Connector 20">
          <a:extLst xmlns:a="http://schemas.openxmlformats.org/drawingml/2006/main">
            <a:ext uri="{FF2B5EF4-FFF2-40B4-BE49-F238E27FC236}">
              <a16:creationId xmlns:a16="http://schemas.microsoft.com/office/drawing/2014/main" id="{70CBDBD8-13D6-4A3D-B7D0-25BDD799A598}"/>
            </a:ext>
          </a:extLst>
        </cdr:cNvPr>
        <cdr:cNvCxnSpPr/>
      </cdr:nvCxnSpPr>
      <cdr:spPr>
        <a:xfrm xmlns:a="http://schemas.openxmlformats.org/drawingml/2006/main" flipH="1">
          <a:off x="4545691" y="1258957"/>
          <a:ext cx="9744" cy="894518"/>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0.57314</cdr:x>
      <cdr:y>0.20158</cdr:y>
    </cdr:from>
    <cdr:to>
      <cdr:x>0.57361</cdr:x>
      <cdr:y>0.33728</cdr:y>
    </cdr:to>
    <cdr:cxnSp macro="">
      <cdr:nvCxnSpPr>
        <cdr:cNvPr id="22" name="Straight Connector 21">
          <a:extLst xmlns:a="http://schemas.openxmlformats.org/drawingml/2006/main">
            <a:ext uri="{FF2B5EF4-FFF2-40B4-BE49-F238E27FC236}">
              <a16:creationId xmlns:a16="http://schemas.microsoft.com/office/drawing/2014/main" id="{62C0227E-FD8E-4748-874F-231145231C14}"/>
            </a:ext>
          </a:extLst>
        </cdr:cNvPr>
        <cdr:cNvCxnSpPr/>
      </cdr:nvCxnSpPr>
      <cdr:spPr>
        <a:xfrm xmlns:a="http://schemas.openxmlformats.org/drawingml/2006/main" flipH="1">
          <a:off x="4965496" y="1267239"/>
          <a:ext cx="4069" cy="853089"/>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0.62141</cdr:x>
      <cdr:y>0.20158</cdr:y>
    </cdr:from>
    <cdr:to>
      <cdr:x>0.62242</cdr:x>
      <cdr:y>0.3531</cdr:y>
    </cdr:to>
    <cdr:cxnSp macro="">
      <cdr:nvCxnSpPr>
        <cdr:cNvPr id="23" name="Straight Connector 22">
          <a:extLst xmlns:a="http://schemas.openxmlformats.org/drawingml/2006/main">
            <a:ext uri="{FF2B5EF4-FFF2-40B4-BE49-F238E27FC236}">
              <a16:creationId xmlns:a16="http://schemas.microsoft.com/office/drawing/2014/main" id="{D756D947-78D7-4B67-A137-E611242F5F73}"/>
            </a:ext>
          </a:extLst>
        </cdr:cNvPr>
        <cdr:cNvCxnSpPr/>
      </cdr:nvCxnSpPr>
      <cdr:spPr>
        <a:xfrm xmlns:a="http://schemas.openxmlformats.org/drawingml/2006/main">
          <a:off x="5383696" y="1267239"/>
          <a:ext cx="8743" cy="952527"/>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0.67208</cdr:x>
      <cdr:y>0.2029</cdr:y>
    </cdr:from>
    <cdr:to>
      <cdr:x>0.67274</cdr:x>
      <cdr:y>0.37418</cdr:y>
    </cdr:to>
    <cdr:cxnSp macro="">
      <cdr:nvCxnSpPr>
        <cdr:cNvPr id="25" name="Straight Connector 24">
          <a:extLst xmlns:a="http://schemas.openxmlformats.org/drawingml/2006/main">
            <a:ext uri="{FF2B5EF4-FFF2-40B4-BE49-F238E27FC236}">
              <a16:creationId xmlns:a16="http://schemas.microsoft.com/office/drawing/2014/main" id="{E931AD3E-CF77-45D1-B6B6-AF27173FDDE6}"/>
            </a:ext>
          </a:extLst>
        </cdr:cNvPr>
        <cdr:cNvCxnSpPr/>
      </cdr:nvCxnSpPr>
      <cdr:spPr>
        <a:xfrm xmlns:a="http://schemas.openxmlformats.org/drawingml/2006/main">
          <a:off x="5822674" y="1275522"/>
          <a:ext cx="5700" cy="1076747"/>
        </a:xfrm>
        <a:prstGeom xmlns:a="http://schemas.openxmlformats.org/drawingml/2006/main" prst="line">
          <a:avLst/>
        </a:prstGeom>
        <a:ln xmlns:a="http://schemas.openxmlformats.org/drawingml/2006/main" w="22225">
          <a:solidFill>
            <a:schemeClr val="accent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0.76864</cdr:x>
      <cdr:y>0.20026</cdr:y>
    </cdr:from>
    <cdr:to>
      <cdr:x>0.76879</cdr:x>
      <cdr:y>0.40448</cdr:y>
    </cdr:to>
    <cdr:cxnSp macro="">
      <cdr:nvCxnSpPr>
        <cdr:cNvPr id="27" name="Straight Connector 26">
          <a:extLst xmlns:a="http://schemas.openxmlformats.org/drawingml/2006/main">
            <a:ext uri="{FF2B5EF4-FFF2-40B4-BE49-F238E27FC236}">
              <a16:creationId xmlns:a16="http://schemas.microsoft.com/office/drawing/2014/main" id="{977D2E90-9454-4683-B289-07EA3CACED65}"/>
            </a:ext>
          </a:extLst>
        </cdr:cNvPr>
        <cdr:cNvCxnSpPr/>
      </cdr:nvCxnSpPr>
      <cdr:spPr>
        <a:xfrm xmlns:a="http://schemas.openxmlformats.org/drawingml/2006/main">
          <a:off x="6659217" y="1258957"/>
          <a:ext cx="1313" cy="1283807"/>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0.72006</cdr:x>
      <cdr:y>0.2029</cdr:y>
    </cdr:from>
    <cdr:to>
      <cdr:x>0.72084</cdr:x>
      <cdr:y>0.40712</cdr:y>
    </cdr:to>
    <cdr:cxnSp macro="">
      <cdr:nvCxnSpPr>
        <cdr:cNvPr id="29" name="Straight Connector 28">
          <a:extLst xmlns:a="http://schemas.openxmlformats.org/drawingml/2006/main">
            <a:ext uri="{FF2B5EF4-FFF2-40B4-BE49-F238E27FC236}">
              <a16:creationId xmlns:a16="http://schemas.microsoft.com/office/drawing/2014/main" id="{1B9A6A3E-F07F-4A02-81D5-900DC9DACB4B}"/>
            </a:ext>
          </a:extLst>
        </cdr:cNvPr>
        <cdr:cNvCxnSpPr/>
      </cdr:nvCxnSpPr>
      <cdr:spPr>
        <a:xfrm xmlns:a="http://schemas.openxmlformats.org/drawingml/2006/main" flipH="1">
          <a:off x="6238301" y="1275522"/>
          <a:ext cx="6786" cy="1283823"/>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0.86616</cdr:x>
      <cdr:y>0.2029</cdr:y>
    </cdr:from>
    <cdr:to>
      <cdr:x>0.86807</cdr:x>
      <cdr:y>0.62978</cdr:y>
    </cdr:to>
    <cdr:cxnSp macro="">
      <cdr:nvCxnSpPr>
        <cdr:cNvPr id="30" name="Straight Connector 29">
          <a:extLst xmlns:a="http://schemas.openxmlformats.org/drawingml/2006/main">
            <a:ext uri="{FF2B5EF4-FFF2-40B4-BE49-F238E27FC236}">
              <a16:creationId xmlns:a16="http://schemas.microsoft.com/office/drawing/2014/main" id="{1C2AF13F-E13A-41B5-8372-2F06A88439FC}"/>
            </a:ext>
          </a:extLst>
        </cdr:cNvPr>
        <cdr:cNvCxnSpPr/>
      </cdr:nvCxnSpPr>
      <cdr:spPr>
        <a:xfrm xmlns:a="http://schemas.openxmlformats.org/drawingml/2006/main" flipH="1">
          <a:off x="7504043" y="1275522"/>
          <a:ext cx="16567" cy="2683565"/>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0.8189</cdr:x>
      <cdr:y>0.20158</cdr:y>
    </cdr:from>
    <cdr:to>
      <cdr:x>0.81931</cdr:x>
      <cdr:y>0.46509</cdr:y>
    </cdr:to>
    <cdr:cxnSp macro="">
      <cdr:nvCxnSpPr>
        <cdr:cNvPr id="33" name="Straight Connector 32">
          <a:extLst xmlns:a="http://schemas.openxmlformats.org/drawingml/2006/main">
            <a:ext uri="{FF2B5EF4-FFF2-40B4-BE49-F238E27FC236}">
              <a16:creationId xmlns:a16="http://schemas.microsoft.com/office/drawing/2014/main" id="{AB20EBE6-9F59-4A3E-BB78-A999260DD571}"/>
            </a:ext>
          </a:extLst>
        </cdr:cNvPr>
        <cdr:cNvCxnSpPr/>
      </cdr:nvCxnSpPr>
      <cdr:spPr>
        <a:xfrm xmlns:a="http://schemas.openxmlformats.org/drawingml/2006/main" flipH="1">
          <a:off x="7094629" y="1267239"/>
          <a:ext cx="3567" cy="1656549"/>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0.91587</cdr:x>
      <cdr:y>0.2029</cdr:y>
    </cdr:from>
    <cdr:to>
      <cdr:x>0.91683</cdr:x>
      <cdr:y>0.74967</cdr:y>
    </cdr:to>
    <cdr:cxnSp macro="">
      <cdr:nvCxnSpPr>
        <cdr:cNvPr id="35" name="Straight Connector 34">
          <a:extLst xmlns:a="http://schemas.openxmlformats.org/drawingml/2006/main">
            <a:ext uri="{FF2B5EF4-FFF2-40B4-BE49-F238E27FC236}">
              <a16:creationId xmlns:a16="http://schemas.microsoft.com/office/drawing/2014/main" id="{A97876E4-9282-44B2-9223-883E65A46731}"/>
            </a:ext>
          </a:extLst>
        </cdr:cNvPr>
        <cdr:cNvCxnSpPr/>
      </cdr:nvCxnSpPr>
      <cdr:spPr>
        <a:xfrm xmlns:a="http://schemas.openxmlformats.org/drawingml/2006/main" flipH="1">
          <a:off x="7934739" y="1275522"/>
          <a:ext cx="8284" cy="3437282"/>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0.00096</cdr:x>
      <cdr:y>0.16362</cdr:y>
    </cdr:from>
    <cdr:to>
      <cdr:x>0.11186</cdr:x>
      <cdr:y>0.24544</cdr:y>
    </cdr:to>
    <cdr:sp macro="" textlink="">
      <cdr:nvSpPr>
        <cdr:cNvPr id="20" name="TextBox 1">
          <a:extLst xmlns:a="http://schemas.openxmlformats.org/drawingml/2006/main">
            <a:ext uri="{FF2B5EF4-FFF2-40B4-BE49-F238E27FC236}">
              <a16:creationId xmlns:a16="http://schemas.microsoft.com/office/drawing/2014/main" id="{CF8FF808-AAD2-4661-B8DA-2AE71EF28A4F}"/>
            </a:ext>
          </a:extLst>
        </cdr:cNvPr>
        <cdr:cNvSpPr txBox="1"/>
      </cdr:nvSpPr>
      <cdr:spPr>
        <a:xfrm xmlns:a="http://schemas.openxmlformats.org/drawingml/2006/main">
          <a:off x="8282" y="1028568"/>
          <a:ext cx="960794" cy="5143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a:latin typeface="Times New Roman" panose="02020603050405020304" pitchFamily="18" charset="0"/>
              <a:cs typeface="Times New Roman" panose="02020603050405020304" pitchFamily="18" charset="0"/>
            </a:rPr>
            <a:t>Expected</a:t>
          </a:r>
          <a:r>
            <a:rPr lang="en-US" sz="1000" baseline="0">
              <a:latin typeface="Times New Roman" panose="02020603050405020304" pitchFamily="18" charset="0"/>
              <a:cs typeface="Times New Roman" panose="02020603050405020304" pitchFamily="18" charset="0"/>
            </a:rPr>
            <a:t> Mean Score</a:t>
          </a:r>
          <a:endParaRPr lang="en-US" sz="10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0.5176</cdr:x>
      <cdr:y>0.42268</cdr:y>
    </cdr:from>
    <cdr:to>
      <cdr:x>0.64513</cdr:x>
      <cdr:y>0.50448</cdr:y>
    </cdr:to>
    <cdr:sp macro="" textlink="">
      <cdr:nvSpPr>
        <cdr:cNvPr id="24" name="TextBox 1">
          <a:extLst xmlns:a="http://schemas.openxmlformats.org/drawingml/2006/main">
            <a:ext uri="{FF2B5EF4-FFF2-40B4-BE49-F238E27FC236}">
              <a16:creationId xmlns:a16="http://schemas.microsoft.com/office/drawing/2014/main" id="{7567542F-F00A-4CDD-9CC4-66EF16724CD1}"/>
            </a:ext>
          </a:extLst>
        </cdr:cNvPr>
        <cdr:cNvSpPr txBox="1"/>
      </cdr:nvSpPr>
      <cdr:spPr>
        <a:xfrm xmlns:a="http://schemas.openxmlformats.org/drawingml/2006/main">
          <a:off x="4484303" y="2657175"/>
          <a:ext cx="1104870" cy="5142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a:latin typeface="Times New Roman" panose="02020603050405020304" pitchFamily="18" charset="0"/>
              <a:cs typeface="Times New Roman" panose="02020603050405020304" pitchFamily="18" charset="0"/>
            </a:rPr>
            <a:t>Observed</a:t>
          </a:r>
          <a:endParaRPr lang="en-US" sz="1000" baseline="0">
            <a:latin typeface="Times New Roman" panose="02020603050405020304" pitchFamily="18" charset="0"/>
            <a:cs typeface="Times New Roman" panose="02020603050405020304" pitchFamily="18" charset="0"/>
          </a:endParaRPr>
        </a:p>
        <a:p xmlns:a="http://schemas.openxmlformats.org/drawingml/2006/main">
          <a:pPr algn="ctr"/>
          <a:r>
            <a:rPr lang="en-US" sz="1000" baseline="0">
              <a:latin typeface="Times New Roman" panose="02020603050405020304" pitchFamily="18" charset="0"/>
              <a:cs typeface="Times New Roman" panose="02020603050405020304" pitchFamily="18" charset="0"/>
            </a:rPr>
            <a:t>Mean Score</a:t>
          </a:r>
          <a:endParaRPr lang="en-US" sz="10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0.63174</cdr:x>
      <cdr:y>0.38433</cdr:y>
    </cdr:from>
    <cdr:to>
      <cdr:x>0.65851</cdr:x>
      <cdr:y>0.41464</cdr:y>
    </cdr:to>
    <cdr:cxnSp macro="">
      <cdr:nvCxnSpPr>
        <cdr:cNvPr id="4" name="Straight Arrow Connector 3">
          <a:extLst xmlns:a="http://schemas.openxmlformats.org/drawingml/2006/main">
            <a:ext uri="{FF2B5EF4-FFF2-40B4-BE49-F238E27FC236}">
              <a16:creationId xmlns:a16="http://schemas.microsoft.com/office/drawing/2014/main" id="{BFD691BA-ADE1-4FAE-8E76-3D593328179C}"/>
            </a:ext>
          </a:extLst>
        </cdr:cNvPr>
        <cdr:cNvCxnSpPr/>
      </cdr:nvCxnSpPr>
      <cdr:spPr>
        <a:xfrm xmlns:a="http://schemas.openxmlformats.org/drawingml/2006/main" flipV="1">
          <a:off x="5473148" y="2416118"/>
          <a:ext cx="231925" cy="190544"/>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0.10242</cdr:x>
      <cdr:y>0.19391</cdr:y>
    </cdr:from>
    <cdr:to>
      <cdr:x>0.13408</cdr:x>
      <cdr:y>0.19391</cdr:y>
    </cdr:to>
    <cdr:cxnSp macro="">
      <cdr:nvCxnSpPr>
        <cdr:cNvPr id="26" name="Straight Arrow Connector 25">
          <a:extLst xmlns:a="http://schemas.openxmlformats.org/drawingml/2006/main">
            <a:ext uri="{FF2B5EF4-FFF2-40B4-BE49-F238E27FC236}">
              <a16:creationId xmlns:a16="http://schemas.microsoft.com/office/drawing/2014/main" id="{C2F4BDB6-CE19-4DFA-8F7E-35D63DA8F1BD}"/>
            </a:ext>
          </a:extLst>
        </cdr:cNvPr>
        <cdr:cNvCxnSpPr/>
      </cdr:nvCxnSpPr>
      <cdr:spPr>
        <a:xfrm xmlns:a="http://schemas.openxmlformats.org/drawingml/2006/main" flipV="1">
          <a:off x="887310" y="1219019"/>
          <a:ext cx="274290" cy="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0.11033</cdr:x>
      <cdr:y>0.85455</cdr:y>
    </cdr:from>
    <cdr:to>
      <cdr:x>0.43786</cdr:x>
      <cdr:y>1</cdr:y>
    </cdr:to>
    <cdr:sp macro="" textlink="">
      <cdr:nvSpPr>
        <cdr:cNvPr id="34" name="TextBox 33">
          <a:extLst xmlns:a="http://schemas.openxmlformats.org/drawingml/2006/main">
            <a:ext uri="{FF2B5EF4-FFF2-40B4-BE49-F238E27FC236}">
              <a16:creationId xmlns:a16="http://schemas.microsoft.com/office/drawing/2014/main" id="{E8A1D9A0-6CCD-4782-9969-2385730C390C}"/>
            </a:ext>
          </a:extLst>
        </cdr:cNvPr>
        <cdr:cNvSpPr txBox="1"/>
      </cdr:nvSpPr>
      <cdr:spPr>
        <a:xfrm xmlns:a="http://schemas.openxmlformats.org/drawingml/2006/main" flipH="1">
          <a:off x="955813" y="5372100"/>
          <a:ext cx="2837622"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0.01243</cdr:x>
      <cdr:y>0.83794</cdr:y>
    </cdr:from>
    <cdr:to>
      <cdr:x>0.98566</cdr:x>
      <cdr:y>0.99605</cdr:y>
    </cdr:to>
    <cdr:sp macro="" textlink="">
      <cdr:nvSpPr>
        <cdr:cNvPr id="39" name="TextBox 38"/>
        <cdr:cNvSpPr txBox="1"/>
      </cdr:nvSpPr>
      <cdr:spPr>
        <a:xfrm xmlns:a="http://schemas.openxmlformats.org/drawingml/2006/main">
          <a:off x="107674" y="5267740"/>
          <a:ext cx="8431696" cy="9939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Times New Roman" panose="02020603050405020304" pitchFamily="18" charset="0"/>
              <a:cs typeface="Times New Roman" panose="02020603050405020304" pitchFamily="18" charset="0"/>
            </a:rPr>
            <a:t>Notes: The mean learning gap is computed using a regression analysis where the dependent variable is the standardized score in learning assessments TIMSS 2011 and TERCE 2013 and the independent variable is the GDP per capita in PPP of the year of the assessment per country. Then, the gap is the difference between the expected mean score based on economic development and the observed mean score. Latin America and the Caribbean scores are computed as a simple average of the scores of the countries of the region. The scores are standardized as follow: (i) using Chile performance in each assesstment, i.e. mean scores for Chile has mean 0 and SD 1; (ii) using Latin America and the Caribbean performance in TERCE 2013. Thus, each learning point correspondes to 0.01 standard deviation units of the 2013 score. </a:t>
          </a:r>
        </a:p>
        <a:p xmlns:a="http://schemas.openxmlformats.org/drawingml/2006/main">
          <a:endParaRPr lang="en-US" sz="1000">
            <a:latin typeface="Times New Roman" panose="02020603050405020304" pitchFamily="18" charset="0"/>
            <a:cs typeface="Times New Roman" panose="02020603050405020304" pitchFamily="18" charset="0"/>
          </a:endParaRPr>
        </a:p>
      </cdr:txBody>
    </cdr:sp>
  </cdr:relSizeAnchor>
</c:userShapes>
</file>

<file path=xl/drawings/drawing19.xml><?xml version="1.0" encoding="utf-8"?>
<xdr:wsDr xmlns:xdr="http://schemas.openxmlformats.org/drawingml/2006/spreadsheetDrawing" xmlns:a="http://schemas.openxmlformats.org/drawingml/2006/main">
  <xdr:absoluteAnchor>
    <xdr:pos x="0" y="0"/>
    <xdr:ext cx="8663609" cy="6289261"/>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0</xdr:col>
      <xdr:colOff>179613</xdr:colOff>
      <xdr:row>3</xdr:row>
      <xdr:rowOff>0</xdr:rowOff>
    </xdr:from>
    <xdr:to>
      <xdr:col>9</xdr:col>
      <xdr:colOff>57149</xdr:colOff>
      <xdr:row>18</xdr:row>
      <xdr:rowOff>109537</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69396</xdr:colOff>
      <xdr:row>3</xdr:row>
      <xdr:rowOff>0</xdr:rowOff>
    </xdr:from>
    <xdr:to>
      <xdr:col>16</xdr:col>
      <xdr:colOff>507546</xdr:colOff>
      <xdr:row>18</xdr:row>
      <xdr:rowOff>104775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0.23291</cdr:x>
      <cdr:y>0.19609</cdr:y>
    </cdr:from>
    <cdr:to>
      <cdr:x>0.23291</cdr:x>
      <cdr:y>0.37945</cdr:y>
    </cdr:to>
    <cdr:cxnSp macro="">
      <cdr:nvCxnSpPr>
        <cdr:cNvPr id="3" name="Straight Connector 2">
          <a:extLst xmlns:a="http://schemas.openxmlformats.org/drawingml/2006/main">
            <a:ext uri="{FF2B5EF4-FFF2-40B4-BE49-F238E27FC236}">
              <a16:creationId xmlns:a16="http://schemas.microsoft.com/office/drawing/2014/main" id="{C1A3790C-AF00-4C0D-AF7E-90F6CA7DA2E7}"/>
            </a:ext>
          </a:extLst>
        </cdr:cNvPr>
        <cdr:cNvCxnSpPr/>
      </cdr:nvCxnSpPr>
      <cdr:spPr>
        <a:xfrm xmlns:a="http://schemas.openxmlformats.org/drawingml/2006/main">
          <a:off x="2017841" y="1232720"/>
          <a:ext cx="0" cy="1152671"/>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0.281</cdr:x>
      <cdr:y>0.19445</cdr:y>
    </cdr:from>
    <cdr:to>
      <cdr:x>0.281</cdr:x>
      <cdr:y>0.38999</cdr:y>
    </cdr:to>
    <cdr:cxnSp macro="">
      <cdr:nvCxnSpPr>
        <cdr:cNvPr id="7" name="Straight Connector 6">
          <a:extLst xmlns:a="http://schemas.openxmlformats.org/drawingml/2006/main">
            <a:ext uri="{FF2B5EF4-FFF2-40B4-BE49-F238E27FC236}">
              <a16:creationId xmlns:a16="http://schemas.microsoft.com/office/drawing/2014/main" id="{6C7A1D83-0E3B-45A1-AFE3-D186A9114E6E}"/>
            </a:ext>
          </a:extLst>
        </cdr:cNvPr>
        <cdr:cNvCxnSpPr/>
      </cdr:nvCxnSpPr>
      <cdr:spPr>
        <a:xfrm xmlns:a="http://schemas.openxmlformats.org/drawingml/2006/main">
          <a:off x="2434474" y="1222410"/>
          <a:ext cx="0" cy="1229242"/>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0.32944</cdr:x>
      <cdr:y>0.19596</cdr:y>
    </cdr:from>
    <cdr:to>
      <cdr:x>0.32944</cdr:x>
      <cdr:y>0.45191</cdr:y>
    </cdr:to>
    <cdr:cxnSp macro="">
      <cdr:nvCxnSpPr>
        <cdr:cNvPr id="10" name="Straight Connector 9">
          <a:extLst xmlns:a="http://schemas.openxmlformats.org/drawingml/2006/main">
            <a:ext uri="{FF2B5EF4-FFF2-40B4-BE49-F238E27FC236}">
              <a16:creationId xmlns:a16="http://schemas.microsoft.com/office/drawing/2014/main" id="{6C7A1D83-0E3B-45A1-AFE3-D186A9114E6E}"/>
            </a:ext>
          </a:extLst>
        </cdr:cNvPr>
        <cdr:cNvCxnSpPr/>
      </cdr:nvCxnSpPr>
      <cdr:spPr>
        <a:xfrm xmlns:a="http://schemas.openxmlformats.org/drawingml/2006/main">
          <a:off x="2854139" y="1231903"/>
          <a:ext cx="0" cy="1609032"/>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0.37861</cdr:x>
      <cdr:y>0.19626</cdr:y>
    </cdr:from>
    <cdr:to>
      <cdr:x>0.37861</cdr:x>
      <cdr:y>0.45323</cdr:y>
    </cdr:to>
    <cdr:cxnSp macro="">
      <cdr:nvCxnSpPr>
        <cdr:cNvPr id="13" name="Straight Connector 12">
          <a:extLst xmlns:a="http://schemas.openxmlformats.org/drawingml/2006/main">
            <a:ext uri="{FF2B5EF4-FFF2-40B4-BE49-F238E27FC236}">
              <a16:creationId xmlns:a16="http://schemas.microsoft.com/office/drawing/2014/main" id="{1DE30281-EEA7-4AAF-9E9D-C17D94947459}"/>
            </a:ext>
          </a:extLst>
        </cdr:cNvPr>
        <cdr:cNvCxnSpPr/>
      </cdr:nvCxnSpPr>
      <cdr:spPr>
        <a:xfrm xmlns:a="http://schemas.openxmlformats.org/drawingml/2006/main">
          <a:off x="3280129" y="1233788"/>
          <a:ext cx="0" cy="1615429"/>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0.4276</cdr:x>
      <cdr:y>0.19644</cdr:y>
    </cdr:from>
    <cdr:to>
      <cdr:x>0.4276</cdr:x>
      <cdr:y>0.4888</cdr:y>
    </cdr:to>
    <cdr:cxnSp macro="">
      <cdr:nvCxnSpPr>
        <cdr:cNvPr id="15" name="Straight Connector 14">
          <a:extLst xmlns:a="http://schemas.openxmlformats.org/drawingml/2006/main">
            <a:ext uri="{FF2B5EF4-FFF2-40B4-BE49-F238E27FC236}">
              <a16:creationId xmlns:a16="http://schemas.microsoft.com/office/drawing/2014/main" id="{1DE30281-EEA7-4AAF-9E9D-C17D94947459}"/>
            </a:ext>
          </a:extLst>
        </cdr:cNvPr>
        <cdr:cNvCxnSpPr/>
      </cdr:nvCxnSpPr>
      <cdr:spPr>
        <a:xfrm xmlns:a="http://schemas.openxmlformats.org/drawingml/2006/main">
          <a:off x="3704559" y="1234920"/>
          <a:ext cx="0" cy="1837928"/>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0.47747</cdr:x>
      <cdr:y>0.19642</cdr:y>
    </cdr:from>
    <cdr:to>
      <cdr:x>0.47747</cdr:x>
      <cdr:y>0.51779</cdr:y>
    </cdr:to>
    <cdr:cxnSp macro="">
      <cdr:nvCxnSpPr>
        <cdr:cNvPr id="18" name="Straight Connector 17">
          <a:extLst xmlns:a="http://schemas.openxmlformats.org/drawingml/2006/main">
            <a:ext uri="{FF2B5EF4-FFF2-40B4-BE49-F238E27FC236}">
              <a16:creationId xmlns:a16="http://schemas.microsoft.com/office/drawing/2014/main" id="{1DE30281-EEA7-4AAF-9E9D-C17D94947459}"/>
            </a:ext>
          </a:extLst>
        </cdr:cNvPr>
        <cdr:cNvCxnSpPr/>
      </cdr:nvCxnSpPr>
      <cdr:spPr>
        <a:xfrm xmlns:a="http://schemas.openxmlformats.org/drawingml/2006/main">
          <a:off x="4136613" y="1234794"/>
          <a:ext cx="0" cy="2020271"/>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0.52756</cdr:x>
      <cdr:y>0.19567</cdr:y>
    </cdr:from>
    <cdr:to>
      <cdr:x>0.52756</cdr:x>
      <cdr:y>0.5336</cdr:y>
    </cdr:to>
    <cdr:cxnSp macro="">
      <cdr:nvCxnSpPr>
        <cdr:cNvPr id="21" name="Straight Connector 20">
          <a:extLst xmlns:a="http://schemas.openxmlformats.org/drawingml/2006/main">
            <a:ext uri="{FF2B5EF4-FFF2-40B4-BE49-F238E27FC236}">
              <a16:creationId xmlns:a16="http://schemas.microsoft.com/office/drawing/2014/main" id="{70CBDBD8-13D6-4A3D-B7D0-25BDD799A598}"/>
            </a:ext>
          </a:extLst>
        </cdr:cNvPr>
        <cdr:cNvCxnSpPr/>
      </cdr:nvCxnSpPr>
      <cdr:spPr>
        <a:xfrm xmlns:a="http://schemas.openxmlformats.org/drawingml/2006/main">
          <a:off x="4570574" y="1230079"/>
          <a:ext cx="0" cy="2124378"/>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0.57314</cdr:x>
      <cdr:y>0.19512</cdr:y>
    </cdr:from>
    <cdr:to>
      <cdr:x>0.57361</cdr:x>
      <cdr:y>0.55731</cdr:y>
    </cdr:to>
    <cdr:cxnSp macro="">
      <cdr:nvCxnSpPr>
        <cdr:cNvPr id="22" name="Straight Connector 21">
          <a:extLst xmlns:a="http://schemas.openxmlformats.org/drawingml/2006/main">
            <a:ext uri="{FF2B5EF4-FFF2-40B4-BE49-F238E27FC236}">
              <a16:creationId xmlns:a16="http://schemas.microsoft.com/office/drawing/2014/main" id="{62C0227E-FD8E-4748-874F-231145231C14}"/>
            </a:ext>
          </a:extLst>
        </cdr:cNvPr>
        <cdr:cNvCxnSpPr/>
      </cdr:nvCxnSpPr>
      <cdr:spPr>
        <a:xfrm xmlns:a="http://schemas.openxmlformats.org/drawingml/2006/main">
          <a:off x="4965461" y="1226622"/>
          <a:ext cx="4104" cy="2276921"/>
        </a:xfrm>
        <a:prstGeom xmlns:a="http://schemas.openxmlformats.org/drawingml/2006/main" prst="line">
          <a:avLst/>
        </a:prstGeom>
        <a:ln xmlns:a="http://schemas.openxmlformats.org/drawingml/2006/main" w="22225">
          <a:solidFill>
            <a:schemeClr val="accent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0.62434</cdr:x>
      <cdr:y>0.19623</cdr:y>
    </cdr:from>
    <cdr:to>
      <cdr:x>0.62434</cdr:x>
      <cdr:y>0.57708</cdr:y>
    </cdr:to>
    <cdr:cxnSp macro="">
      <cdr:nvCxnSpPr>
        <cdr:cNvPr id="23" name="Straight Connector 22">
          <a:extLst xmlns:a="http://schemas.openxmlformats.org/drawingml/2006/main">
            <a:ext uri="{FF2B5EF4-FFF2-40B4-BE49-F238E27FC236}">
              <a16:creationId xmlns:a16="http://schemas.microsoft.com/office/drawing/2014/main" id="{D756D947-78D7-4B67-A137-E611242F5F73}"/>
            </a:ext>
          </a:extLst>
        </cdr:cNvPr>
        <cdr:cNvCxnSpPr/>
      </cdr:nvCxnSpPr>
      <cdr:spPr>
        <a:xfrm xmlns:a="http://schemas.openxmlformats.org/drawingml/2006/main">
          <a:off x="5409038" y="1233600"/>
          <a:ext cx="0" cy="2394183"/>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0.67274</cdr:x>
      <cdr:y>0.19682</cdr:y>
    </cdr:from>
    <cdr:to>
      <cdr:x>0.67274</cdr:x>
      <cdr:y>0.63505</cdr:y>
    </cdr:to>
    <cdr:cxnSp macro="">
      <cdr:nvCxnSpPr>
        <cdr:cNvPr id="25" name="Straight Connector 24">
          <a:extLst xmlns:a="http://schemas.openxmlformats.org/drawingml/2006/main">
            <a:ext uri="{FF2B5EF4-FFF2-40B4-BE49-F238E27FC236}">
              <a16:creationId xmlns:a16="http://schemas.microsoft.com/office/drawing/2014/main" id="{E931AD3E-CF77-45D1-B6B6-AF27173FDDE6}"/>
            </a:ext>
          </a:extLst>
        </cdr:cNvPr>
        <cdr:cNvCxnSpPr/>
      </cdr:nvCxnSpPr>
      <cdr:spPr>
        <a:xfrm xmlns:a="http://schemas.openxmlformats.org/drawingml/2006/main">
          <a:off x="5828356" y="1237309"/>
          <a:ext cx="0" cy="2754908"/>
        </a:xfrm>
        <a:prstGeom xmlns:a="http://schemas.openxmlformats.org/drawingml/2006/main" prst="line">
          <a:avLst/>
        </a:prstGeom>
        <a:ln xmlns:a="http://schemas.openxmlformats.org/drawingml/2006/main" w="22225">
          <a:solidFill>
            <a:schemeClr val="tx1">
              <a:lumMod val="75000"/>
              <a:lumOff val="2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0.77071</cdr:x>
      <cdr:y>0.1956</cdr:y>
    </cdr:from>
    <cdr:to>
      <cdr:x>0.77071</cdr:x>
      <cdr:y>0.6693</cdr:y>
    </cdr:to>
    <cdr:cxnSp macro="">
      <cdr:nvCxnSpPr>
        <cdr:cNvPr id="27" name="Straight Connector 26">
          <a:extLst xmlns:a="http://schemas.openxmlformats.org/drawingml/2006/main">
            <a:ext uri="{FF2B5EF4-FFF2-40B4-BE49-F238E27FC236}">
              <a16:creationId xmlns:a16="http://schemas.microsoft.com/office/drawing/2014/main" id="{977D2E90-9454-4683-B289-07EA3CACED65}"/>
            </a:ext>
          </a:extLst>
        </cdr:cNvPr>
        <cdr:cNvCxnSpPr/>
      </cdr:nvCxnSpPr>
      <cdr:spPr>
        <a:xfrm xmlns:a="http://schemas.openxmlformats.org/drawingml/2006/main">
          <a:off x="6677130" y="1229639"/>
          <a:ext cx="0" cy="2977926"/>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0.72293</cdr:x>
      <cdr:y>0.19538</cdr:y>
    </cdr:from>
    <cdr:to>
      <cdr:x>0.72293</cdr:x>
      <cdr:y>0.66271</cdr:y>
    </cdr:to>
    <cdr:cxnSp macro="">
      <cdr:nvCxnSpPr>
        <cdr:cNvPr id="29" name="Straight Connector 28">
          <a:extLst xmlns:a="http://schemas.openxmlformats.org/drawingml/2006/main">
            <a:ext uri="{FF2B5EF4-FFF2-40B4-BE49-F238E27FC236}">
              <a16:creationId xmlns:a16="http://schemas.microsoft.com/office/drawing/2014/main" id="{1B9A6A3E-F07F-4A02-81D5-900DC9DACB4B}"/>
            </a:ext>
          </a:extLst>
        </cdr:cNvPr>
        <cdr:cNvCxnSpPr/>
      </cdr:nvCxnSpPr>
      <cdr:spPr>
        <a:xfrm xmlns:a="http://schemas.openxmlformats.org/drawingml/2006/main">
          <a:off x="6263183" y="1228256"/>
          <a:ext cx="0" cy="2937896"/>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0.86845</cdr:x>
      <cdr:y>0.19625</cdr:y>
    </cdr:from>
    <cdr:to>
      <cdr:x>0.86845</cdr:x>
      <cdr:y>0.71673</cdr:y>
    </cdr:to>
    <cdr:cxnSp macro="">
      <cdr:nvCxnSpPr>
        <cdr:cNvPr id="30" name="Straight Connector 29">
          <a:extLst xmlns:a="http://schemas.openxmlformats.org/drawingml/2006/main">
            <a:ext uri="{FF2B5EF4-FFF2-40B4-BE49-F238E27FC236}">
              <a16:creationId xmlns:a16="http://schemas.microsoft.com/office/drawing/2014/main" id="{1C2AF13F-E13A-41B5-8372-2F06A88439FC}"/>
            </a:ext>
          </a:extLst>
        </cdr:cNvPr>
        <cdr:cNvCxnSpPr/>
      </cdr:nvCxnSpPr>
      <cdr:spPr>
        <a:xfrm xmlns:a="http://schemas.openxmlformats.org/drawingml/2006/main">
          <a:off x="7523911" y="1233726"/>
          <a:ext cx="0" cy="3272013"/>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0.8189</cdr:x>
      <cdr:y>0.19556</cdr:y>
    </cdr:from>
    <cdr:to>
      <cdr:x>0.8189</cdr:x>
      <cdr:y>0.70751</cdr:y>
    </cdr:to>
    <cdr:cxnSp macro="">
      <cdr:nvCxnSpPr>
        <cdr:cNvPr id="33" name="Straight Connector 32">
          <a:extLst xmlns:a="http://schemas.openxmlformats.org/drawingml/2006/main">
            <a:ext uri="{FF2B5EF4-FFF2-40B4-BE49-F238E27FC236}">
              <a16:creationId xmlns:a16="http://schemas.microsoft.com/office/drawing/2014/main" id="{AB20EBE6-9F59-4A3E-BB78-A999260DD571}"/>
            </a:ext>
          </a:extLst>
        </cdr:cNvPr>
        <cdr:cNvCxnSpPr/>
      </cdr:nvCxnSpPr>
      <cdr:spPr>
        <a:xfrm xmlns:a="http://schemas.openxmlformats.org/drawingml/2006/main">
          <a:off x="7094629" y="1229388"/>
          <a:ext cx="0" cy="3218373"/>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0.91639</cdr:x>
      <cdr:y>0.19512</cdr:y>
    </cdr:from>
    <cdr:to>
      <cdr:x>0.91639</cdr:x>
      <cdr:y>0.75626</cdr:y>
    </cdr:to>
    <cdr:cxnSp macro="">
      <cdr:nvCxnSpPr>
        <cdr:cNvPr id="35" name="Straight Connector 34">
          <a:extLst xmlns:a="http://schemas.openxmlformats.org/drawingml/2006/main">
            <a:ext uri="{FF2B5EF4-FFF2-40B4-BE49-F238E27FC236}">
              <a16:creationId xmlns:a16="http://schemas.microsoft.com/office/drawing/2014/main" id="{A97876E4-9282-44B2-9223-883E65A46731}"/>
            </a:ext>
          </a:extLst>
        </cdr:cNvPr>
        <cdr:cNvCxnSpPr/>
      </cdr:nvCxnSpPr>
      <cdr:spPr>
        <a:xfrm xmlns:a="http://schemas.openxmlformats.org/drawingml/2006/main">
          <a:off x="7939245" y="1226622"/>
          <a:ext cx="0" cy="3527595"/>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0.16098</cdr:y>
    </cdr:from>
    <cdr:to>
      <cdr:x>0.10421</cdr:x>
      <cdr:y>0.2428</cdr:y>
    </cdr:to>
    <cdr:sp macro="" textlink="">
      <cdr:nvSpPr>
        <cdr:cNvPr id="20" name="TextBox 1">
          <a:extLst xmlns:a="http://schemas.openxmlformats.org/drawingml/2006/main">
            <a:ext uri="{FF2B5EF4-FFF2-40B4-BE49-F238E27FC236}">
              <a16:creationId xmlns:a16="http://schemas.microsoft.com/office/drawing/2014/main" id="{CF8FF808-AAD2-4661-B8DA-2AE71EF28A4F}"/>
            </a:ext>
          </a:extLst>
        </cdr:cNvPr>
        <cdr:cNvSpPr txBox="1"/>
      </cdr:nvSpPr>
      <cdr:spPr>
        <a:xfrm xmlns:a="http://schemas.openxmlformats.org/drawingml/2006/main">
          <a:off x="0" y="1012001"/>
          <a:ext cx="902804" cy="5143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a:latin typeface="Times New Roman" panose="02020603050405020304" pitchFamily="18" charset="0"/>
              <a:cs typeface="Times New Roman" panose="02020603050405020304" pitchFamily="18" charset="0"/>
            </a:rPr>
            <a:t>Mean scores</a:t>
          </a:r>
          <a:r>
            <a:rPr lang="en-US" sz="1000" baseline="0">
              <a:latin typeface="Times New Roman" panose="02020603050405020304" pitchFamily="18" charset="0"/>
              <a:cs typeface="Times New Roman" panose="02020603050405020304" pitchFamily="18" charset="0"/>
            </a:rPr>
            <a:t> of high SES students</a:t>
          </a:r>
          <a:endParaRPr lang="en-US" sz="10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0.53613</cdr:x>
      <cdr:y>0.57406</cdr:y>
    </cdr:from>
    <cdr:to>
      <cdr:x>0.5629</cdr:x>
      <cdr:y>0.60437</cdr:y>
    </cdr:to>
    <cdr:cxnSp macro="">
      <cdr:nvCxnSpPr>
        <cdr:cNvPr id="4" name="Straight Arrow Connector 3">
          <a:extLst xmlns:a="http://schemas.openxmlformats.org/drawingml/2006/main">
            <a:ext uri="{FF2B5EF4-FFF2-40B4-BE49-F238E27FC236}">
              <a16:creationId xmlns:a16="http://schemas.microsoft.com/office/drawing/2014/main" id="{BFD691BA-ADE1-4FAE-8E76-3D593328179C}"/>
            </a:ext>
          </a:extLst>
        </cdr:cNvPr>
        <cdr:cNvCxnSpPr/>
      </cdr:nvCxnSpPr>
      <cdr:spPr>
        <a:xfrm xmlns:a="http://schemas.openxmlformats.org/drawingml/2006/main" flipV="1">
          <a:off x="4644857" y="3608807"/>
          <a:ext cx="231925" cy="190544"/>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0.10051</cdr:x>
      <cdr:y>0.18996</cdr:y>
    </cdr:from>
    <cdr:to>
      <cdr:x>0.13217</cdr:x>
      <cdr:y>0.18996</cdr:y>
    </cdr:to>
    <cdr:cxnSp macro="">
      <cdr:nvCxnSpPr>
        <cdr:cNvPr id="26" name="Straight Arrow Connector 25">
          <a:extLst xmlns:a="http://schemas.openxmlformats.org/drawingml/2006/main">
            <a:ext uri="{FF2B5EF4-FFF2-40B4-BE49-F238E27FC236}">
              <a16:creationId xmlns:a16="http://schemas.microsoft.com/office/drawing/2014/main" id="{C2F4BDB6-CE19-4DFA-8F7E-35D63DA8F1BD}"/>
            </a:ext>
          </a:extLst>
        </cdr:cNvPr>
        <cdr:cNvCxnSpPr/>
      </cdr:nvCxnSpPr>
      <cdr:spPr>
        <a:xfrm xmlns:a="http://schemas.openxmlformats.org/drawingml/2006/main" flipV="1">
          <a:off x="870778" y="1194174"/>
          <a:ext cx="274320" cy="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0.18415</cdr:x>
      <cdr:y>0.19346</cdr:y>
    </cdr:from>
    <cdr:to>
      <cdr:x>0.18415</cdr:x>
      <cdr:y>0.37549</cdr:y>
    </cdr:to>
    <cdr:cxnSp macro="">
      <cdr:nvCxnSpPr>
        <cdr:cNvPr id="38" name="Straight Connector 37">
          <a:extLst xmlns:a="http://schemas.openxmlformats.org/drawingml/2006/main">
            <a:ext uri="{FF2B5EF4-FFF2-40B4-BE49-F238E27FC236}">
              <a16:creationId xmlns:a16="http://schemas.microsoft.com/office/drawing/2014/main" id="{1242191B-B7CC-493B-8725-2E3074B9021D}"/>
            </a:ext>
          </a:extLst>
        </cdr:cNvPr>
        <cdr:cNvCxnSpPr/>
      </cdr:nvCxnSpPr>
      <cdr:spPr>
        <a:xfrm xmlns:a="http://schemas.openxmlformats.org/drawingml/2006/main">
          <a:off x="1595404" y="1216186"/>
          <a:ext cx="0" cy="1144357"/>
        </a:xfrm>
        <a:prstGeom xmlns:a="http://schemas.openxmlformats.org/drawingml/2006/main" prst="line">
          <a:avLst/>
        </a:prstGeom>
        <a:ln xmlns:a="http://schemas.openxmlformats.org/drawingml/2006/main" w="22225">
          <a:solidFill>
            <a:schemeClr val="tx1">
              <a:lumMod val="85000"/>
              <a:lumOff val="1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0.40739</cdr:x>
      <cdr:y>0.58516</cdr:y>
    </cdr:from>
    <cdr:to>
      <cdr:x>0.54493</cdr:x>
      <cdr:y>0.66698</cdr:y>
    </cdr:to>
    <cdr:sp macro="" textlink="">
      <cdr:nvSpPr>
        <cdr:cNvPr id="28" name="TextBox 1">
          <a:extLst xmlns:a="http://schemas.openxmlformats.org/drawingml/2006/main">
            <a:ext uri="{FF2B5EF4-FFF2-40B4-BE49-F238E27FC236}">
              <a16:creationId xmlns:a16="http://schemas.microsoft.com/office/drawing/2014/main" id="{C2EAF1A1-3B32-4A53-8339-39F87FD49F04}"/>
            </a:ext>
          </a:extLst>
        </cdr:cNvPr>
        <cdr:cNvSpPr txBox="1"/>
      </cdr:nvSpPr>
      <cdr:spPr>
        <a:xfrm xmlns:a="http://schemas.openxmlformats.org/drawingml/2006/main">
          <a:off x="3529483" y="3678601"/>
          <a:ext cx="1191593" cy="5143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a:latin typeface="Times New Roman" panose="02020603050405020304" pitchFamily="18" charset="0"/>
              <a:cs typeface="Times New Roman" panose="02020603050405020304" pitchFamily="18" charset="0"/>
            </a:rPr>
            <a:t>Mean scores</a:t>
          </a:r>
          <a:r>
            <a:rPr lang="en-US" sz="1000" baseline="0">
              <a:latin typeface="Times New Roman" panose="02020603050405020304" pitchFamily="18" charset="0"/>
              <a:cs typeface="Times New Roman" panose="02020603050405020304" pitchFamily="18" charset="0"/>
            </a:rPr>
            <a:t> of low SES students</a:t>
          </a:r>
          <a:endParaRPr lang="en-US" sz="10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0.88142</cdr:y>
    </cdr:from>
    <cdr:to>
      <cdr:x>1</cdr:x>
      <cdr:y>0.99736</cdr:y>
    </cdr:to>
    <cdr:sp macro="" textlink="">
      <cdr:nvSpPr>
        <cdr:cNvPr id="32" name="TextBox 1">
          <a:extLst xmlns:a="http://schemas.openxmlformats.org/drawingml/2006/main">
            <a:ext uri="{FF2B5EF4-FFF2-40B4-BE49-F238E27FC236}">
              <a16:creationId xmlns:a16="http://schemas.microsoft.com/office/drawing/2014/main" id="{AA3E9A9E-3EDA-41FB-908C-F9919E01B6D9}"/>
            </a:ext>
          </a:extLst>
        </cdr:cNvPr>
        <cdr:cNvSpPr txBox="1"/>
      </cdr:nvSpPr>
      <cdr:spPr>
        <a:xfrm xmlns:a="http://schemas.openxmlformats.org/drawingml/2006/main">
          <a:off x="0" y="5541065"/>
          <a:ext cx="8663609" cy="7288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i="1">
              <a:latin typeface="Times New Roman" panose="02020603050405020304" pitchFamily="18" charset="0"/>
              <a:cs typeface="Times New Roman" panose="02020603050405020304" pitchFamily="18" charset="0"/>
            </a:rPr>
            <a:t>Notes: </a:t>
          </a:r>
          <a:r>
            <a:rPr lang="en-US" sz="1000">
              <a:latin typeface="Times New Roman" panose="02020603050405020304" pitchFamily="18" charset="0"/>
              <a:cs typeface="Times New Roman" panose="02020603050405020304" pitchFamily="18" charset="0"/>
            </a:rPr>
            <a:t>High SES students have</a:t>
          </a:r>
          <a:r>
            <a:rPr lang="en-US" sz="1000" baseline="0">
              <a:latin typeface="Times New Roman" panose="02020603050405020304" pitchFamily="18" charset="0"/>
              <a:cs typeface="Times New Roman" panose="02020603050405020304" pitchFamily="18" charset="0"/>
            </a:rPr>
            <a:t> mothers with at least secondary education. Low SES students have mothers without secondary education. Mean scores for each group are computed as a weithed average of </a:t>
          </a:r>
          <a:r>
            <a:rPr lang="en-US" sz="1000" baseline="0">
              <a:latin typeface="Times New Roman" panose="02020603050405020304" pitchFamily="18" charset="0"/>
              <a:ea typeface="+mn-ea"/>
              <a:cs typeface="Times New Roman" panose="02020603050405020304" pitchFamily="18" charset="0"/>
            </a:rPr>
            <a:t>the standaridized score of students in the TERCE 2013 learning assesstment. LAC scores are computed as a simple average of the scores of the countries of the region</a:t>
          </a:r>
          <a:r>
            <a:rPr lang="en-US" sz="1000" baseline="0">
              <a:effectLst/>
              <a:latin typeface="Times New Roman" panose="02020603050405020304" pitchFamily="18" charset="0"/>
              <a:ea typeface="+mn-ea"/>
              <a:cs typeface="Times New Roman" panose="02020603050405020304" pitchFamily="18" charset="0"/>
            </a:rPr>
            <a:t>.</a:t>
          </a:r>
          <a:r>
            <a:rPr lang="en-US" sz="1000">
              <a:latin typeface="Times New Roman" panose="02020603050405020304" pitchFamily="18" charset="0"/>
              <a:ea typeface="+mn-ea"/>
              <a:cs typeface="Times New Roman" panose="02020603050405020304" pitchFamily="18" charset="0"/>
            </a:rPr>
            <a:t>The scores are standardized using Latin America and the</a:t>
          </a:r>
          <a:r>
            <a:rPr lang="en-US" sz="1000" baseline="0">
              <a:latin typeface="Times New Roman" panose="02020603050405020304" pitchFamily="18" charset="0"/>
              <a:ea typeface="+mn-ea"/>
              <a:cs typeface="Times New Roman" panose="02020603050405020304" pitchFamily="18" charset="0"/>
            </a:rPr>
            <a:t> </a:t>
          </a:r>
          <a:r>
            <a:rPr lang="en-US" sz="1000">
              <a:latin typeface="Times New Roman" panose="02020603050405020304" pitchFamily="18" charset="0"/>
              <a:ea typeface="+mn-ea"/>
              <a:cs typeface="Times New Roman" panose="02020603050405020304" pitchFamily="18" charset="0"/>
            </a:rPr>
            <a:t>Caribbean performance in TERCE 2013. Thus, each learning point correspondes to 0.01 standard deviation units of the 2013 score. </a:t>
          </a:r>
        </a:p>
      </cdr:txBody>
    </cdr:sp>
  </cdr:relSizeAnchor>
  <cdr:relSizeAnchor xmlns:cdr="http://schemas.openxmlformats.org/drawingml/2006/chartDrawing">
    <cdr:from>
      <cdr:x>0.11033</cdr:x>
      <cdr:y>0.85455</cdr:y>
    </cdr:from>
    <cdr:to>
      <cdr:x>0.43786</cdr:x>
      <cdr:y>1</cdr:y>
    </cdr:to>
    <cdr:sp macro="" textlink="">
      <cdr:nvSpPr>
        <cdr:cNvPr id="43" name="TextBox 33">
          <a:extLst xmlns:a="http://schemas.openxmlformats.org/drawingml/2006/main">
            <a:ext uri="{FF2B5EF4-FFF2-40B4-BE49-F238E27FC236}">
              <a16:creationId xmlns:a16="http://schemas.microsoft.com/office/drawing/2014/main" id="{E8A1D9A0-6CCD-4782-9969-2385730C390C}"/>
            </a:ext>
          </a:extLst>
        </cdr:cNvPr>
        <cdr:cNvSpPr txBox="1"/>
      </cdr:nvSpPr>
      <cdr:spPr>
        <a:xfrm xmlns:a="http://schemas.openxmlformats.org/drawingml/2006/main" flipH="1">
          <a:off x="955813" y="5372100"/>
          <a:ext cx="2837622"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21.xml><?xml version="1.0" encoding="utf-8"?>
<xdr:wsDr xmlns:xdr="http://schemas.openxmlformats.org/drawingml/2006/spreadsheetDrawing" xmlns:a="http://schemas.openxmlformats.org/drawingml/2006/main">
  <xdr:twoCellAnchor>
    <xdr:from>
      <xdr:col>1</xdr:col>
      <xdr:colOff>47625</xdr:colOff>
      <xdr:row>3</xdr:row>
      <xdr:rowOff>0</xdr:rowOff>
    </xdr:from>
    <xdr:to>
      <xdr:col>13</xdr:col>
      <xdr:colOff>9525</xdr:colOff>
      <xdr:row>22</xdr:row>
      <xdr:rowOff>0</xdr:rowOff>
    </xdr:to>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123824</xdr:colOff>
      <xdr:row>3</xdr:row>
      <xdr:rowOff>23812</xdr:rowOff>
    </xdr:from>
    <xdr:to>
      <xdr:col>13</xdr:col>
      <xdr:colOff>333375</xdr:colOff>
      <xdr:row>24</xdr:row>
      <xdr:rowOff>0</xdr:rowOff>
    </xdr:to>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38100</xdr:colOff>
      <xdr:row>2</xdr:row>
      <xdr:rowOff>0</xdr:rowOff>
    </xdr:from>
    <xdr:to>
      <xdr:col>12</xdr:col>
      <xdr:colOff>0</xdr:colOff>
      <xdr:row>18</xdr:row>
      <xdr:rowOff>114299</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104774</xdr:colOff>
      <xdr:row>3</xdr:row>
      <xdr:rowOff>0</xdr:rowOff>
    </xdr:from>
    <xdr:to>
      <xdr:col>14</xdr:col>
      <xdr:colOff>28574</xdr:colOff>
      <xdr:row>23</xdr:row>
      <xdr:rowOff>57150</xdr:rowOff>
    </xdr:to>
    <xdr:graphicFrame macro="">
      <xdr:nvGraphicFramePr>
        <xdr:cNvPr id="2" name="Chart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158749</xdr:colOff>
      <xdr:row>2</xdr:row>
      <xdr:rowOff>142875</xdr:rowOff>
    </xdr:from>
    <xdr:to>
      <xdr:col>12</xdr:col>
      <xdr:colOff>295275</xdr:colOff>
      <xdr:row>25</xdr:row>
      <xdr:rowOff>136525</xdr:rowOff>
    </xdr:to>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38100</xdr:colOff>
      <xdr:row>3</xdr:row>
      <xdr:rowOff>52387</xdr:rowOff>
    </xdr:from>
    <xdr:to>
      <xdr:col>12</xdr:col>
      <xdr:colOff>552450</xdr:colOff>
      <xdr:row>23</xdr:row>
      <xdr:rowOff>123825</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28575</xdr:colOff>
      <xdr:row>3</xdr:row>
      <xdr:rowOff>19051</xdr:rowOff>
    </xdr:from>
    <xdr:to>
      <xdr:col>13</xdr:col>
      <xdr:colOff>476249</xdr:colOff>
      <xdr:row>23</xdr:row>
      <xdr:rowOff>9525</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47624</xdr:colOff>
      <xdr:row>3</xdr:row>
      <xdr:rowOff>9526</xdr:rowOff>
    </xdr:from>
    <xdr:to>
      <xdr:col>13</xdr:col>
      <xdr:colOff>581025</xdr:colOff>
      <xdr:row>24</xdr:row>
      <xdr:rowOff>38100</xdr:rowOff>
    </xdr:to>
    <xdr:graphicFrame macro="">
      <xdr:nvGraphicFramePr>
        <xdr:cNvPr id="2" name="Chart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63500</xdr:colOff>
      <xdr:row>2</xdr:row>
      <xdr:rowOff>189440</xdr:rowOff>
    </xdr:from>
    <xdr:to>
      <xdr:col>10</xdr:col>
      <xdr:colOff>582084</xdr:colOff>
      <xdr:row>26</xdr:row>
      <xdr:rowOff>148165</xdr:rowOff>
    </xdr:to>
    <xdr:graphicFrame macro="">
      <xdr:nvGraphicFramePr>
        <xdr:cNvPr id="2" name="Chart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15874</xdr:colOff>
      <xdr:row>29</xdr:row>
      <xdr:rowOff>158750</xdr:rowOff>
    </xdr:from>
    <xdr:to>
      <xdr:col>15</xdr:col>
      <xdr:colOff>571499</xdr:colOff>
      <xdr:row>61</xdr:row>
      <xdr:rowOff>127000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31749</xdr:colOff>
      <xdr:row>3</xdr:row>
      <xdr:rowOff>1586</xdr:rowOff>
    </xdr:from>
    <xdr:to>
      <xdr:col>15</xdr:col>
      <xdr:colOff>571500</xdr:colOff>
      <xdr:row>29</xdr:row>
      <xdr:rowOff>161924</xdr:rowOff>
    </xdr:to>
    <xdr:graphicFrame macro="">
      <xdr:nvGraphicFramePr>
        <xdr:cNvPr id="3" name="Chart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4</xdr:row>
      <xdr:rowOff>4762</xdr:rowOff>
    </xdr:from>
    <xdr:to>
      <xdr:col>14</xdr:col>
      <xdr:colOff>561975</xdr:colOff>
      <xdr:row>34</xdr:row>
      <xdr:rowOff>152400</xdr:rowOff>
    </xdr:to>
    <xdr:grpSp>
      <xdr:nvGrpSpPr>
        <xdr:cNvPr id="2" name="Group 1">
          <a:extLst>
            <a:ext uri="{FF2B5EF4-FFF2-40B4-BE49-F238E27FC236}">
              <a16:creationId xmlns:a16="http://schemas.microsoft.com/office/drawing/2014/main" id="{00000000-0008-0000-2100-000002000000}"/>
            </a:ext>
          </a:extLst>
        </xdr:cNvPr>
        <xdr:cNvGrpSpPr/>
      </xdr:nvGrpSpPr>
      <xdr:grpSpPr>
        <a:xfrm>
          <a:off x="403412" y="833997"/>
          <a:ext cx="8914092" cy="5750579"/>
          <a:chOff x="647700" y="557212"/>
          <a:chExt cx="6915150" cy="4433888"/>
        </a:xfrm>
      </xdr:grpSpPr>
      <xdr:graphicFrame macro="">
        <xdr:nvGraphicFramePr>
          <xdr:cNvPr id="3" name="Chart 4">
            <a:extLst>
              <a:ext uri="{FF2B5EF4-FFF2-40B4-BE49-F238E27FC236}">
                <a16:creationId xmlns:a16="http://schemas.microsoft.com/office/drawing/2014/main" id="{00000000-0008-0000-2100-000003000000}"/>
              </a:ext>
            </a:extLst>
          </xdr:cNvPr>
          <xdr:cNvGraphicFramePr>
            <a:graphicFrameLocks/>
          </xdr:cNvGraphicFramePr>
        </xdr:nvGraphicFramePr>
        <xdr:xfrm>
          <a:off x="647700" y="561372"/>
          <a:ext cx="6915150" cy="442972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4">
            <a:extLst>
              <a:ext uri="{FF2B5EF4-FFF2-40B4-BE49-F238E27FC236}">
                <a16:creationId xmlns:a16="http://schemas.microsoft.com/office/drawing/2014/main" id="{00000000-0008-0000-2100-000004000000}"/>
              </a:ext>
            </a:extLst>
          </xdr:cNvPr>
          <xdr:cNvGraphicFramePr/>
        </xdr:nvGraphicFramePr>
        <xdr:xfrm>
          <a:off x="651480" y="557212"/>
          <a:ext cx="3453795" cy="194692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Chart 4">
            <a:extLst>
              <a:ext uri="{FF2B5EF4-FFF2-40B4-BE49-F238E27FC236}">
                <a16:creationId xmlns:a16="http://schemas.microsoft.com/office/drawing/2014/main" id="{00000000-0008-0000-2100-000005000000}"/>
              </a:ext>
            </a:extLst>
          </xdr:cNvPr>
          <xdr:cNvGraphicFramePr>
            <a:graphicFrameLocks/>
          </xdr:cNvGraphicFramePr>
        </xdr:nvGraphicFramePr>
        <xdr:xfrm>
          <a:off x="647700" y="2504140"/>
          <a:ext cx="3453795" cy="1937403"/>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4">
            <a:extLst>
              <a:ext uri="{FF2B5EF4-FFF2-40B4-BE49-F238E27FC236}">
                <a16:creationId xmlns:a16="http://schemas.microsoft.com/office/drawing/2014/main" id="{00000000-0008-0000-2100-000006000000}"/>
              </a:ext>
            </a:extLst>
          </xdr:cNvPr>
          <xdr:cNvGraphicFramePr>
            <a:graphicFrameLocks/>
          </xdr:cNvGraphicFramePr>
        </xdr:nvGraphicFramePr>
        <xdr:xfrm>
          <a:off x="4105275" y="561372"/>
          <a:ext cx="3453795" cy="1946928"/>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7" name="Chart 4">
            <a:extLst>
              <a:ext uri="{FF2B5EF4-FFF2-40B4-BE49-F238E27FC236}">
                <a16:creationId xmlns:a16="http://schemas.microsoft.com/office/drawing/2014/main" id="{00000000-0008-0000-2100-000007000000}"/>
              </a:ext>
            </a:extLst>
          </xdr:cNvPr>
          <xdr:cNvGraphicFramePr>
            <a:graphicFrameLocks/>
          </xdr:cNvGraphicFramePr>
        </xdr:nvGraphicFramePr>
        <xdr:xfrm>
          <a:off x="4105275" y="2504140"/>
          <a:ext cx="3453795" cy="1937403"/>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4435</xdr:colOff>
      <xdr:row>3</xdr:row>
      <xdr:rowOff>28575</xdr:rowOff>
    </xdr:from>
    <xdr:to>
      <xdr:col>11</xdr:col>
      <xdr:colOff>942975</xdr:colOff>
      <xdr:row>27</xdr:row>
      <xdr:rowOff>0</xdr:rowOff>
    </xdr:to>
    <xdr:grpSp>
      <xdr:nvGrpSpPr>
        <xdr:cNvPr id="2" name="Group 1">
          <a:extLst>
            <a:ext uri="{FF2B5EF4-FFF2-40B4-BE49-F238E27FC236}">
              <a16:creationId xmlns:a16="http://schemas.microsoft.com/office/drawing/2014/main" id="{00000000-0008-0000-2200-000002000000}"/>
            </a:ext>
          </a:extLst>
        </xdr:cNvPr>
        <xdr:cNvGrpSpPr/>
      </xdr:nvGrpSpPr>
      <xdr:grpSpPr>
        <a:xfrm>
          <a:off x="321935" y="549275"/>
          <a:ext cx="9079240" cy="5610225"/>
          <a:chOff x="8919835" y="601008"/>
          <a:chExt cx="8358515" cy="3876675"/>
        </a:xfrm>
      </xdr:grpSpPr>
      <xdr:graphicFrame macro="">
        <xdr:nvGraphicFramePr>
          <xdr:cNvPr id="3" name="Chart 2">
            <a:extLst>
              <a:ext uri="{FF2B5EF4-FFF2-40B4-BE49-F238E27FC236}">
                <a16:creationId xmlns:a16="http://schemas.microsoft.com/office/drawing/2014/main" id="{00000000-0008-0000-2200-000003000000}"/>
              </a:ext>
            </a:extLst>
          </xdr:cNvPr>
          <xdr:cNvGraphicFramePr>
            <a:graphicFrameLocks/>
          </xdr:cNvGraphicFramePr>
        </xdr:nvGraphicFramePr>
        <xdr:xfrm>
          <a:off x="9020175" y="601008"/>
          <a:ext cx="8258175" cy="38766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a:extLst>
              <a:ext uri="{FF2B5EF4-FFF2-40B4-BE49-F238E27FC236}">
                <a16:creationId xmlns:a16="http://schemas.microsoft.com/office/drawing/2014/main" id="{00000000-0008-0000-2200-000004000000}"/>
              </a:ext>
            </a:extLst>
          </xdr:cNvPr>
          <xdr:cNvGraphicFramePr/>
        </xdr:nvGraphicFramePr>
        <xdr:xfrm>
          <a:off x="8919835" y="1096199"/>
          <a:ext cx="4257705" cy="272312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Chart 4">
            <a:extLst>
              <a:ext uri="{FF2B5EF4-FFF2-40B4-BE49-F238E27FC236}">
                <a16:creationId xmlns:a16="http://schemas.microsoft.com/office/drawing/2014/main" id="{00000000-0008-0000-2200-000005000000}"/>
              </a:ext>
            </a:extLst>
          </xdr:cNvPr>
          <xdr:cNvGraphicFramePr>
            <a:graphicFrameLocks/>
          </xdr:cNvGraphicFramePr>
        </xdr:nvGraphicFramePr>
        <xdr:xfrm>
          <a:off x="13164235" y="1091472"/>
          <a:ext cx="4000469" cy="2723128"/>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3</xdr:row>
      <xdr:rowOff>9526</xdr:rowOff>
    </xdr:from>
    <xdr:to>
      <xdr:col>12</xdr:col>
      <xdr:colOff>47625</xdr:colOff>
      <xdr:row>33</xdr:row>
      <xdr:rowOff>142875</xdr:rowOff>
    </xdr:to>
    <xdr:grpSp>
      <xdr:nvGrpSpPr>
        <xdr:cNvPr id="2" name="Group 1">
          <a:extLst>
            <a:ext uri="{FF2B5EF4-FFF2-40B4-BE49-F238E27FC236}">
              <a16:creationId xmlns:a16="http://schemas.microsoft.com/office/drawing/2014/main" id="{00000000-0008-0000-2300-000002000000}"/>
            </a:ext>
          </a:extLst>
        </xdr:cNvPr>
        <xdr:cNvGrpSpPr/>
      </xdr:nvGrpSpPr>
      <xdr:grpSpPr>
        <a:xfrm>
          <a:off x="368300" y="428626"/>
          <a:ext cx="8359775" cy="5657849"/>
          <a:chOff x="695325" y="381001"/>
          <a:chExt cx="6305550" cy="5191124"/>
        </a:xfrm>
      </xdr:grpSpPr>
      <xdr:graphicFrame macro="">
        <xdr:nvGraphicFramePr>
          <xdr:cNvPr id="3" name="Chart 2">
            <a:extLst>
              <a:ext uri="{FF2B5EF4-FFF2-40B4-BE49-F238E27FC236}">
                <a16:creationId xmlns:a16="http://schemas.microsoft.com/office/drawing/2014/main" id="{00000000-0008-0000-2300-000003000000}"/>
              </a:ext>
            </a:extLst>
          </xdr:cNvPr>
          <xdr:cNvGraphicFramePr>
            <a:graphicFrameLocks/>
          </xdr:cNvGraphicFramePr>
        </xdr:nvGraphicFramePr>
        <xdr:xfrm>
          <a:off x="695326" y="381001"/>
          <a:ext cx="6248400" cy="5191124"/>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a:extLst>
              <a:ext uri="{FF2B5EF4-FFF2-40B4-BE49-F238E27FC236}">
                <a16:creationId xmlns:a16="http://schemas.microsoft.com/office/drawing/2014/main" id="{00000000-0008-0000-2300-000004000000}"/>
              </a:ext>
            </a:extLst>
          </xdr:cNvPr>
          <xdr:cNvGraphicFramePr/>
        </xdr:nvGraphicFramePr>
        <xdr:xfrm>
          <a:off x="698851" y="859802"/>
          <a:ext cx="3149249" cy="2103749"/>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Chart 4">
            <a:extLst>
              <a:ext uri="{FF2B5EF4-FFF2-40B4-BE49-F238E27FC236}">
                <a16:creationId xmlns:a16="http://schemas.microsoft.com/office/drawing/2014/main" id="{00000000-0008-0000-2300-000005000000}"/>
              </a:ext>
            </a:extLst>
          </xdr:cNvPr>
          <xdr:cNvGraphicFramePr>
            <a:graphicFrameLocks/>
          </xdr:cNvGraphicFramePr>
        </xdr:nvGraphicFramePr>
        <xdr:xfrm>
          <a:off x="695325" y="2963551"/>
          <a:ext cx="3149249" cy="2113274"/>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a:extLst>
              <a:ext uri="{FF2B5EF4-FFF2-40B4-BE49-F238E27FC236}">
                <a16:creationId xmlns:a16="http://schemas.microsoft.com/office/drawing/2014/main" id="{00000000-0008-0000-2300-000006000000}"/>
              </a:ext>
            </a:extLst>
          </xdr:cNvPr>
          <xdr:cNvGraphicFramePr>
            <a:graphicFrameLocks/>
          </xdr:cNvGraphicFramePr>
        </xdr:nvGraphicFramePr>
        <xdr:xfrm>
          <a:off x="3851626" y="847725"/>
          <a:ext cx="3149249" cy="2103749"/>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7" name="Chart 6">
            <a:extLst>
              <a:ext uri="{FF2B5EF4-FFF2-40B4-BE49-F238E27FC236}">
                <a16:creationId xmlns:a16="http://schemas.microsoft.com/office/drawing/2014/main" id="{00000000-0008-0000-2300-000007000000}"/>
              </a:ext>
            </a:extLst>
          </xdr:cNvPr>
          <xdr:cNvGraphicFramePr>
            <a:graphicFrameLocks/>
          </xdr:cNvGraphicFramePr>
        </xdr:nvGraphicFramePr>
        <xdr:xfrm>
          <a:off x="3848100" y="2951474"/>
          <a:ext cx="3149249" cy="2113274"/>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257174</xdr:colOff>
      <xdr:row>3</xdr:row>
      <xdr:rowOff>0</xdr:rowOff>
    </xdr:from>
    <xdr:to>
      <xdr:col>12</xdr:col>
      <xdr:colOff>447675</xdr:colOff>
      <xdr:row>30</xdr:row>
      <xdr:rowOff>295275</xdr:rowOff>
    </xdr:to>
    <xdr:grpSp>
      <xdr:nvGrpSpPr>
        <xdr:cNvPr id="2" name="Group 1">
          <a:extLst>
            <a:ext uri="{FF2B5EF4-FFF2-40B4-BE49-F238E27FC236}">
              <a16:creationId xmlns:a16="http://schemas.microsoft.com/office/drawing/2014/main" id="{00000000-0008-0000-2400-000002000000}"/>
            </a:ext>
          </a:extLst>
        </xdr:cNvPr>
        <xdr:cNvGrpSpPr/>
      </xdr:nvGrpSpPr>
      <xdr:grpSpPr>
        <a:xfrm>
          <a:off x="257174" y="539750"/>
          <a:ext cx="8947151" cy="5584825"/>
          <a:chOff x="8229599" y="381000"/>
          <a:chExt cx="6867526" cy="4810125"/>
        </a:xfrm>
      </xdr:grpSpPr>
      <xdr:graphicFrame macro="">
        <xdr:nvGraphicFramePr>
          <xdr:cNvPr id="3" name="Chart 2">
            <a:extLst>
              <a:ext uri="{FF2B5EF4-FFF2-40B4-BE49-F238E27FC236}">
                <a16:creationId xmlns:a16="http://schemas.microsoft.com/office/drawing/2014/main" id="{00000000-0008-0000-2400-000003000000}"/>
              </a:ext>
            </a:extLst>
          </xdr:cNvPr>
          <xdr:cNvGraphicFramePr>
            <a:graphicFrameLocks/>
          </xdr:cNvGraphicFramePr>
        </xdr:nvGraphicFramePr>
        <xdr:xfrm>
          <a:off x="8229599" y="381000"/>
          <a:ext cx="6867526" cy="235267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a:extLst>
              <a:ext uri="{FF2B5EF4-FFF2-40B4-BE49-F238E27FC236}">
                <a16:creationId xmlns:a16="http://schemas.microsoft.com/office/drawing/2014/main" id="{00000000-0008-0000-2400-000004000000}"/>
              </a:ext>
            </a:extLst>
          </xdr:cNvPr>
          <xdr:cNvGraphicFramePr>
            <a:graphicFrameLocks/>
          </xdr:cNvGraphicFramePr>
        </xdr:nvGraphicFramePr>
        <xdr:xfrm>
          <a:off x="8229599" y="2733675"/>
          <a:ext cx="6848475" cy="245745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Chart 4">
            <a:extLst>
              <a:ext uri="{FF2B5EF4-FFF2-40B4-BE49-F238E27FC236}">
                <a16:creationId xmlns:a16="http://schemas.microsoft.com/office/drawing/2014/main" id="{00000000-0008-0000-2400-000005000000}"/>
              </a:ext>
            </a:extLst>
          </xdr:cNvPr>
          <xdr:cNvGraphicFramePr/>
        </xdr:nvGraphicFramePr>
        <xdr:xfrm>
          <a:off x="8234094" y="978357"/>
          <a:ext cx="3419475" cy="1789877"/>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a:extLst>
              <a:ext uri="{FF2B5EF4-FFF2-40B4-BE49-F238E27FC236}">
                <a16:creationId xmlns:a16="http://schemas.microsoft.com/office/drawing/2014/main" id="{00000000-0008-0000-2400-000006000000}"/>
              </a:ext>
            </a:extLst>
          </xdr:cNvPr>
          <xdr:cNvGraphicFramePr>
            <a:graphicFrameLocks/>
          </xdr:cNvGraphicFramePr>
        </xdr:nvGraphicFramePr>
        <xdr:xfrm>
          <a:off x="8229600" y="2991673"/>
          <a:ext cx="3419475" cy="1789877"/>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7" name="Chart 6">
            <a:extLst>
              <a:ext uri="{FF2B5EF4-FFF2-40B4-BE49-F238E27FC236}">
                <a16:creationId xmlns:a16="http://schemas.microsoft.com/office/drawing/2014/main" id="{00000000-0008-0000-2400-000007000000}"/>
              </a:ext>
            </a:extLst>
          </xdr:cNvPr>
          <xdr:cNvGraphicFramePr>
            <a:graphicFrameLocks/>
          </xdr:cNvGraphicFramePr>
        </xdr:nvGraphicFramePr>
        <xdr:xfrm>
          <a:off x="11649074" y="966778"/>
          <a:ext cx="3419475" cy="1789877"/>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8" name="Chart 7">
            <a:extLst>
              <a:ext uri="{FF2B5EF4-FFF2-40B4-BE49-F238E27FC236}">
                <a16:creationId xmlns:a16="http://schemas.microsoft.com/office/drawing/2014/main" id="{00000000-0008-0000-2400-000008000000}"/>
              </a:ext>
            </a:extLst>
          </xdr:cNvPr>
          <xdr:cNvGraphicFramePr>
            <a:graphicFrameLocks/>
          </xdr:cNvGraphicFramePr>
        </xdr:nvGraphicFramePr>
        <xdr:xfrm>
          <a:off x="11644582" y="2988028"/>
          <a:ext cx="3419475" cy="1789877"/>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79375</xdr:colOff>
      <xdr:row>3</xdr:row>
      <xdr:rowOff>80961</xdr:rowOff>
    </xdr:from>
    <xdr:to>
      <xdr:col>15</xdr:col>
      <xdr:colOff>571500</xdr:colOff>
      <xdr:row>34</xdr:row>
      <xdr:rowOff>111124</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39686</xdr:colOff>
      <xdr:row>2</xdr:row>
      <xdr:rowOff>178594</xdr:rowOff>
    </xdr:from>
    <xdr:to>
      <xdr:col>16</xdr:col>
      <xdr:colOff>23813</xdr:colOff>
      <xdr:row>30</xdr:row>
      <xdr:rowOff>238125</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26457</xdr:colOff>
      <xdr:row>3</xdr:row>
      <xdr:rowOff>9523</xdr:rowOff>
    </xdr:from>
    <xdr:to>
      <xdr:col>10</xdr:col>
      <xdr:colOff>95250</xdr:colOff>
      <xdr:row>21</xdr:row>
      <xdr:rowOff>57150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47622</xdr:colOff>
      <xdr:row>3</xdr:row>
      <xdr:rowOff>19050</xdr:rowOff>
    </xdr:from>
    <xdr:to>
      <xdr:col>19</xdr:col>
      <xdr:colOff>74083</xdr:colOff>
      <xdr:row>21</xdr:row>
      <xdr:rowOff>95249</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3</xdr:row>
      <xdr:rowOff>14286</xdr:rowOff>
    </xdr:from>
    <xdr:to>
      <xdr:col>8</xdr:col>
      <xdr:colOff>590549</xdr:colOff>
      <xdr:row>22</xdr:row>
      <xdr:rowOff>171449</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5441</xdr:colOff>
      <xdr:row>3</xdr:row>
      <xdr:rowOff>21770</xdr:rowOff>
    </xdr:from>
    <xdr:to>
      <xdr:col>16</xdr:col>
      <xdr:colOff>600074</xdr:colOff>
      <xdr:row>23</xdr:row>
      <xdr:rowOff>0</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23</xdr:row>
      <xdr:rowOff>33336</xdr:rowOff>
    </xdr:from>
    <xdr:to>
      <xdr:col>9</xdr:col>
      <xdr:colOff>0</xdr:colOff>
      <xdr:row>42</xdr:row>
      <xdr:rowOff>285750</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9524</xdr:colOff>
      <xdr:row>3</xdr:row>
      <xdr:rowOff>14286</xdr:rowOff>
    </xdr:from>
    <xdr:to>
      <xdr:col>8</xdr:col>
      <xdr:colOff>590549</xdr:colOff>
      <xdr:row>22</xdr:row>
      <xdr:rowOff>171449</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5441</xdr:colOff>
      <xdr:row>3</xdr:row>
      <xdr:rowOff>21770</xdr:rowOff>
    </xdr:from>
    <xdr:to>
      <xdr:col>16</xdr:col>
      <xdr:colOff>600074</xdr:colOff>
      <xdr:row>23</xdr:row>
      <xdr:rowOff>0</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9524</xdr:colOff>
      <xdr:row>3</xdr:row>
      <xdr:rowOff>14286</xdr:rowOff>
    </xdr:from>
    <xdr:to>
      <xdr:col>8</xdr:col>
      <xdr:colOff>590549</xdr:colOff>
      <xdr:row>22</xdr:row>
      <xdr:rowOff>171449</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5441</xdr:colOff>
      <xdr:row>3</xdr:row>
      <xdr:rowOff>21770</xdr:rowOff>
    </xdr:from>
    <xdr:to>
      <xdr:col>16</xdr:col>
      <xdr:colOff>600074</xdr:colOff>
      <xdr:row>23</xdr:row>
      <xdr:rowOff>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edido%20D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CT_19_agosto_2010\Costos\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carlosag/Local%20Settings/Temporary%20Internet%20Files/Content.Outlook/P5CX124Y/6.%20Costs/ICT%20costos.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OECD_EP_Part%201_sm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_Consolidado"/>
      <sheetName val="Base_Consolidado_mill"/>
      <sheetName val="Base_PE"/>
      <sheetName val="Reforma_PE"/>
      <sheetName val="México"/>
      <sheetName val="AFPCHI_penprom"/>
      <sheetName val="Base_CHI"/>
      <sheetName val="CHI_muj(65)_reforma"/>
      <sheetName val="Población"/>
      <sheetName val="pob 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Figure. 1"/>
      <sheetName val="Figure 2"/>
      <sheetName val="Figure 31"/>
      <sheetName val="Figure 41"/>
      <sheetName val="% GDP Secondary"/>
      <sheetName val="OLPC"/>
      <sheetName val="OLPCS"/>
      <sheetName val="Lab"/>
      <sheetName val="RADIO"/>
      <sheetName val="Calculations"/>
      <sheetName val="Guide"/>
      <sheetName val="Figure 1"/>
    </sheetNames>
    <sheetDataSet>
      <sheetData sheetId="0">
        <row r="8">
          <cell r="C8">
            <v>0.57615022928249837</v>
          </cell>
        </row>
      </sheetData>
      <sheetData sheetId="1"/>
      <sheetData sheetId="2"/>
      <sheetData sheetId="3"/>
      <sheetData sheetId="4"/>
      <sheetData sheetId="5"/>
      <sheetData sheetId="6">
        <row r="7">
          <cell r="BD7">
            <v>2139.105847045912</v>
          </cell>
        </row>
        <row r="58">
          <cell r="C58">
            <v>15</v>
          </cell>
        </row>
        <row r="64">
          <cell r="A64">
            <v>15</v>
          </cell>
          <cell r="B64">
            <v>16</v>
          </cell>
          <cell r="C64">
            <v>16</v>
          </cell>
        </row>
        <row r="69">
          <cell r="B69">
            <v>16</v>
          </cell>
          <cell r="C69">
            <v>16</v>
          </cell>
        </row>
      </sheetData>
      <sheetData sheetId="7">
        <row r="7">
          <cell r="BH7">
            <v>2843.5377531571962</v>
          </cell>
        </row>
        <row r="69">
          <cell r="B69">
            <v>40</v>
          </cell>
          <cell r="C69">
            <v>40</v>
          </cell>
        </row>
        <row r="74">
          <cell r="A74">
            <v>3</v>
          </cell>
          <cell r="B74">
            <v>32</v>
          </cell>
          <cell r="C74">
            <v>160</v>
          </cell>
          <cell r="D74">
            <v>160</v>
          </cell>
        </row>
      </sheetData>
      <sheetData sheetId="8">
        <row r="7">
          <cell r="BM7">
            <v>7352.5024803524921</v>
          </cell>
        </row>
        <row r="71">
          <cell r="C71">
            <v>10</v>
          </cell>
        </row>
        <row r="72">
          <cell r="C72">
            <v>2</v>
          </cell>
        </row>
      </sheetData>
      <sheetData sheetId="9"/>
      <sheetData sheetId="10">
        <row r="5">
          <cell r="B5">
            <v>300</v>
          </cell>
        </row>
        <row r="7">
          <cell r="B7" t="str">
            <v>Primary</v>
          </cell>
        </row>
        <row r="9">
          <cell r="B9" t="str">
            <v>Urban</v>
          </cell>
        </row>
        <row r="11">
          <cell r="B11" t="str">
            <v>DSL</v>
          </cell>
        </row>
        <row r="13">
          <cell r="B13">
            <v>1</v>
          </cell>
        </row>
        <row r="17">
          <cell r="B17">
            <v>6</v>
          </cell>
        </row>
        <row r="25">
          <cell r="B25">
            <v>1</v>
          </cell>
        </row>
        <row r="26">
          <cell r="B26">
            <v>4</v>
          </cell>
        </row>
        <row r="27">
          <cell r="B27">
            <v>1</v>
          </cell>
        </row>
        <row r="36">
          <cell r="B36">
            <v>0.87</v>
          </cell>
        </row>
        <row r="41">
          <cell r="B41">
            <v>1024</v>
          </cell>
        </row>
      </sheetData>
      <sheetData sheetId="11">
        <row r="30">
          <cell r="D30">
            <v>209</v>
          </cell>
          <cell r="E30">
            <v>32</v>
          </cell>
        </row>
        <row r="31">
          <cell r="D31">
            <v>500</v>
          </cell>
        </row>
        <row r="32">
          <cell r="D32">
            <v>800</v>
          </cell>
          <cell r="E32">
            <v>22</v>
          </cell>
        </row>
        <row r="33">
          <cell r="D33">
            <v>1200</v>
          </cell>
          <cell r="E33">
            <v>80</v>
          </cell>
        </row>
        <row r="35">
          <cell r="D35">
            <v>200</v>
          </cell>
          <cell r="E35">
            <v>1024</v>
          </cell>
        </row>
        <row r="36">
          <cell r="D36">
            <v>120</v>
          </cell>
          <cell r="E36">
            <v>10</v>
          </cell>
        </row>
        <row r="40">
          <cell r="D40">
            <v>120</v>
          </cell>
          <cell r="E40">
            <v>10</v>
          </cell>
        </row>
        <row r="42">
          <cell r="D42">
            <v>15</v>
          </cell>
        </row>
        <row r="43">
          <cell r="D43">
            <v>10</v>
          </cell>
        </row>
        <row r="44">
          <cell r="E44">
            <v>5</v>
          </cell>
        </row>
        <row r="45">
          <cell r="E45">
            <v>2</v>
          </cell>
        </row>
        <row r="46">
          <cell r="E46">
            <v>128</v>
          </cell>
        </row>
        <row r="47">
          <cell r="E47">
            <v>1.953125E-3</v>
          </cell>
        </row>
        <row r="48">
          <cell r="E48">
            <v>20</v>
          </cell>
        </row>
        <row r="49">
          <cell r="E49">
            <v>2</v>
          </cell>
        </row>
        <row r="53">
          <cell r="D53">
            <v>10</v>
          </cell>
        </row>
        <row r="63">
          <cell r="D63">
            <v>33.415999999999997</v>
          </cell>
          <cell r="F63">
            <v>18.635999999999996</v>
          </cell>
        </row>
        <row r="72">
          <cell r="D72">
            <v>7</v>
          </cell>
        </row>
        <row r="73">
          <cell r="D73">
            <v>6</v>
          </cell>
        </row>
        <row r="78">
          <cell r="D78">
            <v>8</v>
          </cell>
        </row>
        <row r="79">
          <cell r="D79">
            <v>9</v>
          </cell>
        </row>
        <row r="80">
          <cell r="D80">
            <v>8.6999999999999993</v>
          </cell>
        </row>
        <row r="81">
          <cell r="D81">
            <v>9.5</v>
          </cell>
        </row>
        <row r="82">
          <cell r="D82">
            <v>40</v>
          </cell>
        </row>
        <row r="83">
          <cell r="D83">
            <v>7</v>
          </cell>
        </row>
        <row r="84">
          <cell r="D84">
            <v>7.25</v>
          </cell>
        </row>
        <row r="85">
          <cell r="D85">
            <v>50</v>
          </cell>
        </row>
        <row r="87">
          <cell r="E87">
            <v>15</v>
          </cell>
        </row>
        <row r="88">
          <cell r="E88">
            <v>15</v>
          </cell>
        </row>
        <row r="89">
          <cell r="D89">
            <v>75</v>
          </cell>
        </row>
        <row r="93">
          <cell r="D93">
            <v>100</v>
          </cell>
        </row>
        <row r="94">
          <cell r="D94">
            <v>1000</v>
          </cell>
        </row>
        <row r="100">
          <cell r="D100">
            <v>0.08</v>
          </cell>
        </row>
        <row r="112">
          <cell r="D112">
            <v>35</v>
          </cell>
        </row>
        <row r="113">
          <cell r="D113">
            <v>60</v>
          </cell>
        </row>
        <row r="114">
          <cell r="D114">
            <v>800</v>
          </cell>
        </row>
      </sheetData>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Figure 1"/>
      <sheetName val="Figure 2"/>
      <sheetName val="Figure 3"/>
      <sheetName val="Figure 4"/>
      <sheetName val="% Edu Expend"/>
      <sheetName val="OLPC"/>
      <sheetName val="OLPC+"/>
      <sheetName val="Lab"/>
      <sheetName val="OLPC_paises"/>
      <sheetName val="OLPC+_paises"/>
      <sheetName val="Lab_paises"/>
      <sheetName val="Country_data"/>
      <sheetName val="Calculations"/>
      <sheetName val="Guide"/>
    </sheetNames>
    <sheetDataSet>
      <sheetData sheetId="0" refreshError="1"/>
      <sheetData sheetId="1" refreshError="1"/>
      <sheetData sheetId="2" refreshError="1"/>
      <sheetData sheetId="3" refreshError="1"/>
      <sheetData sheetId="4" refreshError="1"/>
      <sheetData sheetId="5" refreshError="1"/>
      <sheetData sheetId="6">
        <row r="68">
          <cell r="A68">
            <v>15</v>
          </cell>
          <cell r="D68">
            <v>1</v>
          </cell>
        </row>
      </sheetData>
      <sheetData sheetId="7">
        <row r="79">
          <cell r="A79">
            <v>5</v>
          </cell>
        </row>
      </sheetData>
      <sheetData sheetId="8">
        <row r="74">
          <cell r="C74">
            <v>15</v>
          </cell>
        </row>
      </sheetData>
      <sheetData sheetId="9" refreshError="1"/>
      <sheetData sheetId="10" refreshError="1"/>
      <sheetData sheetId="11" refreshError="1"/>
      <sheetData sheetId="12" refreshError="1"/>
      <sheetData sheetId="13">
        <row r="5">
          <cell r="B5">
            <v>300</v>
          </cell>
        </row>
        <row r="11">
          <cell r="B11">
            <v>24</v>
          </cell>
        </row>
        <row r="19">
          <cell r="B19">
            <v>9</v>
          </cell>
        </row>
      </sheetData>
      <sheetData sheetId="14">
        <row r="30">
          <cell r="D30">
            <v>209</v>
          </cell>
        </row>
        <row r="31">
          <cell r="E31">
            <v>46</v>
          </cell>
        </row>
        <row r="54">
          <cell r="D54">
            <v>10</v>
          </cell>
        </row>
        <row r="66">
          <cell r="D66">
            <v>0.08</v>
          </cell>
        </row>
        <row r="99">
          <cell r="D99">
            <v>24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EP_calc"/>
      <sheetName val="EP_summary"/>
      <sheetName val="Coding framework "/>
      <sheetName val="scoring"/>
      <sheetName val="lookup score"/>
      <sheetName val="weights"/>
      <sheetName val="Sheet1"/>
      <sheetName val="Sheet3"/>
      <sheetName val="Sheet4"/>
      <sheetName val="Sheet5"/>
      <sheetName val="Sheet6"/>
      <sheetName val="Sheet7"/>
    </sheetNames>
    <sheetDataSet>
      <sheetData sheetId="0" refreshError="1"/>
      <sheetData sheetId="1" refreshError="1"/>
      <sheetData sheetId="2" refreshError="1"/>
      <sheetData sheetId="3" refreshError="1"/>
      <sheetData sheetId="4" refreshError="1"/>
      <sheetData sheetId="5" refreshError="1">
        <row r="5">
          <cell r="A5">
            <v>0</v>
          </cell>
          <cell r="B5">
            <v>0</v>
          </cell>
        </row>
        <row r="6">
          <cell r="A6">
            <v>2.0001000000000002</v>
          </cell>
          <cell r="B6">
            <v>1</v>
          </cell>
        </row>
        <row r="7">
          <cell r="A7">
            <v>10</v>
          </cell>
          <cell r="B7">
            <v>2</v>
          </cell>
        </row>
        <row r="8">
          <cell r="A8">
            <v>18</v>
          </cell>
          <cell r="B8">
            <v>3</v>
          </cell>
        </row>
        <row r="9">
          <cell r="A9">
            <v>26</v>
          </cell>
          <cell r="B9">
            <v>4</v>
          </cell>
        </row>
        <row r="10">
          <cell r="A10">
            <v>35</v>
          </cell>
          <cell r="B10">
            <v>5</v>
          </cell>
        </row>
        <row r="11">
          <cell r="A11">
            <v>45</v>
          </cell>
          <cell r="B11">
            <v>6</v>
          </cell>
        </row>
        <row r="14">
          <cell r="A14">
            <v>0</v>
          </cell>
          <cell r="B14">
            <v>0</v>
          </cell>
        </row>
        <row r="15">
          <cell r="A15">
            <v>1E-4</v>
          </cell>
          <cell r="B15">
            <v>1</v>
          </cell>
        </row>
        <row r="16">
          <cell r="A16">
            <v>0.40010000000000001</v>
          </cell>
          <cell r="B16">
            <v>2</v>
          </cell>
        </row>
        <row r="17">
          <cell r="A17">
            <v>0.80010000000000003</v>
          </cell>
          <cell r="B17">
            <v>3</v>
          </cell>
        </row>
        <row r="18">
          <cell r="A18">
            <v>1.2000999999999999</v>
          </cell>
          <cell r="B18">
            <v>4</v>
          </cell>
        </row>
        <row r="19">
          <cell r="A19">
            <v>1.6</v>
          </cell>
          <cell r="B19">
            <v>5</v>
          </cell>
        </row>
        <row r="20">
          <cell r="A20">
            <v>2</v>
          </cell>
          <cell r="B20">
            <v>6</v>
          </cell>
        </row>
        <row r="23">
          <cell r="A23">
            <v>0</v>
          </cell>
          <cell r="B23">
            <v>0</v>
          </cell>
        </row>
        <row r="24">
          <cell r="A24">
            <v>1E-4</v>
          </cell>
          <cell r="B24">
            <v>1</v>
          </cell>
        </row>
        <row r="25">
          <cell r="A25">
            <v>0.75000999999999995</v>
          </cell>
          <cell r="B25">
            <v>2</v>
          </cell>
        </row>
        <row r="26">
          <cell r="A26">
            <v>1.2500100000000001</v>
          </cell>
          <cell r="B26">
            <v>3</v>
          </cell>
        </row>
        <row r="27">
          <cell r="A27">
            <v>2</v>
          </cell>
          <cell r="B27">
            <v>4</v>
          </cell>
        </row>
        <row r="28">
          <cell r="A28">
            <v>2.5</v>
          </cell>
          <cell r="B28">
            <v>5</v>
          </cell>
        </row>
        <row r="29">
          <cell r="A29">
            <v>3.5</v>
          </cell>
          <cell r="B29">
            <v>6</v>
          </cell>
        </row>
        <row r="32">
          <cell r="A32">
            <v>0</v>
          </cell>
          <cell r="B32">
            <v>0</v>
          </cell>
        </row>
        <row r="33">
          <cell r="A33">
            <v>1</v>
          </cell>
          <cell r="B33">
            <v>1</v>
          </cell>
        </row>
        <row r="34">
          <cell r="A34">
            <v>2.7500100000000001</v>
          </cell>
          <cell r="B34">
            <v>2</v>
          </cell>
        </row>
        <row r="35">
          <cell r="A35">
            <v>5</v>
          </cell>
          <cell r="B35">
            <v>3</v>
          </cell>
        </row>
        <row r="36">
          <cell r="A36">
            <v>7</v>
          </cell>
          <cell r="B36">
            <v>4</v>
          </cell>
        </row>
        <row r="37">
          <cell r="A37">
            <v>9</v>
          </cell>
          <cell r="B37">
            <v>5</v>
          </cell>
        </row>
        <row r="38">
          <cell r="A38">
            <v>11</v>
          </cell>
          <cell r="B38">
            <v>6</v>
          </cell>
        </row>
        <row r="41">
          <cell r="A41">
            <v>0</v>
          </cell>
          <cell r="B41">
            <v>0</v>
          </cell>
        </row>
        <row r="42">
          <cell r="A42">
            <v>1E-4</v>
          </cell>
          <cell r="B42">
            <v>1</v>
          </cell>
        </row>
        <row r="43">
          <cell r="A43">
            <v>0.50009999999999999</v>
          </cell>
          <cell r="B43">
            <v>2</v>
          </cell>
        </row>
        <row r="44">
          <cell r="A44">
            <v>1.0001</v>
          </cell>
          <cell r="B44">
            <v>3</v>
          </cell>
        </row>
        <row r="45">
          <cell r="A45">
            <v>1.7500100000000001</v>
          </cell>
          <cell r="B45">
            <v>4</v>
          </cell>
        </row>
        <row r="46">
          <cell r="A46">
            <v>2.5001000000000002</v>
          </cell>
          <cell r="B46">
            <v>5</v>
          </cell>
        </row>
        <row r="47">
          <cell r="A47">
            <v>3</v>
          </cell>
          <cell r="B47">
            <v>6</v>
          </cell>
        </row>
        <row r="50">
          <cell r="A50">
            <v>0</v>
          </cell>
          <cell r="B50">
            <v>0</v>
          </cell>
        </row>
        <row r="51">
          <cell r="A51">
            <v>1E-4</v>
          </cell>
          <cell r="B51">
            <v>1</v>
          </cell>
        </row>
        <row r="52">
          <cell r="A52">
            <v>0.50009999999999999</v>
          </cell>
          <cell r="B52">
            <v>2</v>
          </cell>
        </row>
        <row r="53">
          <cell r="A53">
            <v>1.0009999999999999</v>
          </cell>
          <cell r="B53">
            <v>3</v>
          </cell>
        </row>
        <row r="54">
          <cell r="A54">
            <v>2.0009999999999999</v>
          </cell>
          <cell r="B54">
            <v>4</v>
          </cell>
        </row>
        <row r="55">
          <cell r="A55">
            <v>3.0009999999999999</v>
          </cell>
          <cell r="B55">
            <v>5</v>
          </cell>
        </row>
        <row r="56">
          <cell r="A56">
            <v>4</v>
          </cell>
          <cell r="B56">
            <v>6</v>
          </cell>
        </row>
        <row r="59">
          <cell r="A59">
            <v>0</v>
          </cell>
          <cell r="B59">
            <v>0</v>
          </cell>
        </row>
        <row r="60">
          <cell r="A60">
            <v>1E-4</v>
          </cell>
          <cell r="B60">
            <v>1</v>
          </cell>
        </row>
        <row r="61">
          <cell r="A61">
            <v>3.0001000000000002</v>
          </cell>
          <cell r="B61">
            <v>2</v>
          </cell>
        </row>
        <row r="62">
          <cell r="A62">
            <v>6.0000999999999998</v>
          </cell>
          <cell r="B62">
            <v>3</v>
          </cell>
        </row>
        <row r="63">
          <cell r="A63">
            <v>10.0001</v>
          </cell>
          <cell r="B63">
            <v>4</v>
          </cell>
        </row>
        <row r="64">
          <cell r="A64">
            <v>12.0001</v>
          </cell>
          <cell r="B64">
            <v>5</v>
          </cell>
        </row>
        <row r="65">
          <cell r="A65">
            <v>18.0001</v>
          </cell>
          <cell r="B65">
            <v>6</v>
          </cell>
        </row>
        <row r="68">
          <cell r="A68">
            <v>0</v>
          </cell>
          <cell r="B68">
            <v>6</v>
          </cell>
        </row>
        <row r="69">
          <cell r="A69">
            <v>1.5</v>
          </cell>
          <cell r="B69">
            <v>5</v>
          </cell>
        </row>
        <row r="70">
          <cell r="A70">
            <v>2.5001000000000002</v>
          </cell>
          <cell r="B70">
            <v>4</v>
          </cell>
        </row>
        <row r="71">
          <cell r="A71">
            <v>5.0000999999999998</v>
          </cell>
          <cell r="B71">
            <v>3</v>
          </cell>
        </row>
        <row r="72">
          <cell r="A72">
            <v>9.0000999999999998</v>
          </cell>
          <cell r="B72">
            <v>2</v>
          </cell>
        </row>
        <row r="73">
          <cell r="A73">
            <v>12.0001</v>
          </cell>
          <cell r="B73">
            <v>1</v>
          </cell>
        </row>
        <row r="74">
          <cell r="A74">
            <v>24</v>
          </cell>
          <cell r="B74">
            <v>0</v>
          </cell>
        </row>
        <row r="77">
          <cell r="A77">
            <v>0</v>
          </cell>
          <cell r="B77">
            <v>0</v>
          </cell>
        </row>
        <row r="78">
          <cell r="A78">
            <v>3.0001000000000002</v>
          </cell>
          <cell r="B78">
            <v>1</v>
          </cell>
        </row>
        <row r="79">
          <cell r="A79">
            <v>8.0000999999999998</v>
          </cell>
          <cell r="B79">
            <v>2</v>
          </cell>
        </row>
        <row r="80">
          <cell r="A80">
            <v>12.0001</v>
          </cell>
          <cell r="B80">
            <v>3</v>
          </cell>
        </row>
        <row r="81">
          <cell r="A81">
            <v>18.0001</v>
          </cell>
          <cell r="B81">
            <v>4</v>
          </cell>
        </row>
        <row r="82">
          <cell r="A82">
            <v>24.0001</v>
          </cell>
          <cell r="B82">
            <v>5</v>
          </cell>
        </row>
        <row r="83">
          <cell r="A83">
            <v>30.0001</v>
          </cell>
          <cell r="B83">
            <v>6</v>
          </cell>
        </row>
        <row r="86">
          <cell r="A86">
            <v>0</v>
          </cell>
          <cell r="B86">
            <v>0</v>
          </cell>
        </row>
        <row r="87">
          <cell r="A87">
            <v>1E-4</v>
          </cell>
          <cell r="B87">
            <v>1</v>
          </cell>
        </row>
        <row r="88">
          <cell r="A88">
            <v>1.0001</v>
          </cell>
          <cell r="B88">
            <v>2</v>
          </cell>
        </row>
        <row r="89">
          <cell r="A89">
            <v>3.0001000000000002</v>
          </cell>
          <cell r="B89">
            <v>3</v>
          </cell>
        </row>
        <row r="90">
          <cell r="A90">
            <v>6.0000999999999998</v>
          </cell>
          <cell r="B90">
            <v>4</v>
          </cell>
        </row>
        <row r="91">
          <cell r="A91">
            <v>9.0000999999999998</v>
          </cell>
          <cell r="B91">
            <v>5</v>
          </cell>
        </row>
        <row r="92">
          <cell r="A92">
            <v>12.0001</v>
          </cell>
          <cell r="B92">
            <v>6</v>
          </cell>
        </row>
        <row r="95">
          <cell r="A95">
            <v>0</v>
          </cell>
          <cell r="B95">
            <v>6</v>
          </cell>
        </row>
        <row r="96">
          <cell r="A96">
            <v>1.5</v>
          </cell>
          <cell r="B96">
            <v>5</v>
          </cell>
        </row>
        <row r="97">
          <cell r="A97">
            <v>2</v>
          </cell>
          <cell r="B97">
            <v>4</v>
          </cell>
        </row>
        <row r="98">
          <cell r="A98">
            <v>3</v>
          </cell>
          <cell r="B98">
            <v>3</v>
          </cell>
        </row>
        <row r="99">
          <cell r="A99">
            <v>4</v>
          </cell>
          <cell r="B99">
            <v>2</v>
          </cell>
        </row>
        <row r="100">
          <cell r="A100">
            <v>5</v>
          </cell>
          <cell r="B100">
            <v>1</v>
          </cell>
        </row>
        <row r="101">
          <cell r="A101">
            <v>99</v>
          </cell>
          <cell r="B101">
            <v>0</v>
          </cell>
        </row>
        <row r="104">
          <cell r="A104">
            <v>0</v>
          </cell>
          <cell r="B104">
            <v>6</v>
          </cell>
        </row>
        <row r="105">
          <cell r="A105">
            <v>12</v>
          </cell>
          <cell r="B105">
            <v>5</v>
          </cell>
        </row>
        <row r="106">
          <cell r="A106">
            <v>18</v>
          </cell>
          <cell r="B106">
            <v>4</v>
          </cell>
        </row>
        <row r="107">
          <cell r="A107">
            <v>24</v>
          </cell>
          <cell r="B107">
            <v>3</v>
          </cell>
        </row>
        <row r="108">
          <cell r="A108">
            <v>30</v>
          </cell>
          <cell r="B108">
            <v>2</v>
          </cell>
        </row>
        <row r="109">
          <cell r="A109">
            <v>36</v>
          </cell>
          <cell r="B109">
            <v>1</v>
          </cell>
        </row>
        <row r="110">
          <cell r="A110">
            <v>200</v>
          </cell>
          <cell r="B110">
            <v>0</v>
          </cell>
        </row>
        <row r="113">
          <cell r="A113">
            <v>0</v>
          </cell>
          <cell r="B113">
            <v>6</v>
          </cell>
        </row>
        <row r="114">
          <cell r="A114">
            <v>6.0000999999999998</v>
          </cell>
          <cell r="B114">
            <v>5</v>
          </cell>
        </row>
        <row r="115">
          <cell r="A115">
            <v>12</v>
          </cell>
          <cell r="B115">
            <v>4</v>
          </cell>
        </row>
        <row r="116">
          <cell r="A116">
            <v>18</v>
          </cell>
          <cell r="B116">
            <v>3</v>
          </cell>
        </row>
        <row r="117">
          <cell r="A117">
            <v>24</v>
          </cell>
          <cell r="B117">
            <v>2</v>
          </cell>
        </row>
        <row r="118">
          <cell r="A118">
            <v>36</v>
          </cell>
          <cell r="B118">
            <v>1</v>
          </cell>
        </row>
        <row r="119">
          <cell r="A119">
            <v>99</v>
          </cell>
          <cell r="B119">
            <v>0</v>
          </cell>
        </row>
        <row r="122">
          <cell r="A122">
            <v>0</v>
          </cell>
          <cell r="B122">
            <v>0</v>
          </cell>
        </row>
        <row r="123">
          <cell r="A123">
            <v>0.01</v>
          </cell>
          <cell r="B123">
            <v>1</v>
          </cell>
        </row>
        <row r="124">
          <cell r="A124">
            <v>25</v>
          </cell>
          <cell r="B124">
            <v>2</v>
          </cell>
        </row>
        <row r="125">
          <cell r="A125">
            <v>30</v>
          </cell>
          <cell r="B125">
            <v>3</v>
          </cell>
        </row>
        <row r="126">
          <cell r="A126">
            <v>50</v>
          </cell>
          <cell r="B126">
            <v>4</v>
          </cell>
        </row>
        <row r="127">
          <cell r="A127">
            <v>70</v>
          </cell>
          <cell r="B127">
            <v>5</v>
          </cell>
        </row>
        <row r="128">
          <cell r="A128">
            <v>90</v>
          </cell>
          <cell r="B128">
            <v>6</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5.xml"/><Relationship Id="rId1" Type="http://schemas.openxmlformats.org/officeDocument/2006/relationships/printerSettings" Target="../printerSettings/printerSettings26.bin"/><Relationship Id="rId4" Type="http://schemas.openxmlformats.org/officeDocument/2006/relationships/comments" Target="../comments1.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3"/>
  <sheetViews>
    <sheetView workbookViewId="0"/>
  </sheetViews>
  <sheetFormatPr defaultColWidth="9.08984375" defaultRowHeight="14"/>
  <cols>
    <col min="1" max="1" width="9.08984375" style="482"/>
    <col min="2" max="2" width="71.36328125" style="483" customWidth="1"/>
    <col min="3" max="3" width="70.54296875" style="484" customWidth="1"/>
    <col min="4" max="16384" width="9.08984375" style="482"/>
  </cols>
  <sheetData>
    <row r="2" spans="2:5" ht="17.5">
      <c r="B2" s="486" t="s">
        <v>1226</v>
      </c>
      <c r="C2" s="486" t="s">
        <v>1226</v>
      </c>
      <c r="D2" s="480"/>
      <c r="E2" s="481"/>
    </row>
    <row r="3" spans="2:5" ht="116">
      <c r="B3" s="479" t="s">
        <v>1227</v>
      </c>
      <c r="C3" s="479" t="s">
        <v>1227</v>
      </c>
      <c r="D3" s="480"/>
      <c r="E3" s="481"/>
    </row>
    <row r="4" spans="2:5" ht="17.5">
      <c r="B4" s="483" t="s">
        <v>1228</v>
      </c>
      <c r="C4" s="483" t="s">
        <v>1230</v>
      </c>
      <c r="D4" s="480"/>
      <c r="E4" s="481"/>
    </row>
    <row r="5" spans="2:5" ht="17.5">
      <c r="B5" s="483" t="s">
        <v>1229</v>
      </c>
      <c r="C5" s="483" t="s">
        <v>1231</v>
      </c>
      <c r="D5" s="480"/>
      <c r="E5" s="481"/>
    </row>
    <row r="6" spans="2:5" ht="84">
      <c r="B6" s="483" t="s">
        <v>1216</v>
      </c>
      <c r="C6" s="483" t="s">
        <v>1217</v>
      </c>
      <c r="D6" s="480"/>
      <c r="E6" s="481"/>
    </row>
    <row r="7" spans="2:5" ht="84">
      <c r="B7" s="483" t="s">
        <v>1218</v>
      </c>
      <c r="C7" s="483" t="s">
        <v>1219</v>
      </c>
      <c r="D7" s="480"/>
      <c r="E7" s="481"/>
    </row>
    <row r="8" spans="2:5" ht="28">
      <c r="B8" s="483" t="s">
        <v>1220</v>
      </c>
      <c r="C8" s="483" t="s">
        <v>1221</v>
      </c>
      <c r="D8" s="480"/>
      <c r="E8" s="481"/>
    </row>
    <row r="9" spans="2:5" ht="56">
      <c r="B9" s="483" t="s">
        <v>1222</v>
      </c>
      <c r="C9" s="483" t="s">
        <v>1223</v>
      </c>
      <c r="D9" s="480"/>
      <c r="E9" s="481"/>
    </row>
    <row r="10" spans="2:5">
      <c r="B10" s="480"/>
    </row>
    <row r="13" spans="2:5" ht="375">
      <c r="B13" s="485" t="s">
        <v>1224</v>
      </c>
      <c r="C13" s="485" t="s">
        <v>1225</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9"/>
  <sheetViews>
    <sheetView zoomScaleNormal="100" zoomScaleSheetLayoutView="100" workbookViewId="0"/>
  </sheetViews>
  <sheetFormatPr defaultColWidth="9.1796875" defaultRowHeight="14.5"/>
  <cols>
    <col min="1" max="1" width="3.7265625" style="9" customWidth="1"/>
    <col min="2" max="10" width="9.1796875" style="9"/>
    <col min="11" max="11" width="9.453125" style="9" customWidth="1"/>
    <col min="12" max="17" width="9.1796875" style="9"/>
    <col min="18" max="18" width="3.7265625" style="9" customWidth="1"/>
    <col min="19" max="16384" width="9.1796875" style="9"/>
  </cols>
  <sheetData>
    <row r="1" spans="1:19">
      <c r="A1" s="1"/>
      <c r="B1" s="1"/>
      <c r="C1" s="1"/>
      <c r="D1" s="1"/>
      <c r="E1" s="1"/>
      <c r="F1" s="1"/>
      <c r="G1" s="1"/>
      <c r="H1" s="1"/>
      <c r="I1" s="1"/>
      <c r="J1" s="1"/>
      <c r="K1" s="1"/>
      <c r="L1" s="1"/>
      <c r="M1" s="1"/>
      <c r="N1" s="1"/>
      <c r="O1" s="1"/>
      <c r="P1" s="1"/>
      <c r="Q1" s="1"/>
      <c r="R1" s="1"/>
    </row>
    <row r="2" spans="1:19" ht="17.5">
      <c r="A2" s="1"/>
      <c r="B2" s="132" t="s">
        <v>256</v>
      </c>
      <c r="C2" s="1"/>
      <c r="D2" s="1"/>
      <c r="E2" s="1"/>
      <c r="F2" s="1"/>
      <c r="G2" s="1"/>
      <c r="H2" s="1"/>
      <c r="I2" s="134" t="str">
        <f>G33</f>
        <v>Panama</v>
      </c>
      <c r="J2" s="1"/>
      <c r="K2" s="1"/>
      <c r="L2" s="1"/>
      <c r="M2" s="1"/>
      <c r="N2" s="1"/>
      <c r="O2" s="1"/>
      <c r="P2" s="1"/>
      <c r="Q2" s="1"/>
      <c r="R2" s="1"/>
    </row>
    <row r="3" spans="1:19">
      <c r="A3" s="1"/>
      <c r="B3" s="1"/>
      <c r="C3" s="1"/>
      <c r="D3" s="1"/>
      <c r="E3" s="1"/>
      <c r="F3" s="1"/>
      <c r="G3" s="1"/>
      <c r="H3" s="1"/>
      <c r="I3" s="1"/>
      <c r="J3" s="1"/>
      <c r="K3" s="1"/>
      <c r="L3" s="1"/>
      <c r="M3" s="1"/>
      <c r="N3" s="1"/>
      <c r="O3" s="1"/>
      <c r="P3" s="1"/>
      <c r="Q3" s="1"/>
      <c r="R3" s="1"/>
      <c r="S3" s="9" t="s">
        <v>1</v>
      </c>
    </row>
    <row r="4" spans="1:19">
      <c r="A4" s="1"/>
      <c r="B4" s="1"/>
      <c r="C4" s="1"/>
      <c r="D4" s="1"/>
      <c r="E4" s="1"/>
      <c r="F4" s="1"/>
      <c r="G4" s="1"/>
      <c r="H4" s="1"/>
      <c r="I4" s="1"/>
      <c r="J4" s="1"/>
      <c r="K4" s="1"/>
      <c r="L4" s="1"/>
      <c r="M4" s="1"/>
      <c r="N4" s="1"/>
      <c r="O4" s="1"/>
      <c r="P4" s="1"/>
      <c r="Q4" s="1"/>
      <c r="R4" s="1"/>
    </row>
    <row r="5" spans="1:19">
      <c r="A5" s="1"/>
      <c r="B5" s="1"/>
      <c r="C5" s="1"/>
      <c r="D5" s="1"/>
      <c r="E5" s="1"/>
      <c r="F5" s="1"/>
      <c r="G5" s="1"/>
      <c r="H5" s="1"/>
      <c r="I5" s="1"/>
      <c r="J5" s="1"/>
      <c r="K5" s="1"/>
      <c r="L5" s="1"/>
      <c r="M5" s="1"/>
      <c r="N5" s="1"/>
      <c r="O5" s="1"/>
      <c r="P5" s="1"/>
      <c r="Q5" s="1"/>
      <c r="R5" s="1"/>
    </row>
    <row r="6" spans="1:19">
      <c r="A6" s="1"/>
      <c r="B6" s="1"/>
      <c r="C6" s="1"/>
      <c r="D6" s="1"/>
      <c r="E6" s="1"/>
      <c r="F6" s="1"/>
      <c r="G6" s="1"/>
      <c r="H6" s="1"/>
      <c r="I6" s="1"/>
      <c r="J6" s="1"/>
      <c r="K6" s="1"/>
      <c r="L6" s="1"/>
      <c r="M6" s="1"/>
      <c r="N6" s="1"/>
      <c r="O6" s="1"/>
      <c r="P6" s="1"/>
      <c r="Q6" s="1"/>
      <c r="R6" s="1"/>
    </row>
    <row r="7" spans="1:19">
      <c r="A7" s="1"/>
      <c r="B7" s="1"/>
      <c r="C7" s="1"/>
      <c r="D7" s="1"/>
      <c r="E7" s="1"/>
      <c r="F7" s="1"/>
      <c r="G7" s="1"/>
      <c r="H7" s="1"/>
      <c r="I7" s="1"/>
      <c r="J7" s="1"/>
      <c r="K7" s="1"/>
      <c r="L7" s="1"/>
      <c r="M7" s="1"/>
      <c r="N7" s="1"/>
      <c r="O7" s="1"/>
      <c r="P7" s="1"/>
      <c r="Q7" s="1"/>
      <c r="R7" s="1"/>
    </row>
    <row r="8" spans="1:19">
      <c r="A8" s="1"/>
      <c r="B8" s="1"/>
      <c r="C8" s="1"/>
      <c r="D8" s="1"/>
      <c r="E8" s="1"/>
      <c r="F8" s="1"/>
      <c r="G8" s="1"/>
      <c r="H8" s="1"/>
      <c r="I8" s="1"/>
      <c r="J8" s="1"/>
      <c r="K8" s="1"/>
      <c r="L8" s="1"/>
      <c r="M8" s="1"/>
      <c r="N8" s="1"/>
      <c r="O8" s="1"/>
      <c r="P8" s="1"/>
      <c r="Q8" s="1"/>
      <c r="R8" s="1"/>
    </row>
    <row r="9" spans="1:19">
      <c r="A9" s="1"/>
      <c r="B9" s="1"/>
      <c r="C9" s="1"/>
      <c r="D9" s="1"/>
      <c r="E9" s="1"/>
      <c r="F9" s="1"/>
      <c r="G9" s="1"/>
      <c r="H9" s="1"/>
      <c r="I9" s="1"/>
      <c r="J9" s="1"/>
      <c r="K9" s="1"/>
      <c r="L9" s="1"/>
      <c r="M9" s="1"/>
      <c r="N9" s="1"/>
      <c r="O9" s="1"/>
      <c r="P9" s="1"/>
      <c r="Q9" s="1"/>
      <c r="R9" s="1"/>
    </row>
    <row r="10" spans="1:19">
      <c r="A10" s="1"/>
      <c r="B10" s="1"/>
      <c r="C10" s="1"/>
      <c r="D10" s="1"/>
      <c r="E10" s="1"/>
      <c r="F10" s="1"/>
      <c r="G10" s="1"/>
      <c r="H10" s="1"/>
      <c r="I10" s="1"/>
      <c r="J10" s="1"/>
      <c r="K10" s="1"/>
      <c r="L10" s="1"/>
      <c r="M10" s="1"/>
      <c r="N10" s="1"/>
      <c r="O10" s="1"/>
      <c r="P10" s="1"/>
      <c r="Q10" s="1"/>
      <c r="R10" s="1"/>
    </row>
    <row r="11" spans="1:19">
      <c r="A11" s="1"/>
      <c r="B11" s="1"/>
      <c r="C11" s="1"/>
      <c r="D11" s="1"/>
      <c r="E11" s="1"/>
      <c r="F11" s="1"/>
      <c r="G11" s="1"/>
      <c r="H11" s="1"/>
      <c r="I11" s="1"/>
      <c r="J11" s="1"/>
      <c r="K11" s="1"/>
      <c r="L11" s="1"/>
      <c r="M11" s="1"/>
      <c r="N11" s="1"/>
      <c r="O11" s="1"/>
      <c r="P11" s="1"/>
      <c r="Q11" s="1"/>
      <c r="R11" s="1"/>
    </row>
    <row r="12" spans="1:19">
      <c r="A12" s="1"/>
      <c r="B12" s="1"/>
      <c r="C12" s="1"/>
      <c r="D12" s="1"/>
      <c r="E12" s="1"/>
      <c r="F12" s="1"/>
      <c r="G12" s="1"/>
      <c r="H12" s="1"/>
      <c r="I12" s="1"/>
      <c r="J12" s="1"/>
      <c r="K12" s="1"/>
      <c r="L12" s="1"/>
      <c r="M12" s="1"/>
      <c r="N12" s="1"/>
      <c r="O12" s="1"/>
      <c r="P12" s="1"/>
      <c r="Q12" s="1"/>
      <c r="R12" s="1"/>
    </row>
    <row r="13" spans="1:19">
      <c r="A13" s="1"/>
      <c r="B13" s="1"/>
      <c r="C13" s="1"/>
      <c r="D13" s="1"/>
      <c r="E13" s="1"/>
      <c r="F13" s="1"/>
      <c r="G13" s="1"/>
      <c r="H13" s="1"/>
      <c r="I13" s="1"/>
      <c r="J13" s="1"/>
      <c r="K13" s="1"/>
      <c r="L13" s="1"/>
      <c r="M13" s="1"/>
      <c r="N13" s="1"/>
      <c r="O13" s="1"/>
      <c r="P13" s="1"/>
      <c r="Q13" s="1"/>
      <c r="R13" s="1"/>
    </row>
    <row r="14" spans="1:19">
      <c r="A14" s="1"/>
      <c r="B14" s="1"/>
      <c r="C14" s="1"/>
      <c r="D14" s="1"/>
      <c r="E14" s="1"/>
      <c r="F14" s="1"/>
      <c r="G14" s="1"/>
      <c r="H14" s="1"/>
      <c r="I14" s="1"/>
      <c r="J14" s="1"/>
      <c r="K14" s="1"/>
      <c r="L14" s="1"/>
      <c r="M14" s="1"/>
      <c r="N14" s="1"/>
      <c r="O14" s="1"/>
      <c r="P14" s="1"/>
      <c r="Q14" s="1"/>
      <c r="R14" s="1"/>
    </row>
    <row r="15" spans="1:19">
      <c r="A15" s="1"/>
      <c r="B15" s="1"/>
      <c r="C15" s="1"/>
      <c r="D15" s="1"/>
      <c r="E15" s="1"/>
      <c r="F15" s="1"/>
      <c r="G15" s="1"/>
      <c r="H15" s="1"/>
      <c r="I15" s="1"/>
      <c r="J15" s="1"/>
      <c r="K15" s="1"/>
      <c r="L15" s="1"/>
      <c r="M15" s="1"/>
      <c r="N15" s="1"/>
      <c r="O15" s="1"/>
      <c r="P15" s="1"/>
      <c r="Q15" s="1"/>
      <c r="R15" s="1"/>
    </row>
    <row r="16" spans="1:19">
      <c r="A16" s="1"/>
      <c r="B16" s="1"/>
      <c r="C16" s="1"/>
      <c r="D16" s="1"/>
      <c r="E16" s="1"/>
      <c r="F16" s="1"/>
      <c r="G16" s="1"/>
      <c r="H16" s="1"/>
      <c r="I16" s="1"/>
      <c r="J16" s="1"/>
      <c r="K16" s="1"/>
      <c r="L16" s="1"/>
      <c r="M16" s="1"/>
      <c r="N16" s="1"/>
      <c r="O16" s="1"/>
      <c r="P16" s="1"/>
      <c r="Q16" s="1"/>
      <c r="R16" s="1"/>
    </row>
    <row r="17" spans="1:18">
      <c r="A17" s="1"/>
      <c r="B17" s="1"/>
      <c r="C17" s="1"/>
      <c r="D17" s="1"/>
      <c r="E17" s="1"/>
      <c r="F17" s="1"/>
      <c r="G17" s="1"/>
      <c r="H17" s="1"/>
      <c r="I17" s="1"/>
      <c r="J17" s="1"/>
      <c r="K17" s="1"/>
      <c r="L17" s="1"/>
      <c r="M17" s="1"/>
      <c r="N17" s="1"/>
      <c r="O17" s="1"/>
      <c r="P17" s="1"/>
      <c r="Q17" s="1"/>
      <c r="R17" s="1"/>
    </row>
    <row r="18" spans="1:18">
      <c r="A18" s="1"/>
      <c r="B18" s="1"/>
      <c r="C18" s="1"/>
      <c r="D18" s="1"/>
      <c r="E18" s="1"/>
      <c r="F18" s="1"/>
      <c r="G18" s="1"/>
      <c r="H18" s="1"/>
      <c r="I18" s="1"/>
      <c r="J18" s="1"/>
      <c r="K18" s="1"/>
      <c r="L18" s="1"/>
      <c r="M18" s="1"/>
      <c r="N18" s="1"/>
      <c r="O18" s="1"/>
      <c r="P18" s="1"/>
      <c r="Q18" s="1"/>
      <c r="R18" s="1"/>
    </row>
    <row r="19" spans="1:18">
      <c r="A19" s="1"/>
      <c r="B19" s="1"/>
      <c r="C19" s="1"/>
      <c r="D19" s="1"/>
      <c r="E19" s="1"/>
      <c r="F19" s="1"/>
      <c r="G19" s="1"/>
      <c r="H19" s="1"/>
      <c r="I19" s="1"/>
      <c r="J19" s="1"/>
      <c r="K19" s="1"/>
      <c r="L19" s="1"/>
      <c r="M19" s="1"/>
      <c r="N19" s="1"/>
      <c r="O19" s="1"/>
      <c r="P19" s="1"/>
      <c r="Q19" s="1"/>
      <c r="R19" s="1"/>
    </row>
    <row r="20" spans="1:18">
      <c r="A20" s="1"/>
      <c r="B20" s="1"/>
      <c r="C20" s="1"/>
      <c r="D20" s="1"/>
      <c r="E20" s="1"/>
      <c r="F20" s="1"/>
      <c r="G20" s="1"/>
      <c r="H20" s="1"/>
      <c r="I20" s="1"/>
      <c r="J20" s="1"/>
      <c r="K20" s="1"/>
      <c r="L20" s="1"/>
      <c r="M20" s="1"/>
      <c r="N20" s="1"/>
      <c r="O20" s="1"/>
      <c r="P20" s="1"/>
      <c r="Q20" s="1"/>
      <c r="R20" s="1"/>
    </row>
    <row r="21" spans="1:18">
      <c r="A21" s="1"/>
      <c r="B21" s="1"/>
      <c r="C21" s="1"/>
      <c r="D21" s="1"/>
      <c r="E21" s="1"/>
      <c r="F21" s="1"/>
      <c r="G21" s="1"/>
      <c r="H21" s="1"/>
      <c r="I21" s="1"/>
      <c r="J21" s="1"/>
      <c r="K21" s="1"/>
      <c r="L21" s="1"/>
      <c r="M21" s="1"/>
      <c r="N21" s="1"/>
      <c r="O21" s="1"/>
      <c r="P21" s="1"/>
      <c r="Q21" s="1"/>
      <c r="R21" s="1"/>
    </row>
    <row r="22" spans="1:18">
      <c r="A22" s="1"/>
      <c r="B22" s="1"/>
      <c r="C22" s="1"/>
      <c r="D22" s="1"/>
      <c r="E22" s="1"/>
      <c r="F22" s="1"/>
      <c r="G22" s="1"/>
      <c r="H22" s="1"/>
      <c r="I22" s="1"/>
      <c r="J22" s="1"/>
      <c r="K22" s="1"/>
      <c r="L22" s="1"/>
      <c r="M22" s="1"/>
      <c r="N22" s="1"/>
      <c r="O22" s="1"/>
      <c r="P22" s="1"/>
      <c r="Q22" s="1"/>
      <c r="R22" s="1"/>
    </row>
    <row r="23" spans="1:18">
      <c r="A23" s="1"/>
      <c r="B23" s="1"/>
      <c r="C23" s="1"/>
      <c r="D23" s="1"/>
      <c r="E23" s="1"/>
      <c r="F23" s="1"/>
      <c r="G23" s="1"/>
      <c r="H23" s="1"/>
      <c r="I23" s="1"/>
      <c r="J23" s="1"/>
      <c r="K23" s="1"/>
      <c r="L23" s="1"/>
      <c r="M23" s="1"/>
      <c r="N23" s="1"/>
      <c r="O23" s="1"/>
      <c r="P23" s="1"/>
      <c r="Q23" s="1"/>
      <c r="R23" s="1"/>
    </row>
    <row r="24" spans="1:18" ht="51" customHeight="1" thickBot="1">
      <c r="A24" s="84"/>
      <c r="B24" s="428" t="s">
        <v>253</v>
      </c>
      <c r="C24" s="428"/>
      <c r="D24" s="428"/>
      <c r="E24" s="428"/>
      <c r="F24" s="428"/>
      <c r="G24" s="428"/>
      <c r="H24" s="428"/>
      <c r="I24" s="428"/>
      <c r="J24" s="428"/>
      <c r="K24" s="428"/>
      <c r="L24" s="428"/>
      <c r="M24" s="428"/>
      <c r="N24" s="428"/>
      <c r="O24" s="428"/>
      <c r="P24" s="428"/>
      <c r="Q24" s="428"/>
      <c r="R24" s="84"/>
    </row>
    <row r="25" spans="1:18" ht="18.75" customHeight="1" thickTop="1">
      <c r="A25" s="1"/>
      <c r="B25" s="133"/>
      <c r="C25" s="133"/>
      <c r="D25" s="133"/>
      <c r="E25" s="133"/>
      <c r="F25" s="133"/>
      <c r="G25" s="133"/>
      <c r="H25" s="133"/>
      <c r="I25" s="133"/>
      <c r="J25" s="133"/>
      <c r="K25" s="133"/>
      <c r="L25" s="133"/>
      <c r="M25" s="133"/>
      <c r="N25" s="133"/>
      <c r="O25" s="133"/>
      <c r="P25" s="133"/>
      <c r="Q25" s="133"/>
      <c r="R25" s="1"/>
    </row>
    <row r="26" spans="1:18" ht="18.75" customHeight="1">
      <c r="A26" s="1"/>
      <c r="B26" s="133"/>
      <c r="C26" s="133"/>
      <c r="D26" s="133"/>
      <c r="E26" s="194"/>
      <c r="F26" s="433">
        <v>1995</v>
      </c>
      <c r="G26" s="430"/>
      <c r="H26" s="433">
        <v>2005</v>
      </c>
      <c r="I26" s="430"/>
      <c r="J26" s="433">
        <v>2014</v>
      </c>
      <c r="K26" s="430"/>
      <c r="L26" s="133"/>
      <c r="M26" s="133"/>
      <c r="N26" s="133"/>
      <c r="O26" s="1"/>
      <c r="P26" s="1"/>
      <c r="Q26" s="1"/>
      <c r="R26" s="1"/>
    </row>
    <row r="27" spans="1:18" ht="18.75" customHeight="1">
      <c r="A27" s="1"/>
      <c r="B27" s="133"/>
      <c r="C27" s="133"/>
      <c r="D27" s="133"/>
      <c r="E27" s="194"/>
      <c r="F27" s="191" t="s">
        <v>16</v>
      </c>
      <c r="G27" s="192" t="s">
        <v>15</v>
      </c>
      <c r="H27" s="191" t="s">
        <v>16</v>
      </c>
      <c r="I27" s="192" t="s">
        <v>15</v>
      </c>
      <c r="J27" s="191" t="s">
        <v>16</v>
      </c>
      <c r="K27" s="192" t="s">
        <v>15</v>
      </c>
      <c r="L27" s="133"/>
      <c r="M27" s="133"/>
      <c r="N27" s="133"/>
      <c r="O27" s="1"/>
      <c r="P27" s="1"/>
      <c r="Q27" s="1"/>
      <c r="R27" s="1"/>
    </row>
    <row r="28" spans="1:18" ht="18.75" customHeight="1">
      <c r="A28" s="1"/>
      <c r="B28" s="133"/>
      <c r="C28" s="133"/>
      <c r="D28" s="133" t="str">
        <f>G33</f>
        <v>Panama</v>
      </c>
      <c r="E28" s="194"/>
      <c r="F28" s="195">
        <f>E37</f>
        <v>0.70033886999999995</v>
      </c>
      <c r="G28" s="196">
        <f>F37</f>
        <v>0.66891036000000004</v>
      </c>
      <c r="H28" s="197">
        <f>E47</f>
        <v>0.72693129000000001</v>
      </c>
      <c r="I28" s="196">
        <f>F47</f>
        <v>0.81117360000000005</v>
      </c>
      <c r="J28" s="197">
        <f>E56</f>
        <v>0.66300791999999997</v>
      </c>
      <c r="K28" s="196">
        <f>F56</f>
        <v>0.69266079999999997</v>
      </c>
      <c r="L28" s="133"/>
      <c r="M28" s="133"/>
      <c r="N28" s="133"/>
      <c r="O28" s="1"/>
      <c r="P28" s="1"/>
      <c r="Q28" s="1"/>
      <c r="R28" s="1"/>
    </row>
    <row r="29" spans="1:18" ht="18.75" customHeight="1">
      <c r="A29" s="1"/>
      <c r="B29" s="133"/>
      <c r="C29" s="133"/>
      <c r="D29" s="133" t="s">
        <v>60</v>
      </c>
      <c r="E29" s="194"/>
      <c r="F29" s="195">
        <f>E62</f>
        <v>0.57084146000000002</v>
      </c>
      <c r="G29" s="196">
        <f>F62</f>
        <v>0.66326934999999998</v>
      </c>
      <c r="H29" s="197">
        <f>E72</f>
        <v>0.67288130999999995</v>
      </c>
      <c r="I29" s="196">
        <f>F72</f>
        <v>0.52484522</v>
      </c>
      <c r="J29" s="197">
        <f>E81</f>
        <v>0.66488539999999996</v>
      </c>
      <c r="K29" s="196">
        <f>F81</f>
        <v>0.53188009000000003</v>
      </c>
      <c r="L29" s="133"/>
      <c r="M29" s="133"/>
      <c r="N29" s="133"/>
      <c r="O29" s="1"/>
      <c r="P29" s="1"/>
      <c r="Q29" s="1"/>
      <c r="R29" s="1"/>
    </row>
    <row r="30" spans="1:18" ht="18.75" customHeight="1">
      <c r="A30" s="1"/>
      <c r="B30" s="133"/>
      <c r="C30" s="133"/>
      <c r="D30" s="133"/>
      <c r="E30" s="133"/>
      <c r="F30" s="133"/>
      <c r="G30" s="133"/>
      <c r="H30" s="133"/>
      <c r="I30" s="133"/>
      <c r="J30" s="133"/>
      <c r="K30" s="133"/>
      <c r="L30" s="133"/>
      <c r="M30" s="133"/>
      <c r="N30" s="133"/>
      <c r="O30" s="133"/>
      <c r="P30" s="133"/>
      <c r="Q30" s="133"/>
      <c r="R30" s="1"/>
    </row>
    <row r="33" spans="2:15" hidden="1">
      <c r="D33" s="413" t="s">
        <v>73</v>
      </c>
      <c r="E33" s="413"/>
      <c r="F33" s="413"/>
      <c r="G33" s="413" t="str">
        <f>'Country Selection'!C5</f>
        <v>Panama</v>
      </c>
      <c r="H33" s="413"/>
      <c r="I33" s="413"/>
      <c r="J33" s="413"/>
    </row>
    <row r="36" spans="2:15" ht="1" customHeight="1">
      <c r="B36" s="9" t="s">
        <v>31</v>
      </c>
      <c r="C36" s="9" t="s">
        <v>236</v>
      </c>
      <c r="D36" s="9" t="s">
        <v>17</v>
      </c>
      <c r="E36" s="9" t="s">
        <v>254</v>
      </c>
      <c r="F36" s="9" t="s">
        <v>255</v>
      </c>
      <c r="J36" s="9" t="s">
        <v>31</v>
      </c>
      <c r="K36" s="9" t="s">
        <v>236</v>
      </c>
      <c r="L36" s="9" t="s">
        <v>261</v>
      </c>
      <c r="M36" s="9">
        <v>1995</v>
      </c>
      <c r="N36" s="9">
        <v>2004</v>
      </c>
      <c r="O36" s="9">
        <v>2013</v>
      </c>
    </row>
    <row r="37" spans="2:15" ht="1" customHeight="1">
      <c r="B37" s="9" t="str">
        <f>$G$33</f>
        <v>Panama</v>
      </c>
      <c r="C37" s="9" t="str">
        <f>CONCATENATE(B37,D37)</f>
        <v>Panama1995</v>
      </c>
      <c r="D37" s="9">
        <v>1995</v>
      </c>
      <c r="E37" s="9">
        <f>VLOOKUP($C37,$C$62:$F$401,3,FALSE)</f>
        <v>0.70033886999999995</v>
      </c>
      <c r="F37" s="9">
        <f>VLOOKUP($C37,$C$62:$F$401,4,FALSE)</f>
        <v>0.66891036000000004</v>
      </c>
      <c r="J37" s="9" t="str">
        <f>$G$33</f>
        <v>Panama</v>
      </c>
      <c r="K37" s="9" t="str">
        <f>CONCATENATE(J37,L37)</f>
        <v>Panama0</v>
      </c>
      <c r="L37" s="9">
        <v>0</v>
      </c>
      <c r="M37" s="9">
        <f>VLOOKUP($K37,$K$62:$O$439,3,FALSE)</f>
        <v>0</v>
      </c>
      <c r="N37" s="9">
        <f>VLOOKUP($K37,$K$62:$O$439,4,FALSE)</f>
        <v>0</v>
      </c>
      <c r="O37" s="9">
        <f>VLOOKUP($K37,$K$62:$O$439,5,FALSE)</f>
        <v>0</v>
      </c>
    </row>
    <row r="38" spans="2:15" ht="1" customHeight="1">
      <c r="B38" s="9" t="str">
        <f t="shared" ref="B38:B56" si="0">$G$33</f>
        <v>Panama</v>
      </c>
      <c r="C38" s="9" t="str">
        <f t="shared" ref="C38:C56" si="1">CONCATENATE(B38,D38)</f>
        <v>Panama1996</v>
      </c>
      <c r="D38" s="9">
        <v>1996</v>
      </c>
      <c r="E38" s="9">
        <f t="shared" ref="E38:E56" si="2">VLOOKUP($C38,$C$62:$F$401,3,FALSE)</f>
        <v>0.67485744000000003</v>
      </c>
      <c r="F38" s="9">
        <f t="shared" ref="F38:F56" si="3">VLOOKUP($C38,$C$62:$F$401,4,FALSE)</f>
        <v>0.79046357</v>
      </c>
      <c r="J38" s="9" t="str">
        <f t="shared" ref="J38:J57" si="4">$G$33</f>
        <v>Panama</v>
      </c>
      <c r="K38" s="9" t="str">
        <f t="shared" ref="K38:K56" si="5">CONCATENATE(J38,L38)</f>
        <v>Panama1</v>
      </c>
      <c r="L38" s="9">
        <v>1</v>
      </c>
      <c r="M38" s="9">
        <f t="shared" ref="M38:M57" si="6">VLOOKUP($K38,$K$62:$O$439,3,FALSE)</f>
        <v>4.9562549999999997E-2</v>
      </c>
      <c r="N38" s="9">
        <f t="shared" ref="N38:N57" si="7">VLOOKUP($K38,$K$62:$O$439,4,FALSE)</f>
        <v>0.19586925999999999</v>
      </c>
      <c r="O38" s="9">
        <f t="shared" ref="O38:O57" si="8">VLOOKUP($K38,$K$62:$O$439,5,FALSE)</f>
        <v>0.13941761999999999</v>
      </c>
    </row>
    <row r="39" spans="2:15" ht="1" customHeight="1">
      <c r="B39" s="9" t="str">
        <f t="shared" si="0"/>
        <v>Panama</v>
      </c>
      <c r="C39" s="9" t="str">
        <f t="shared" si="1"/>
        <v>Panama1997</v>
      </c>
      <c r="D39" s="9">
        <v>1997</v>
      </c>
      <c r="E39" s="9">
        <f t="shared" si="2"/>
        <v>0.69531810999999999</v>
      </c>
      <c r="F39" s="9">
        <f t="shared" si="3"/>
        <v>0.79456769999999999</v>
      </c>
      <c r="J39" s="9" t="str">
        <f t="shared" si="4"/>
        <v>Panama</v>
      </c>
      <c r="K39" s="9" t="str">
        <f t="shared" si="5"/>
        <v>Panama2</v>
      </c>
      <c r="L39" s="9">
        <v>2</v>
      </c>
      <c r="M39" s="9">
        <f t="shared" si="6"/>
        <v>0.19565852</v>
      </c>
      <c r="N39" s="9">
        <f t="shared" si="7"/>
        <v>0.17263054999999999</v>
      </c>
      <c r="O39" s="9">
        <f t="shared" si="8"/>
        <v>0.26619439</v>
      </c>
    </row>
    <row r="40" spans="2:15" ht="1" customHeight="1">
      <c r="B40" s="9" t="str">
        <f t="shared" si="0"/>
        <v>Panama</v>
      </c>
      <c r="C40" s="9" t="str">
        <f t="shared" si="1"/>
        <v>Panama1998</v>
      </c>
      <c r="D40" s="9">
        <v>1998</v>
      </c>
      <c r="E40" s="9">
        <f t="shared" si="2"/>
        <v>0.69870703000000001</v>
      </c>
      <c r="F40" s="9">
        <f t="shared" si="3"/>
        <v>0.78807976000000002</v>
      </c>
      <c r="J40" s="9" t="str">
        <f t="shared" si="4"/>
        <v>Panama</v>
      </c>
      <c r="K40" s="9" t="str">
        <f t="shared" si="5"/>
        <v>Panama3</v>
      </c>
      <c r="L40" s="9">
        <v>3</v>
      </c>
      <c r="M40" s="9">
        <f t="shared" si="6"/>
        <v>0.17258407000000001</v>
      </c>
      <c r="N40" s="9">
        <f t="shared" si="7"/>
        <v>0.37044292000000001</v>
      </c>
      <c r="O40" s="9">
        <f t="shared" si="8"/>
        <v>0.44732265999999998</v>
      </c>
    </row>
    <row r="41" spans="2:15" ht="1" customHeight="1">
      <c r="B41" s="9" t="str">
        <f t="shared" si="0"/>
        <v>Panama</v>
      </c>
      <c r="C41" s="9" t="str">
        <f t="shared" si="1"/>
        <v>Panama1999</v>
      </c>
      <c r="D41" s="9">
        <v>1999</v>
      </c>
      <c r="E41" s="9">
        <f t="shared" si="2"/>
        <v>0.69676287999999997</v>
      </c>
      <c r="F41" s="9">
        <f t="shared" si="3"/>
        <v>0.78162313000000005</v>
      </c>
      <c r="J41" s="9" t="str">
        <f t="shared" si="4"/>
        <v>Panama</v>
      </c>
      <c r="K41" s="9" t="str">
        <f t="shared" si="5"/>
        <v>Panama4</v>
      </c>
      <c r="L41" s="9">
        <v>4</v>
      </c>
      <c r="M41" s="9">
        <f t="shared" si="6"/>
        <v>0.22223378999999999</v>
      </c>
      <c r="N41" s="9">
        <f t="shared" si="7"/>
        <v>0.41166276000000002</v>
      </c>
      <c r="O41" s="9">
        <f t="shared" si="8"/>
        <v>0.50881317000000004</v>
      </c>
    </row>
    <row r="42" spans="2:15" ht="1" customHeight="1">
      <c r="B42" s="9" t="str">
        <f t="shared" si="0"/>
        <v>Panama</v>
      </c>
      <c r="C42" s="9" t="str">
        <f t="shared" si="1"/>
        <v>Panama2000</v>
      </c>
      <c r="D42" s="9">
        <v>2000</v>
      </c>
      <c r="E42" s="9">
        <f t="shared" si="2"/>
        <v>0.72931566999999997</v>
      </c>
      <c r="F42" s="9">
        <f t="shared" si="3"/>
        <v>0.71342622</v>
      </c>
      <c r="J42" s="9" t="str">
        <f t="shared" si="4"/>
        <v>Panama</v>
      </c>
      <c r="K42" s="9" t="str">
        <f t="shared" si="5"/>
        <v>Panama5</v>
      </c>
      <c r="L42" s="9">
        <v>5</v>
      </c>
      <c r="M42" s="9">
        <f t="shared" si="6"/>
        <v>0.30348776</v>
      </c>
      <c r="N42" s="9">
        <f t="shared" si="7"/>
        <v>0.46898747000000002</v>
      </c>
      <c r="O42" s="9">
        <f t="shared" si="8"/>
        <v>0.43418119999999999</v>
      </c>
    </row>
    <row r="43" spans="2:15" ht="1" customHeight="1">
      <c r="B43" s="9" t="str">
        <f t="shared" si="0"/>
        <v>Panama</v>
      </c>
      <c r="C43" s="9" t="str">
        <f t="shared" si="1"/>
        <v>Panama2001</v>
      </c>
      <c r="D43" s="9">
        <v>2001</v>
      </c>
      <c r="E43" s="9">
        <f t="shared" si="2"/>
        <v>0.73603445000000001</v>
      </c>
      <c r="F43" s="9">
        <f t="shared" si="3"/>
        <v>0.72920339000000001</v>
      </c>
      <c r="J43" s="9" t="str">
        <f t="shared" si="4"/>
        <v>Panama</v>
      </c>
      <c r="K43" s="9" t="str">
        <f t="shared" si="5"/>
        <v>Panama6</v>
      </c>
      <c r="L43" s="9">
        <v>6</v>
      </c>
      <c r="M43" s="9">
        <f t="shared" si="6"/>
        <v>0.45128096000000001</v>
      </c>
      <c r="N43" s="9">
        <f t="shared" si="7"/>
        <v>0.72394312000000005</v>
      </c>
      <c r="O43" s="9">
        <f t="shared" si="8"/>
        <v>0.60692385000000004</v>
      </c>
    </row>
    <row r="44" spans="2:15" ht="1" customHeight="1">
      <c r="B44" s="9" t="str">
        <f t="shared" si="0"/>
        <v>Panama</v>
      </c>
      <c r="C44" s="9" t="str">
        <f t="shared" si="1"/>
        <v>Panama2002</v>
      </c>
      <c r="D44" s="9">
        <v>2002</v>
      </c>
      <c r="E44" s="9">
        <f t="shared" si="2"/>
        <v>0.79107269000000002</v>
      </c>
      <c r="F44" s="9">
        <f t="shared" si="3"/>
        <v>0.77933838</v>
      </c>
      <c r="J44" s="9" t="str">
        <f t="shared" si="4"/>
        <v>Panama</v>
      </c>
      <c r="K44" s="9" t="str">
        <f t="shared" si="5"/>
        <v>Panama7</v>
      </c>
      <c r="L44" s="9">
        <v>7</v>
      </c>
      <c r="M44" s="9">
        <f t="shared" si="6"/>
        <v>0.59170058999999997</v>
      </c>
      <c r="N44" s="9">
        <f t="shared" si="7"/>
        <v>0.91406659999999995</v>
      </c>
      <c r="O44" s="9">
        <f t="shared" si="8"/>
        <v>0.83944406999999999</v>
      </c>
    </row>
    <row r="45" spans="2:15" ht="1" customHeight="1">
      <c r="B45" s="9" t="str">
        <f t="shared" si="0"/>
        <v>Panama</v>
      </c>
      <c r="C45" s="9" t="str">
        <f t="shared" si="1"/>
        <v>Panama2003</v>
      </c>
      <c r="D45" s="9">
        <v>2003</v>
      </c>
      <c r="E45" s="9">
        <f t="shared" si="2"/>
        <v>0.72475639999999997</v>
      </c>
      <c r="F45" s="9">
        <f t="shared" si="3"/>
        <v>0.78628851</v>
      </c>
      <c r="J45" s="9" t="str">
        <f t="shared" si="4"/>
        <v>Panama</v>
      </c>
      <c r="K45" s="9" t="str">
        <f t="shared" si="5"/>
        <v>Panama8</v>
      </c>
      <c r="L45" s="9">
        <v>8</v>
      </c>
      <c r="M45" s="9">
        <f t="shared" si="6"/>
        <v>0.72525452999999995</v>
      </c>
      <c r="N45" s="9">
        <f t="shared" si="7"/>
        <v>1.0569042</v>
      </c>
      <c r="O45" s="9">
        <f t="shared" si="8"/>
        <v>0.87596784999999999</v>
      </c>
    </row>
    <row r="46" spans="2:15" ht="1" customHeight="1">
      <c r="B46" s="9" t="str">
        <f t="shared" si="0"/>
        <v>Panama</v>
      </c>
      <c r="C46" s="9" t="str">
        <f t="shared" si="1"/>
        <v>Panama2004</v>
      </c>
      <c r="D46" s="9">
        <v>2004</v>
      </c>
      <c r="E46" s="9">
        <f t="shared" si="2"/>
        <v>0.78323544</v>
      </c>
      <c r="F46" s="9">
        <f t="shared" si="3"/>
        <v>0.79297607000000003</v>
      </c>
      <c r="J46" s="9" t="str">
        <f t="shared" si="4"/>
        <v>Panama</v>
      </c>
      <c r="K46" s="9" t="str">
        <f t="shared" si="5"/>
        <v>Panama9</v>
      </c>
      <c r="L46" s="9">
        <v>9</v>
      </c>
      <c r="M46" s="9">
        <f t="shared" si="6"/>
        <v>0.75849116999999999</v>
      </c>
      <c r="N46" s="9">
        <f t="shared" si="7"/>
        <v>1.1525458</v>
      </c>
      <c r="O46" s="9">
        <f t="shared" si="8"/>
        <v>1.0696715000000001</v>
      </c>
    </row>
    <row r="47" spans="2:15" ht="1" customHeight="1">
      <c r="B47" s="9" t="str">
        <f t="shared" si="0"/>
        <v>Panama</v>
      </c>
      <c r="C47" s="9" t="str">
        <f t="shared" si="1"/>
        <v>Panama2005</v>
      </c>
      <c r="D47" s="9">
        <v>2005</v>
      </c>
      <c r="E47" s="9">
        <f t="shared" si="2"/>
        <v>0.72693129000000001</v>
      </c>
      <c r="F47" s="9">
        <f t="shared" si="3"/>
        <v>0.81117360000000005</v>
      </c>
      <c r="J47" s="9" t="str">
        <f t="shared" si="4"/>
        <v>Panama</v>
      </c>
      <c r="K47" s="9" t="str">
        <f t="shared" si="5"/>
        <v>Panama10</v>
      </c>
      <c r="L47" s="9">
        <v>10</v>
      </c>
      <c r="M47" s="9">
        <f t="shared" si="6"/>
        <v>0.79363446999999998</v>
      </c>
      <c r="N47" s="9">
        <f t="shared" si="7"/>
        <v>1.0433956</v>
      </c>
      <c r="O47" s="9">
        <f t="shared" si="8"/>
        <v>1.0226252</v>
      </c>
    </row>
    <row r="48" spans="2:15" ht="1" customHeight="1">
      <c r="B48" s="9" t="str">
        <f t="shared" si="0"/>
        <v>Panama</v>
      </c>
      <c r="C48" s="9" t="str">
        <f t="shared" si="1"/>
        <v>Panama2006</v>
      </c>
      <c r="D48" s="9">
        <v>2006</v>
      </c>
      <c r="E48" s="9">
        <f t="shared" si="2"/>
        <v>0.77731238000000002</v>
      </c>
      <c r="F48" s="9">
        <f t="shared" si="3"/>
        <v>0.81180750000000002</v>
      </c>
      <c r="J48" s="9" t="str">
        <f t="shared" si="4"/>
        <v>Panama</v>
      </c>
      <c r="K48" s="9" t="str">
        <f t="shared" si="5"/>
        <v>Panama11</v>
      </c>
      <c r="L48" s="9">
        <v>11</v>
      </c>
      <c r="M48" s="9">
        <f t="shared" si="6"/>
        <v>0.87534080000000003</v>
      </c>
      <c r="N48" s="9">
        <f t="shared" si="7"/>
        <v>1.2322447000000001</v>
      </c>
      <c r="O48" s="9">
        <f t="shared" si="8"/>
        <v>1.0665899000000001</v>
      </c>
    </row>
    <row r="49" spans="2:15" ht="1" customHeight="1">
      <c r="B49" s="9" t="str">
        <f t="shared" si="0"/>
        <v>Panama</v>
      </c>
      <c r="C49" s="9" t="str">
        <f t="shared" si="1"/>
        <v>Panama2007</v>
      </c>
      <c r="D49" s="9">
        <v>2007</v>
      </c>
      <c r="E49" s="9">
        <f t="shared" si="2"/>
        <v>0.70919200000000004</v>
      </c>
      <c r="F49" s="9">
        <f t="shared" si="3"/>
        <v>0.79986464000000002</v>
      </c>
      <c r="J49" s="9" t="str">
        <f t="shared" si="4"/>
        <v>Panama</v>
      </c>
      <c r="K49" s="9" t="str">
        <f t="shared" si="5"/>
        <v>Panama12</v>
      </c>
      <c r="L49" s="9">
        <v>12</v>
      </c>
      <c r="M49" s="9">
        <f t="shared" si="6"/>
        <v>1.1205628999999999</v>
      </c>
      <c r="N49" s="9">
        <f t="shared" si="7"/>
        <v>1.5169948</v>
      </c>
      <c r="O49" s="9">
        <f t="shared" si="8"/>
        <v>1.3331298</v>
      </c>
    </row>
    <row r="50" spans="2:15" ht="1" customHeight="1">
      <c r="B50" s="9" t="str">
        <f t="shared" si="0"/>
        <v>Panama</v>
      </c>
      <c r="C50" s="9" t="str">
        <f t="shared" si="1"/>
        <v>Panama2008</v>
      </c>
      <c r="D50" s="9">
        <v>2008</v>
      </c>
      <c r="E50" s="9">
        <f t="shared" si="2"/>
        <v>0.71765122000000003</v>
      </c>
      <c r="F50" s="9">
        <f t="shared" si="3"/>
        <v>0.78115288999999999</v>
      </c>
      <c r="J50" s="9" t="str">
        <f t="shared" si="4"/>
        <v>Panama</v>
      </c>
      <c r="K50" s="9" t="str">
        <f t="shared" si="5"/>
        <v>Panama13</v>
      </c>
      <c r="L50" s="9">
        <v>13</v>
      </c>
      <c r="M50" s="9">
        <f t="shared" si="6"/>
        <v>1.2499726</v>
      </c>
      <c r="N50" s="9">
        <f t="shared" si="7"/>
        <v>1.7173518000000001</v>
      </c>
      <c r="O50" s="9">
        <f t="shared" si="8"/>
        <v>1.4887102000000001</v>
      </c>
    </row>
    <row r="51" spans="2:15" ht="1" customHeight="1">
      <c r="B51" s="9" t="str">
        <f t="shared" si="0"/>
        <v>Panama</v>
      </c>
      <c r="C51" s="9" t="str">
        <f t="shared" si="1"/>
        <v>Panama2009</v>
      </c>
      <c r="D51" s="9">
        <v>2009</v>
      </c>
      <c r="E51" s="9">
        <f t="shared" si="2"/>
        <v>0.70653096000000004</v>
      </c>
      <c r="F51" s="9">
        <f t="shared" si="3"/>
        <v>0.77102099000000002</v>
      </c>
      <c r="J51" s="9" t="str">
        <f t="shared" si="4"/>
        <v>Panama</v>
      </c>
      <c r="K51" s="9" t="str">
        <f t="shared" si="5"/>
        <v>Panama14</v>
      </c>
      <c r="L51" s="9">
        <v>14</v>
      </c>
      <c r="M51" s="9">
        <f t="shared" si="6"/>
        <v>1.3591575</v>
      </c>
      <c r="N51" s="9">
        <f t="shared" si="7"/>
        <v>1.8249523000000001</v>
      </c>
      <c r="O51" s="9">
        <f t="shared" si="8"/>
        <v>1.5423617999999999</v>
      </c>
    </row>
    <row r="52" spans="2:15" ht="1" customHeight="1">
      <c r="B52" s="9" t="str">
        <f t="shared" si="0"/>
        <v>Panama</v>
      </c>
      <c r="C52" s="9" t="str">
        <f t="shared" si="1"/>
        <v>Panama2010</v>
      </c>
      <c r="D52" s="9">
        <v>2010</v>
      </c>
      <c r="E52" s="9">
        <f t="shared" si="2"/>
        <v>0.69075262000000004</v>
      </c>
      <c r="F52" s="9">
        <f t="shared" si="3"/>
        <v>0.77032560999999999</v>
      </c>
      <c r="J52" s="9" t="str">
        <f t="shared" si="4"/>
        <v>Panama</v>
      </c>
      <c r="K52" s="9" t="str">
        <f t="shared" si="5"/>
        <v>Panama15</v>
      </c>
      <c r="L52" s="9">
        <v>15</v>
      </c>
      <c r="M52" s="9">
        <f t="shared" si="6"/>
        <v>1.4876486</v>
      </c>
      <c r="N52" s="9">
        <f t="shared" si="7"/>
        <v>1.903618</v>
      </c>
      <c r="O52" s="9">
        <f t="shared" si="8"/>
        <v>1.6250169999999999</v>
      </c>
    </row>
    <row r="53" spans="2:15" ht="1" customHeight="1">
      <c r="B53" s="9" t="str">
        <f t="shared" si="0"/>
        <v>Panama</v>
      </c>
      <c r="C53" s="9" t="str">
        <f t="shared" si="1"/>
        <v>Panama2011</v>
      </c>
      <c r="D53" s="9">
        <v>2011</v>
      </c>
      <c r="E53" s="9">
        <f t="shared" si="2"/>
        <v>0.64842964000000003</v>
      </c>
      <c r="F53" s="9">
        <f t="shared" si="3"/>
        <v>0.69129715999999997</v>
      </c>
      <c r="J53" s="9" t="str">
        <f t="shared" si="4"/>
        <v>Panama</v>
      </c>
      <c r="K53" s="9" t="str">
        <f t="shared" si="5"/>
        <v>Panama16</v>
      </c>
      <c r="L53" s="9">
        <v>16</v>
      </c>
      <c r="M53" s="9">
        <f t="shared" si="6"/>
        <v>1.7260386999999999</v>
      </c>
      <c r="N53" s="9">
        <f t="shared" si="7"/>
        <v>2.0159981999999999</v>
      </c>
      <c r="O53" s="9">
        <f t="shared" si="8"/>
        <v>1.7063675</v>
      </c>
    </row>
    <row r="54" spans="2:15" ht="1" customHeight="1">
      <c r="B54" s="9" t="str">
        <f t="shared" si="0"/>
        <v>Panama</v>
      </c>
      <c r="C54" s="9" t="str">
        <f t="shared" si="1"/>
        <v>Panama2012</v>
      </c>
      <c r="D54" s="9">
        <v>2012</v>
      </c>
      <c r="E54" s="9">
        <f t="shared" si="2"/>
        <v>0.6708404</v>
      </c>
      <c r="F54" s="9">
        <f t="shared" si="3"/>
        <v>0.73506488000000003</v>
      </c>
      <c r="J54" s="9" t="str">
        <f t="shared" si="4"/>
        <v>Panama</v>
      </c>
      <c r="K54" s="9" t="str">
        <f t="shared" si="5"/>
        <v>Panama17</v>
      </c>
      <c r="L54" s="9">
        <v>17</v>
      </c>
      <c r="M54" s="9">
        <f t="shared" si="6"/>
        <v>1.8127726</v>
      </c>
      <c r="N54" s="9">
        <f t="shared" si="7"/>
        <v>2.2979433999999999</v>
      </c>
      <c r="O54" s="9">
        <f t="shared" si="8"/>
        <v>1.9407922</v>
      </c>
    </row>
    <row r="55" spans="2:15" ht="1" customHeight="1">
      <c r="B55" s="9" t="str">
        <f t="shared" si="0"/>
        <v>Panama</v>
      </c>
      <c r="C55" s="9" t="str">
        <f t="shared" si="1"/>
        <v>Panama2013</v>
      </c>
      <c r="D55" s="9">
        <v>2013</v>
      </c>
      <c r="E55" s="9">
        <f t="shared" si="2"/>
        <v>0.70107790999999997</v>
      </c>
      <c r="F55" s="9">
        <f t="shared" si="3"/>
        <v>0.72859569999999996</v>
      </c>
      <c r="J55" s="9" t="str">
        <f t="shared" si="4"/>
        <v>Panama</v>
      </c>
      <c r="K55" s="9" t="str">
        <f t="shared" si="5"/>
        <v>Panama18</v>
      </c>
      <c r="L55" s="9">
        <v>18</v>
      </c>
      <c r="M55" s="9">
        <f t="shared" si="6"/>
        <v>1.8425594999999999</v>
      </c>
      <c r="N55" s="9">
        <f t="shared" si="7"/>
        <v>2.3716727999999998</v>
      </c>
      <c r="O55" s="9">
        <f t="shared" si="8"/>
        <v>2.1630649000000002</v>
      </c>
    </row>
    <row r="56" spans="2:15" ht="1" customHeight="1">
      <c r="B56" s="9" t="str">
        <f t="shared" si="0"/>
        <v>Panama</v>
      </c>
      <c r="C56" s="9" t="str">
        <f t="shared" si="1"/>
        <v>Panama2014</v>
      </c>
      <c r="D56" s="9">
        <v>2014</v>
      </c>
      <c r="E56" s="9">
        <f t="shared" si="2"/>
        <v>0.66300791999999997</v>
      </c>
      <c r="F56" s="9">
        <f t="shared" si="3"/>
        <v>0.69266079999999997</v>
      </c>
      <c r="J56" s="9" t="str">
        <f t="shared" si="4"/>
        <v>Panama</v>
      </c>
      <c r="K56" s="9" t="str">
        <f t="shared" si="5"/>
        <v>Panama19</v>
      </c>
      <c r="L56" s="9">
        <v>19</v>
      </c>
      <c r="M56" s="9">
        <f t="shared" si="6"/>
        <v>2.1488656000000002</v>
      </c>
      <c r="N56" s="9">
        <f t="shared" si="7"/>
        <v>2.6063139999999998</v>
      </c>
      <c r="O56" s="9">
        <f t="shared" si="8"/>
        <v>2.4466204999999999</v>
      </c>
    </row>
    <row r="57" spans="2:15" ht="1" customHeight="1">
      <c r="J57" s="9" t="str">
        <f t="shared" si="4"/>
        <v>Panama</v>
      </c>
      <c r="K57" s="9" t="str">
        <f>CONCATENATE(J57,L57)</f>
        <v>Panama20</v>
      </c>
      <c r="L57" s="9">
        <v>20</v>
      </c>
      <c r="M57" s="9">
        <f t="shared" si="6"/>
        <v>1.9464892</v>
      </c>
      <c r="N57" s="9">
        <f t="shared" si="7"/>
        <v>2.6952972000000002</v>
      </c>
      <c r="O57" s="9">
        <f t="shared" si="8"/>
        <v>2.9782787000000002</v>
      </c>
    </row>
    <row r="58" spans="2:15" ht="1" customHeight="1"/>
    <row r="59" spans="2:15" ht="1" customHeight="1"/>
    <row r="60" spans="2:15" ht="1" customHeight="1"/>
    <row r="61" spans="2:15" ht="1" customHeight="1">
      <c r="B61" s="9" t="s">
        <v>31</v>
      </c>
      <c r="C61" s="9" t="s">
        <v>236</v>
      </c>
      <c r="D61" s="9" t="s">
        <v>17</v>
      </c>
      <c r="E61" s="9" t="s">
        <v>254</v>
      </c>
      <c r="F61" s="9" t="s">
        <v>255</v>
      </c>
      <c r="J61" s="9" t="s">
        <v>31</v>
      </c>
      <c r="K61" s="9" t="s">
        <v>236</v>
      </c>
      <c r="L61" s="9" t="s">
        <v>257</v>
      </c>
      <c r="M61" s="9" t="s">
        <v>258</v>
      </c>
      <c r="N61" s="9" t="s">
        <v>259</v>
      </c>
      <c r="O61" s="9" t="s">
        <v>260</v>
      </c>
    </row>
    <row r="62" spans="2:15" ht="1" customHeight="1">
      <c r="B62" s="9" t="s">
        <v>20</v>
      </c>
      <c r="C62" s="9" t="str">
        <f>CONCATENATE(B62,D62)</f>
        <v>Latin America and the Caribbean1995</v>
      </c>
      <c r="D62" s="9">
        <v>1995</v>
      </c>
      <c r="E62" s="9">
        <v>0.57084146000000002</v>
      </c>
      <c r="F62" s="9">
        <v>0.66326934999999998</v>
      </c>
      <c r="J62" s="9" t="s">
        <v>20</v>
      </c>
      <c r="K62" s="9" t="str">
        <f>CONCATENATE(J62,L62)</f>
        <v>Latin America and the Caribbean0</v>
      </c>
      <c r="L62" s="9">
        <v>0</v>
      </c>
      <c r="M62" s="9">
        <v>0</v>
      </c>
      <c r="N62" s="9">
        <v>0</v>
      </c>
      <c r="O62" s="9">
        <v>0</v>
      </c>
    </row>
    <row r="63" spans="2:15" ht="1" customHeight="1">
      <c r="B63" s="9" t="s">
        <v>20</v>
      </c>
      <c r="C63" s="9" t="str">
        <f t="shared" ref="C63:C101" si="9">CONCATENATE(B63,D63)</f>
        <v>Latin America and the Caribbean1996</v>
      </c>
      <c r="D63" s="9">
        <v>1996</v>
      </c>
      <c r="E63" s="9">
        <v>0.56125250000000004</v>
      </c>
      <c r="F63" s="9">
        <v>0.65935681000000002</v>
      </c>
      <c r="J63" s="9" t="s">
        <v>20</v>
      </c>
      <c r="K63" s="9" t="str">
        <f t="shared" ref="K63:K126" si="10">CONCATENATE(J63,L63)</f>
        <v>Latin America and the Caribbean1</v>
      </c>
      <c r="L63" s="9">
        <v>1</v>
      </c>
      <c r="M63" s="9">
        <v>0.16492292</v>
      </c>
      <c r="N63" s="9">
        <v>0.10050994000000001</v>
      </c>
      <c r="O63" s="9">
        <v>7.9459050000000003E-2</v>
      </c>
    </row>
    <row r="64" spans="2:15" ht="1" customHeight="1">
      <c r="B64" s="9" t="s">
        <v>20</v>
      </c>
      <c r="C64" s="9" t="str">
        <f t="shared" si="9"/>
        <v>Latin America and the Caribbean1997</v>
      </c>
      <c r="D64" s="9">
        <v>1997</v>
      </c>
      <c r="E64" s="9">
        <v>0.60873001000000004</v>
      </c>
      <c r="F64" s="9">
        <v>0.67718676</v>
      </c>
      <c r="J64" s="9" t="s">
        <v>20</v>
      </c>
      <c r="K64" s="9" t="str">
        <f t="shared" si="10"/>
        <v>Latin America and the Caribbean2</v>
      </c>
      <c r="L64" s="9">
        <v>2</v>
      </c>
      <c r="M64" s="9">
        <v>0.24125704000000001</v>
      </c>
      <c r="N64" s="9">
        <v>0.23090804000000001</v>
      </c>
      <c r="O64" s="9">
        <v>0.10245016</v>
      </c>
    </row>
    <row r="65" spans="2:15" ht="1" customHeight="1">
      <c r="B65" s="9" t="s">
        <v>20</v>
      </c>
      <c r="C65" s="9" t="str">
        <f t="shared" si="9"/>
        <v>Latin America and the Caribbean1998</v>
      </c>
      <c r="D65" s="9">
        <v>1998</v>
      </c>
      <c r="E65" s="9">
        <v>0.60951995999999997</v>
      </c>
      <c r="F65" s="9">
        <v>0.76281840999999995</v>
      </c>
      <c r="J65" s="9" t="s">
        <v>20</v>
      </c>
      <c r="K65" s="9" t="str">
        <f t="shared" si="10"/>
        <v>Latin America and the Caribbean3</v>
      </c>
      <c r="L65" s="9">
        <v>3</v>
      </c>
      <c r="M65" s="9">
        <v>0.38081626000000002</v>
      </c>
      <c r="N65" s="9">
        <v>0.31024165999999997</v>
      </c>
      <c r="O65" s="9">
        <v>0.18187987999999999</v>
      </c>
    </row>
    <row r="66" spans="2:15" ht="1" customHeight="1">
      <c r="B66" s="9" t="s">
        <v>20</v>
      </c>
      <c r="C66" s="9" t="str">
        <f t="shared" si="9"/>
        <v>Latin America and the Caribbean1999</v>
      </c>
      <c r="D66" s="9">
        <v>1999</v>
      </c>
      <c r="E66" s="9">
        <v>0.64857023000000003</v>
      </c>
      <c r="F66" s="9">
        <v>0.63536831999999999</v>
      </c>
      <c r="J66" s="9" t="s">
        <v>20</v>
      </c>
      <c r="K66" s="9" t="str">
        <f t="shared" si="10"/>
        <v>Latin America and the Caribbean4</v>
      </c>
      <c r="L66" s="9">
        <v>4</v>
      </c>
      <c r="M66" s="9">
        <v>0.53794357999999998</v>
      </c>
      <c r="N66" s="9">
        <v>0.45400742999999999</v>
      </c>
      <c r="O66" s="9">
        <v>0.32821929999999999</v>
      </c>
    </row>
    <row r="67" spans="2:15" ht="1" customHeight="1">
      <c r="B67" s="9" t="s">
        <v>20</v>
      </c>
      <c r="C67" s="9" t="str">
        <f t="shared" si="9"/>
        <v>Latin America and the Caribbean2000</v>
      </c>
      <c r="D67" s="9">
        <v>2000</v>
      </c>
      <c r="E67" s="9">
        <v>0.64956345999999998</v>
      </c>
      <c r="F67" s="9">
        <v>0.62662965999999998</v>
      </c>
      <c r="J67" s="9" t="s">
        <v>20</v>
      </c>
      <c r="K67" s="9" t="str">
        <f t="shared" si="10"/>
        <v>Latin America and the Caribbean5</v>
      </c>
      <c r="L67" s="9">
        <v>5</v>
      </c>
      <c r="M67" s="9">
        <v>0.61242812999999996</v>
      </c>
      <c r="N67" s="9">
        <v>0.51212844000000002</v>
      </c>
      <c r="O67" s="9">
        <v>0.41248832000000002</v>
      </c>
    </row>
    <row r="68" spans="2:15" ht="1" customHeight="1">
      <c r="B68" s="9" t="s">
        <v>20</v>
      </c>
      <c r="C68" s="9" t="str">
        <f t="shared" si="9"/>
        <v>Latin America and the Caribbean2001</v>
      </c>
      <c r="D68" s="9">
        <v>2001</v>
      </c>
      <c r="E68" s="9">
        <v>0.70243191999999999</v>
      </c>
      <c r="F68" s="9">
        <v>0.63873058999999999</v>
      </c>
      <c r="J68" s="9" t="s">
        <v>20</v>
      </c>
      <c r="K68" s="9" t="str">
        <f t="shared" si="10"/>
        <v>Latin America and the Caribbean6</v>
      </c>
      <c r="L68" s="9">
        <v>6</v>
      </c>
      <c r="M68" s="9">
        <v>0.72878686999999998</v>
      </c>
      <c r="N68" s="9">
        <v>0.62031451000000004</v>
      </c>
      <c r="O68" s="9">
        <v>0.43916080000000002</v>
      </c>
    </row>
    <row r="69" spans="2:15" ht="1" customHeight="1">
      <c r="B69" s="9" t="s">
        <v>20</v>
      </c>
      <c r="C69" s="9" t="str">
        <f t="shared" si="9"/>
        <v>Latin America and the Caribbean2002</v>
      </c>
      <c r="D69" s="9">
        <v>2002</v>
      </c>
      <c r="E69" s="9">
        <v>0.72016296999999996</v>
      </c>
      <c r="F69" s="9">
        <v>0.63033702000000003</v>
      </c>
      <c r="J69" s="9" t="s">
        <v>20</v>
      </c>
      <c r="K69" s="9" t="str">
        <f t="shared" si="10"/>
        <v>Latin America and the Caribbean7</v>
      </c>
      <c r="L69" s="9">
        <v>7</v>
      </c>
      <c r="M69" s="9">
        <v>0.84630358000000006</v>
      </c>
      <c r="N69" s="9">
        <v>0.70661194999999999</v>
      </c>
      <c r="O69" s="9">
        <v>0.59550172999999995</v>
      </c>
    </row>
    <row r="70" spans="2:15" ht="1" customHeight="1">
      <c r="B70" s="9" t="s">
        <v>20</v>
      </c>
      <c r="C70" s="9" t="str">
        <f t="shared" si="9"/>
        <v>Latin America and the Caribbean2003</v>
      </c>
      <c r="D70" s="9">
        <v>2003</v>
      </c>
      <c r="E70" s="9">
        <v>0.67719868000000005</v>
      </c>
      <c r="F70" s="9">
        <v>0.59333007000000004</v>
      </c>
      <c r="J70" s="9" t="s">
        <v>20</v>
      </c>
      <c r="K70" s="9" t="str">
        <f t="shared" si="10"/>
        <v>Latin America and the Caribbean8</v>
      </c>
      <c r="L70" s="9">
        <v>8</v>
      </c>
      <c r="M70" s="9">
        <v>0.93823813</v>
      </c>
      <c r="N70" s="9">
        <v>0.77162801000000003</v>
      </c>
      <c r="O70" s="9">
        <v>0.63451329000000001</v>
      </c>
    </row>
    <row r="71" spans="2:15" ht="1" customHeight="1">
      <c r="B71" s="9" t="s">
        <v>20</v>
      </c>
      <c r="C71" s="9" t="str">
        <f t="shared" si="9"/>
        <v>Latin America and the Caribbean2004</v>
      </c>
      <c r="D71" s="9">
        <v>2004</v>
      </c>
      <c r="E71" s="9">
        <v>0.68500647000000003</v>
      </c>
      <c r="F71" s="9">
        <v>0.56962270999999998</v>
      </c>
      <c r="J71" s="9" t="s">
        <v>20</v>
      </c>
      <c r="K71" s="9" t="str">
        <f t="shared" si="10"/>
        <v>Latin America and the Caribbean9</v>
      </c>
      <c r="L71" s="9">
        <v>9</v>
      </c>
      <c r="M71" s="9">
        <v>1.0079564999999999</v>
      </c>
      <c r="N71" s="9">
        <v>0.89592320999999997</v>
      </c>
      <c r="O71" s="9">
        <v>0.71539173</v>
      </c>
    </row>
    <row r="72" spans="2:15" ht="1" customHeight="1">
      <c r="B72" s="9" t="s">
        <v>20</v>
      </c>
      <c r="C72" s="9" t="str">
        <f t="shared" si="9"/>
        <v>Latin America and the Caribbean2005</v>
      </c>
      <c r="D72" s="9">
        <v>2005</v>
      </c>
      <c r="E72" s="9">
        <v>0.67288130999999995</v>
      </c>
      <c r="F72" s="9">
        <v>0.52484522</v>
      </c>
      <c r="J72" s="9" t="s">
        <v>20</v>
      </c>
      <c r="K72" s="9" t="str">
        <f t="shared" si="10"/>
        <v>Latin America and the Caribbean10</v>
      </c>
      <c r="L72" s="9">
        <v>10</v>
      </c>
      <c r="M72" s="9">
        <v>1.0576459</v>
      </c>
      <c r="N72" s="9">
        <v>0.87164390999999997</v>
      </c>
      <c r="O72" s="9">
        <v>0.70487266000000004</v>
      </c>
    </row>
    <row r="73" spans="2:15" ht="1" customHeight="1">
      <c r="B73" s="9" t="s">
        <v>20</v>
      </c>
      <c r="C73" s="9" t="str">
        <f t="shared" si="9"/>
        <v>Latin America and the Caribbean2006</v>
      </c>
      <c r="D73" s="9">
        <v>2006</v>
      </c>
      <c r="E73" s="9">
        <v>0.69424017999999998</v>
      </c>
      <c r="F73" s="9">
        <v>0.52705413000000001</v>
      </c>
      <c r="J73" s="9" t="s">
        <v>20</v>
      </c>
      <c r="K73" s="9" t="str">
        <f t="shared" si="10"/>
        <v>Latin America and the Caribbean11</v>
      </c>
      <c r="L73" s="9">
        <v>11</v>
      </c>
      <c r="M73" s="9">
        <v>1.272437</v>
      </c>
      <c r="N73" s="9">
        <v>1.0968716999999999</v>
      </c>
      <c r="O73" s="9">
        <v>0.86069848000000004</v>
      </c>
    </row>
    <row r="74" spans="2:15" ht="1" customHeight="1">
      <c r="B74" s="9" t="s">
        <v>20</v>
      </c>
      <c r="C74" s="9" t="str">
        <f t="shared" si="9"/>
        <v>Latin America and the Caribbean2007</v>
      </c>
      <c r="D74" s="9">
        <v>2007</v>
      </c>
      <c r="E74" s="9">
        <v>0.67500221000000005</v>
      </c>
      <c r="F74" s="9">
        <v>0.52351930999999996</v>
      </c>
      <c r="J74" s="9" t="s">
        <v>20</v>
      </c>
      <c r="K74" s="9" t="str">
        <f t="shared" si="10"/>
        <v>Latin America and the Caribbean12</v>
      </c>
      <c r="L74" s="9">
        <v>12</v>
      </c>
      <c r="M74" s="9">
        <v>1.3993883</v>
      </c>
      <c r="N74" s="9">
        <v>1.2275615</v>
      </c>
      <c r="O74" s="9">
        <v>1.0130865</v>
      </c>
    </row>
    <row r="75" spans="2:15" ht="1" customHeight="1">
      <c r="B75" s="9" t="s">
        <v>20</v>
      </c>
      <c r="C75" s="9" t="str">
        <f t="shared" si="9"/>
        <v>Latin America and the Caribbean2008</v>
      </c>
      <c r="D75" s="9">
        <v>2008</v>
      </c>
      <c r="E75" s="9">
        <v>0.68019817999999999</v>
      </c>
      <c r="F75" s="9">
        <v>0.51563862999999999</v>
      </c>
      <c r="J75" s="9" t="s">
        <v>20</v>
      </c>
      <c r="K75" s="9" t="str">
        <f t="shared" si="10"/>
        <v>Latin America and the Caribbean13</v>
      </c>
      <c r="L75" s="9">
        <v>13</v>
      </c>
      <c r="M75" s="9">
        <v>1.5222926999999999</v>
      </c>
      <c r="N75" s="9">
        <v>1.3932005000000001</v>
      </c>
      <c r="O75" s="9">
        <v>1.1396101999999999</v>
      </c>
    </row>
    <row r="76" spans="2:15" ht="1" customHeight="1">
      <c r="B76" s="9" t="s">
        <v>20</v>
      </c>
      <c r="C76" s="9" t="str">
        <f t="shared" si="9"/>
        <v>Latin America and the Caribbean2009</v>
      </c>
      <c r="D76" s="9">
        <v>2009</v>
      </c>
      <c r="E76" s="9">
        <v>0.66200811999999998</v>
      </c>
      <c r="F76" s="9">
        <v>0.50404059999999995</v>
      </c>
      <c r="J76" s="9" t="s">
        <v>20</v>
      </c>
      <c r="K76" s="9" t="str">
        <f t="shared" si="10"/>
        <v>Latin America and the Caribbean14</v>
      </c>
      <c r="L76" s="9">
        <v>14</v>
      </c>
      <c r="M76" s="9">
        <v>1.6396624</v>
      </c>
      <c r="N76" s="9">
        <v>1.4482995999999999</v>
      </c>
      <c r="O76" s="9">
        <v>1.2784012</v>
      </c>
    </row>
    <row r="77" spans="2:15" ht="1" customHeight="1">
      <c r="B77" s="9" t="s">
        <v>20</v>
      </c>
      <c r="C77" s="9" t="str">
        <f t="shared" si="9"/>
        <v>Latin America and the Caribbean2010</v>
      </c>
      <c r="D77" s="9">
        <v>2010</v>
      </c>
      <c r="E77" s="9">
        <v>0.65075351999999997</v>
      </c>
      <c r="F77" s="9">
        <v>0.48861332000000002</v>
      </c>
      <c r="J77" s="9" t="s">
        <v>20</v>
      </c>
      <c r="K77" s="9" t="str">
        <f t="shared" si="10"/>
        <v>Latin America and the Caribbean15</v>
      </c>
      <c r="L77" s="9">
        <v>15</v>
      </c>
      <c r="M77" s="9">
        <v>1.8322126000000001</v>
      </c>
      <c r="N77" s="9">
        <v>1.6488970999999999</v>
      </c>
      <c r="O77" s="9">
        <v>1.4117033999999999</v>
      </c>
    </row>
    <row r="78" spans="2:15" ht="1" customHeight="1">
      <c r="B78" s="9" t="s">
        <v>20</v>
      </c>
      <c r="C78" s="9" t="str">
        <f t="shared" si="9"/>
        <v>Latin America and the Caribbean2011</v>
      </c>
      <c r="D78" s="9">
        <v>2011</v>
      </c>
      <c r="E78" s="9">
        <v>0.64218392000000002</v>
      </c>
      <c r="F78" s="9">
        <v>0.51530324999999999</v>
      </c>
      <c r="J78" s="9" t="s">
        <v>20</v>
      </c>
      <c r="K78" s="9" t="str">
        <f t="shared" si="10"/>
        <v>Latin America and the Caribbean16</v>
      </c>
      <c r="L78" s="9">
        <v>16</v>
      </c>
      <c r="M78" s="9">
        <v>1.9316232</v>
      </c>
      <c r="N78" s="9">
        <v>1.8224823999999999</v>
      </c>
      <c r="O78" s="9">
        <v>1.6038562999999999</v>
      </c>
    </row>
    <row r="79" spans="2:15" ht="1" customHeight="1">
      <c r="B79" s="9" t="s">
        <v>20</v>
      </c>
      <c r="C79" s="9" t="str">
        <f t="shared" si="9"/>
        <v>Latin America and the Caribbean2012</v>
      </c>
      <c r="D79" s="9">
        <v>2012</v>
      </c>
      <c r="E79" s="9">
        <v>0.65626172999999999</v>
      </c>
      <c r="F79" s="9">
        <v>0.51453702999999995</v>
      </c>
      <c r="J79" s="9" t="s">
        <v>20</v>
      </c>
      <c r="K79" s="9" t="str">
        <f t="shared" si="10"/>
        <v>Latin America and the Caribbean17</v>
      </c>
      <c r="L79" s="9">
        <v>17</v>
      </c>
      <c r="M79" s="9">
        <v>1.9952999</v>
      </c>
      <c r="N79" s="9">
        <v>1.8708933000000001</v>
      </c>
      <c r="O79" s="9">
        <v>1.6390043000000001</v>
      </c>
    </row>
    <row r="80" spans="2:15" ht="1" customHeight="1">
      <c r="B80" s="9" t="s">
        <v>20</v>
      </c>
      <c r="C80" s="9" t="str">
        <f t="shared" si="9"/>
        <v>Latin America and the Caribbean2013</v>
      </c>
      <c r="D80" s="9">
        <v>2013</v>
      </c>
      <c r="E80" s="9">
        <v>0.66160456999999995</v>
      </c>
      <c r="F80" s="9">
        <v>0.52029857999999995</v>
      </c>
      <c r="J80" s="9" t="s">
        <v>20</v>
      </c>
      <c r="K80" s="9" t="str">
        <f t="shared" si="10"/>
        <v>Latin America and the Caribbean18</v>
      </c>
      <c r="L80" s="9">
        <v>18</v>
      </c>
      <c r="M80" s="9">
        <v>2.1094780000000002</v>
      </c>
      <c r="N80" s="9">
        <v>2.1443555000000001</v>
      </c>
      <c r="O80" s="9">
        <v>1.8786463</v>
      </c>
    </row>
    <row r="81" spans="2:15" ht="1" customHeight="1">
      <c r="B81" s="9" t="s">
        <v>20</v>
      </c>
      <c r="C81" s="9" t="str">
        <f t="shared" si="9"/>
        <v>Latin America and the Caribbean2014</v>
      </c>
      <c r="D81" s="9">
        <v>2014</v>
      </c>
      <c r="E81" s="9">
        <v>0.66488539999999996</v>
      </c>
      <c r="F81" s="9">
        <v>0.53188009000000003</v>
      </c>
      <c r="J81" s="9" t="s">
        <v>20</v>
      </c>
      <c r="K81" s="9" t="str">
        <f t="shared" si="10"/>
        <v>Latin America and the Caribbean19</v>
      </c>
      <c r="L81" s="9">
        <v>19</v>
      </c>
      <c r="M81" s="9">
        <v>2.3021349</v>
      </c>
      <c r="N81" s="9">
        <v>2.3190347999999998</v>
      </c>
      <c r="O81" s="9">
        <v>2.0414327000000001</v>
      </c>
    </row>
    <row r="82" spans="2:15" ht="1" customHeight="1">
      <c r="B82" s="9" t="s">
        <v>36</v>
      </c>
      <c r="C82" s="9" t="str">
        <f>CONCATENATE(B82,D82)</f>
        <v>Argentina1995</v>
      </c>
      <c r="D82" s="9">
        <v>1995</v>
      </c>
      <c r="E82" s="9">
        <v>0.53709174999999998</v>
      </c>
      <c r="F82" s="9">
        <v>0.47867536999999999</v>
      </c>
      <c r="J82" s="9" t="s">
        <v>20</v>
      </c>
      <c r="K82" s="9" t="str">
        <f t="shared" si="10"/>
        <v>Latin America and the Caribbean20</v>
      </c>
      <c r="L82" s="9">
        <v>20</v>
      </c>
      <c r="N82" s="9">
        <v>2.3229242999999999</v>
      </c>
      <c r="O82" s="9">
        <v>2.0353865</v>
      </c>
    </row>
    <row r="83" spans="2:15" ht="1" customHeight="1">
      <c r="B83" s="9" t="s">
        <v>36</v>
      </c>
      <c r="C83" s="9" t="str">
        <f t="shared" si="9"/>
        <v>Argentina1996</v>
      </c>
      <c r="D83" s="9">
        <v>1996</v>
      </c>
      <c r="E83" s="9">
        <v>0.58569581999999998</v>
      </c>
      <c r="F83" s="9">
        <v>0.47335644999999998</v>
      </c>
      <c r="J83" s="9" t="s">
        <v>36</v>
      </c>
      <c r="K83" s="9" t="str">
        <f t="shared" si="10"/>
        <v>Argentina0</v>
      </c>
      <c r="L83" s="9">
        <v>0</v>
      </c>
      <c r="M83" s="9">
        <v>0</v>
      </c>
      <c r="N83" s="9">
        <v>0</v>
      </c>
      <c r="O83" s="9">
        <v>0</v>
      </c>
    </row>
    <row r="84" spans="2:15" ht="1" customHeight="1">
      <c r="B84" s="9" t="s">
        <v>36</v>
      </c>
      <c r="C84" s="9" t="str">
        <f t="shared" si="9"/>
        <v>Argentina1997</v>
      </c>
      <c r="D84" s="9">
        <v>1997</v>
      </c>
      <c r="E84" s="9">
        <v>0.57274906999999997</v>
      </c>
      <c r="F84" s="9">
        <v>0.65627310999999999</v>
      </c>
      <c r="J84" s="9" t="s">
        <v>36</v>
      </c>
      <c r="K84" s="9" t="str">
        <f t="shared" si="10"/>
        <v>Argentina1</v>
      </c>
      <c r="L84" s="9">
        <v>1</v>
      </c>
      <c r="M84" s="9">
        <v>-8.5652800000000001E-2</v>
      </c>
      <c r="N84" s="9">
        <v>-0.29941429000000003</v>
      </c>
      <c r="O84" s="9">
        <v>-0.21925089</v>
      </c>
    </row>
    <row r="85" spans="2:15" ht="1" customHeight="1">
      <c r="B85" s="9" t="s">
        <v>36</v>
      </c>
      <c r="C85" s="9" t="str">
        <f t="shared" si="9"/>
        <v>Argentina1998</v>
      </c>
      <c r="D85" s="9">
        <v>1998</v>
      </c>
      <c r="E85" s="9">
        <v>0.59651896000000004</v>
      </c>
      <c r="F85" s="9">
        <v>0.60882926000000004</v>
      </c>
      <c r="J85" s="9" t="s">
        <v>36</v>
      </c>
      <c r="K85" s="9" t="str">
        <f t="shared" si="10"/>
        <v>Argentina2</v>
      </c>
      <c r="L85" s="9">
        <v>2</v>
      </c>
      <c r="M85" s="9">
        <v>0.13619474000000001</v>
      </c>
      <c r="N85" s="9">
        <v>2.9917199999999998E-3</v>
      </c>
      <c r="O85" s="9">
        <v>-9.1577989999999998E-2</v>
      </c>
    </row>
    <row r="86" spans="2:15" ht="1" customHeight="1">
      <c r="B86" s="9" t="s">
        <v>36</v>
      </c>
      <c r="C86" s="9" t="str">
        <f t="shared" si="9"/>
        <v>Argentina1999</v>
      </c>
      <c r="D86" s="9">
        <v>1999</v>
      </c>
      <c r="E86" s="9">
        <v>0.55380370000000001</v>
      </c>
      <c r="F86" s="9">
        <v>0.56528723999999997</v>
      </c>
      <c r="J86" s="9" t="s">
        <v>36</v>
      </c>
      <c r="K86" s="9" t="str">
        <f t="shared" si="10"/>
        <v>Argentina3</v>
      </c>
      <c r="L86" s="9">
        <v>3</v>
      </c>
      <c r="M86" s="9">
        <v>0.10666388</v>
      </c>
      <c r="N86" s="9">
        <v>2.2436419999999999E-2</v>
      </c>
      <c r="O86" s="9">
        <v>-1.9479799999999999E-2</v>
      </c>
    </row>
    <row r="87" spans="2:15" ht="1" customHeight="1">
      <c r="B87" s="9" t="s">
        <v>36</v>
      </c>
      <c r="C87" s="9" t="str">
        <f t="shared" si="9"/>
        <v>Argentina2000</v>
      </c>
      <c r="D87" s="9">
        <v>2000</v>
      </c>
      <c r="E87" s="9">
        <v>0.61357651999999996</v>
      </c>
      <c r="F87" s="9">
        <v>0.75769240999999998</v>
      </c>
      <c r="J87" s="9" t="s">
        <v>36</v>
      </c>
      <c r="K87" s="9" t="str">
        <f t="shared" si="10"/>
        <v>Argentina4</v>
      </c>
      <c r="L87" s="9">
        <v>4</v>
      </c>
      <c r="M87" s="9">
        <v>7.6119419999999993E-2</v>
      </c>
      <c r="N87" s="9">
        <v>-4.691505E-2</v>
      </c>
      <c r="O87" s="9">
        <v>0.12415771</v>
      </c>
    </row>
    <row r="88" spans="2:15" ht="1" customHeight="1">
      <c r="B88" s="9" t="s">
        <v>36</v>
      </c>
      <c r="C88" s="9" t="str">
        <f t="shared" si="9"/>
        <v>Argentina2001</v>
      </c>
      <c r="D88" s="9">
        <v>2001</v>
      </c>
      <c r="E88" s="9">
        <v>0.57540535999999998</v>
      </c>
      <c r="F88" s="9">
        <v>0.64581652000000001</v>
      </c>
      <c r="J88" s="9" t="s">
        <v>36</v>
      </c>
      <c r="K88" s="9" t="str">
        <f t="shared" si="10"/>
        <v>Argentina5</v>
      </c>
      <c r="L88" s="9">
        <v>5</v>
      </c>
      <c r="M88" s="9">
        <v>0.20548895</v>
      </c>
      <c r="N88" s="9">
        <v>4.4148020000000003E-2</v>
      </c>
      <c r="O88" s="9">
        <v>5.1331750000000002E-2</v>
      </c>
    </row>
    <row r="89" spans="2:15" ht="1" customHeight="1">
      <c r="B89" s="9" t="s">
        <v>36</v>
      </c>
      <c r="C89" s="9" t="str">
        <f t="shared" si="9"/>
        <v>Argentina2002</v>
      </c>
      <c r="D89" s="9">
        <v>2002</v>
      </c>
      <c r="E89" s="9">
        <v>0.63706669000000005</v>
      </c>
      <c r="F89" s="9">
        <v>0.73649735999999999</v>
      </c>
      <c r="J89" s="9" t="s">
        <v>36</v>
      </c>
      <c r="K89" s="9" t="str">
        <f t="shared" si="10"/>
        <v>Argentina6</v>
      </c>
      <c r="L89" s="9">
        <v>6</v>
      </c>
      <c r="M89" s="9">
        <v>0.27969755000000002</v>
      </c>
      <c r="N89" s="9">
        <v>0.16086420000000001</v>
      </c>
      <c r="O89" s="9">
        <v>0.10173968999999999</v>
      </c>
    </row>
    <row r="90" spans="2:15" ht="1" customHeight="1">
      <c r="B90" s="9" t="s">
        <v>36</v>
      </c>
      <c r="C90" s="9" t="str">
        <f t="shared" si="9"/>
        <v>Argentina2003</v>
      </c>
      <c r="D90" s="9">
        <v>2003</v>
      </c>
      <c r="E90" s="9">
        <v>0.42841811000000002</v>
      </c>
      <c r="F90" s="9">
        <v>0.68637756999999999</v>
      </c>
      <c r="J90" s="9" t="s">
        <v>36</v>
      </c>
      <c r="K90" s="9" t="str">
        <f t="shared" si="10"/>
        <v>Argentina7</v>
      </c>
      <c r="L90" s="9">
        <v>7</v>
      </c>
      <c r="M90" s="9">
        <v>0.34078089</v>
      </c>
      <c r="N90" s="9">
        <v>0.26469519000000002</v>
      </c>
      <c r="O90" s="9">
        <v>0.25508640999999999</v>
      </c>
    </row>
    <row r="91" spans="2:15" ht="1" customHeight="1">
      <c r="B91" s="9" t="s">
        <v>36</v>
      </c>
      <c r="C91" s="9" t="str">
        <f t="shared" si="9"/>
        <v>Argentina2004</v>
      </c>
      <c r="D91" s="9">
        <v>2004</v>
      </c>
      <c r="E91" s="9">
        <v>0.52105500000000005</v>
      </c>
      <c r="F91" s="9">
        <v>0.55313692000000003</v>
      </c>
      <c r="J91" s="9" t="s">
        <v>36</v>
      </c>
      <c r="K91" s="9" t="str">
        <f t="shared" si="10"/>
        <v>Argentina8</v>
      </c>
      <c r="L91" s="9">
        <v>8</v>
      </c>
      <c r="M91" s="9">
        <v>0.46419435999999997</v>
      </c>
      <c r="N91" s="9">
        <v>0.33972837</v>
      </c>
      <c r="O91" s="9">
        <v>0.34904884000000003</v>
      </c>
    </row>
    <row r="92" spans="2:15" ht="1" customHeight="1">
      <c r="B92" s="9" t="s">
        <v>36</v>
      </c>
      <c r="C92" s="9" t="str">
        <f t="shared" si="9"/>
        <v>Argentina2005</v>
      </c>
      <c r="D92" s="9">
        <v>2005</v>
      </c>
      <c r="E92" s="9">
        <v>0.51799611000000001</v>
      </c>
      <c r="F92" s="9">
        <v>0.63462076999999995</v>
      </c>
      <c r="J92" s="9" t="s">
        <v>36</v>
      </c>
      <c r="K92" s="9" t="str">
        <f t="shared" si="10"/>
        <v>Argentina9</v>
      </c>
      <c r="L92" s="9">
        <v>9</v>
      </c>
      <c r="M92" s="9">
        <v>0.49111547999999999</v>
      </c>
      <c r="N92" s="9">
        <v>0.41280850000000002</v>
      </c>
      <c r="O92" s="9">
        <v>0.33211220000000002</v>
      </c>
    </row>
    <row r="93" spans="2:15" ht="1" customHeight="1">
      <c r="B93" s="9" t="s">
        <v>36</v>
      </c>
      <c r="C93" s="9" t="str">
        <f t="shared" si="9"/>
        <v>Argentina2006</v>
      </c>
      <c r="D93" s="9">
        <v>2006</v>
      </c>
      <c r="E93" s="9">
        <v>0.52418337999999998</v>
      </c>
      <c r="F93" s="9">
        <v>0.70177376999999996</v>
      </c>
      <c r="J93" s="9" t="s">
        <v>36</v>
      </c>
      <c r="K93" s="9" t="str">
        <f t="shared" si="10"/>
        <v>Argentina10</v>
      </c>
      <c r="L93" s="9">
        <v>10</v>
      </c>
      <c r="M93" s="9">
        <v>0.57390019000000003</v>
      </c>
      <c r="N93" s="9">
        <v>0.44616908</v>
      </c>
      <c r="O93" s="9">
        <v>0.39044526000000002</v>
      </c>
    </row>
    <row r="94" spans="2:15" ht="1" customHeight="1">
      <c r="B94" s="9" t="s">
        <v>36</v>
      </c>
      <c r="C94" s="9" t="str">
        <f t="shared" si="9"/>
        <v>Argentina2007</v>
      </c>
      <c r="D94" s="9">
        <v>2007</v>
      </c>
      <c r="E94" s="9">
        <v>0.45325219</v>
      </c>
      <c r="F94" s="9">
        <v>0.61436590000000002</v>
      </c>
      <c r="J94" s="9" t="s">
        <v>36</v>
      </c>
      <c r="K94" s="9" t="str">
        <f t="shared" si="10"/>
        <v>Argentina11</v>
      </c>
      <c r="L94" s="9">
        <v>11</v>
      </c>
      <c r="M94" s="9">
        <v>0.59791483000000001</v>
      </c>
      <c r="N94" s="9">
        <v>0.46712732000000001</v>
      </c>
      <c r="O94" s="9">
        <v>0.3809266</v>
      </c>
    </row>
    <row r="95" spans="2:15" ht="1" customHeight="1">
      <c r="B95" s="9" t="s">
        <v>36</v>
      </c>
      <c r="C95" s="9" t="str">
        <f t="shared" si="9"/>
        <v>Argentina2008</v>
      </c>
      <c r="D95" s="9">
        <v>2008</v>
      </c>
      <c r="E95" s="9">
        <v>0.45811457999999999</v>
      </c>
      <c r="F95" s="9">
        <v>0.57437621000000005</v>
      </c>
      <c r="J95" s="9" t="s">
        <v>36</v>
      </c>
      <c r="K95" s="9" t="str">
        <f t="shared" si="10"/>
        <v>Argentina12</v>
      </c>
      <c r="L95" s="9">
        <v>12</v>
      </c>
      <c r="M95" s="9">
        <v>0.75931285999999998</v>
      </c>
      <c r="N95" s="9">
        <v>0.71299453000000002</v>
      </c>
      <c r="O95" s="9">
        <v>0.58405647000000005</v>
      </c>
    </row>
    <row r="96" spans="2:15" ht="1" customHeight="1">
      <c r="B96" s="9" t="s">
        <v>36</v>
      </c>
      <c r="C96" s="9" t="str">
        <f t="shared" si="9"/>
        <v>Argentina2009</v>
      </c>
      <c r="D96" s="9">
        <v>2009</v>
      </c>
      <c r="E96" s="9">
        <v>0.49001419000000002</v>
      </c>
      <c r="F96" s="9">
        <v>0.63595385000000004</v>
      </c>
      <c r="J96" s="9" t="s">
        <v>36</v>
      </c>
      <c r="K96" s="9" t="str">
        <f t="shared" si="10"/>
        <v>Argentina13</v>
      </c>
      <c r="L96" s="9">
        <v>13</v>
      </c>
      <c r="M96" s="9">
        <v>0.83590363999999995</v>
      </c>
      <c r="N96" s="9">
        <v>0.82419072999999998</v>
      </c>
      <c r="O96" s="9">
        <v>0.59433413000000002</v>
      </c>
    </row>
    <row r="97" spans="2:15" ht="1" customHeight="1">
      <c r="B97" s="9" t="s">
        <v>36</v>
      </c>
      <c r="C97" s="9" t="str">
        <f t="shared" si="9"/>
        <v>Argentina2010</v>
      </c>
      <c r="D97" s="9">
        <v>2010</v>
      </c>
      <c r="E97" s="9">
        <v>0.46114577000000001</v>
      </c>
      <c r="F97" s="9">
        <v>0.58445429999999998</v>
      </c>
      <c r="J97" s="9" t="s">
        <v>36</v>
      </c>
      <c r="K97" s="9" t="str">
        <f t="shared" si="10"/>
        <v>Argentina14</v>
      </c>
      <c r="L97" s="9">
        <v>14</v>
      </c>
      <c r="M97" s="9">
        <v>0.85434387000000001</v>
      </c>
      <c r="N97" s="9">
        <v>0.87782537999999999</v>
      </c>
      <c r="O97" s="9">
        <v>0.69098559000000004</v>
      </c>
    </row>
    <row r="98" spans="2:15" ht="1" customHeight="1">
      <c r="B98" s="9" t="s">
        <v>36</v>
      </c>
      <c r="C98" s="9" t="str">
        <f t="shared" si="9"/>
        <v>Argentina2011</v>
      </c>
      <c r="D98" s="9">
        <v>2011</v>
      </c>
      <c r="E98" s="9">
        <v>0.45541904</v>
      </c>
      <c r="F98" s="9">
        <v>0.63477680000000003</v>
      </c>
      <c r="J98" s="9" t="s">
        <v>36</v>
      </c>
      <c r="K98" s="9" t="str">
        <f t="shared" si="10"/>
        <v>Argentina15</v>
      </c>
      <c r="L98" s="9">
        <v>15</v>
      </c>
      <c r="M98" s="9">
        <v>0.87915491999999995</v>
      </c>
      <c r="N98" s="9">
        <v>0.96955161999999995</v>
      </c>
      <c r="O98" s="9">
        <v>0.74196607000000003</v>
      </c>
    </row>
    <row r="99" spans="2:15" ht="1" customHeight="1">
      <c r="B99" s="9" t="s">
        <v>36</v>
      </c>
      <c r="C99" s="9" t="str">
        <f t="shared" si="9"/>
        <v>Argentina2012</v>
      </c>
      <c r="D99" s="9">
        <v>2012</v>
      </c>
      <c r="E99" s="9">
        <v>0.41519998000000002</v>
      </c>
      <c r="F99" s="9">
        <v>0.44846074000000002</v>
      </c>
      <c r="J99" s="9" t="s">
        <v>36</v>
      </c>
      <c r="K99" s="9" t="str">
        <f t="shared" si="10"/>
        <v>Argentina16</v>
      </c>
      <c r="L99" s="9">
        <v>16</v>
      </c>
      <c r="M99" s="9">
        <v>1.0595456999999999</v>
      </c>
      <c r="N99" s="9">
        <v>0.96043056999999998</v>
      </c>
      <c r="O99" s="9">
        <v>0.80414390999999996</v>
      </c>
    </row>
    <row r="100" spans="2:15" ht="1" customHeight="1">
      <c r="B100" s="9" t="s">
        <v>36</v>
      </c>
      <c r="C100" s="9" t="str">
        <f t="shared" si="9"/>
        <v>Argentina2013</v>
      </c>
      <c r="D100" s="9">
        <v>2013</v>
      </c>
      <c r="E100" s="9">
        <v>0.42922419000000001</v>
      </c>
      <c r="F100" s="9">
        <v>0.48317600999999999</v>
      </c>
      <c r="J100" s="9" t="s">
        <v>36</v>
      </c>
      <c r="K100" s="9" t="str">
        <f t="shared" si="10"/>
        <v>Argentina17</v>
      </c>
      <c r="L100" s="9">
        <v>17</v>
      </c>
      <c r="M100" s="9">
        <v>1.3319395000000001</v>
      </c>
      <c r="N100" s="9">
        <v>1.2443006000000001</v>
      </c>
      <c r="O100" s="9">
        <v>1.0112489</v>
      </c>
    </row>
    <row r="101" spans="2:15" ht="1" customHeight="1">
      <c r="B101" s="9" t="s">
        <v>36</v>
      </c>
      <c r="C101" s="9" t="str">
        <f t="shared" si="9"/>
        <v>Argentina2014</v>
      </c>
      <c r="D101" s="9">
        <v>2014</v>
      </c>
      <c r="E101" s="9">
        <v>0.45925965000000002</v>
      </c>
      <c r="F101" s="9">
        <v>0.39527656999999999</v>
      </c>
      <c r="J101" s="9" t="s">
        <v>36</v>
      </c>
      <c r="K101" s="9" t="str">
        <f t="shared" si="10"/>
        <v>Argentina18</v>
      </c>
      <c r="L101" s="9">
        <v>18</v>
      </c>
      <c r="N101" s="9">
        <v>1.2795865</v>
      </c>
      <c r="O101" s="9">
        <v>1.0266227999999999</v>
      </c>
    </row>
    <row r="102" spans="2:15" ht="1" customHeight="1">
      <c r="B102" s="9" t="s">
        <v>39</v>
      </c>
      <c r="C102" s="9" t="str">
        <f>CONCATENATE(B102,D102)</f>
        <v>Bolivia1995</v>
      </c>
      <c r="D102" s="9">
        <v>1995</v>
      </c>
      <c r="E102" s="9">
        <v>0.47808877</v>
      </c>
      <c r="F102" s="9">
        <v>0.18380210999999999</v>
      </c>
      <c r="J102" s="9" t="s">
        <v>36</v>
      </c>
      <c r="K102" s="9" t="str">
        <f t="shared" si="10"/>
        <v>Argentina19</v>
      </c>
      <c r="L102" s="9">
        <v>19</v>
      </c>
      <c r="N102" s="9">
        <v>1.7061759000000001</v>
      </c>
      <c r="O102" s="9">
        <v>1.3319675</v>
      </c>
    </row>
    <row r="103" spans="2:15" ht="1" customHeight="1">
      <c r="B103" s="9" t="s">
        <v>39</v>
      </c>
      <c r="C103" s="9" t="str">
        <f t="shared" ref="C103:C121" si="11">CONCATENATE(B103,D103)</f>
        <v>Bolivia1996</v>
      </c>
      <c r="D103" s="9">
        <v>1996</v>
      </c>
      <c r="E103" s="9">
        <v>0.46550158000000003</v>
      </c>
      <c r="F103" s="9">
        <v>0.17927077</v>
      </c>
      <c r="J103" s="9" t="s">
        <v>36</v>
      </c>
      <c r="K103" s="9" t="str">
        <f t="shared" si="10"/>
        <v>Argentina20</v>
      </c>
      <c r="L103" s="9">
        <v>20</v>
      </c>
      <c r="N103" s="9">
        <v>1.1868110000000001</v>
      </c>
      <c r="O103" s="9">
        <v>1.1575001</v>
      </c>
    </row>
    <row r="104" spans="2:15" ht="1" customHeight="1">
      <c r="B104" s="9" t="s">
        <v>39</v>
      </c>
      <c r="C104" s="9" t="str">
        <f t="shared" si="11"/>
        <v>Bolivia1997</v>
      </c>
      <c r="D104" s="9">
        <v>1997</v>
      </c>
      <c r="E104" s="9">
        <v>0.49487052999999998</v>
      </c>
      <c r="F104" s="9">
        <v>0.15910469999999999</v>
      </c>
      <c r="J104" s="9" t="s">
        <v>39</v>
      </c>
      <c r="K104" s="9" t="str">
        <f t="shared" si="10"/>
        <v>Bolivia0</v>
      </c>
      <c r="L104" s="9">
        <v>0</v>
      </c>
      <c r="M104" s="9">
        <v>0</v>
      </c>
      <c r="N104" s="9">
        <v>0</v>
      </c>
      <c r="O104" s="9">
        <v>0</v>
      </c>
    </row>
    <row r="105" spans="2:15" ht="1" customHeight="1">
      <c r="B105" s="9" t="s">
        <v>39</v>
      </c>
      <c r="C105" s="9" t="str">
        <f t="shared" si="11"/>
        <v>Bolivia1998</v>
      </c>
      <c r="D105" s="9">
        <v>1998</v>
      </c>
      <c r="E105" s="9">
        <v>0.47610074000000002</v>
      </c>
      <c r="F105" s="9">
        <v>0.26520832999999999</v>
      </c>
      <c r="J105" s="9" t="s">
        <v>39</v>
      </c>
      <c r="K105" s="9" t="str">
        <f t="shared" si="10"/>
        <v>Bolivia1</v>
      </c>
      <c r="L105" s="9">
        <v>1</v>
      </c>
      <c r="M105" s="9">
        <v>-7.9315670000000005E-2</v>
      </c>
      <c r="N105" s="9">
        <v>-3.3026850000000003E-2</v>
      </c>
      <c r="O105" s="9">
        <v>0.10438968999999999</v>
      </c>
    </row>
    <row r="106" spans="2:15" ht="1" customHeight="1">
      <c r="B106" s="9" t="s">
        <v>39</v>
      </c>
      <c r="C106" s="9" t="str">
        <f t="shared" si="11"/>
        <v>Bolivia1999</v>
      </c>
      <c r="D106" s="9">
        <v>1999</v>
      </c>
      <c r="E106" s="9">
        <v>0.47610074000000002</v>
      </c>
      <c r="F106" s="9">
        <v>0.26520832999999999</v>
      </c>
      <c r="J106" s="9" t="s">
        <v>39</v>
      </c>
      <c r="K106" s="9" t="str">
        <f t="shared" si="10"/>
        <v>Bolivia2</v>
      </c>
      <c r="L106" s="9">
        <v>2</v>
      </c>
      <c r="M106" s="9">
        <v>0.14433883</v>
      </c>
      <c r="N106" s="9">
        <v>0.13197476</v>
      </c>
      <c r="O106" s="9">
        <v>0.1038386</v>
      </c>
    </row>
    <row r="107" spans="2:15" ht="1" customHeight="1">
      <c r="B107" s="9" t="s">
        <v>39</v>
      </c>
      <c r="C107" s="9" t="str">
        <f t="shared" si="11"/>
        <v>Bolivia2000</v>
      </c>
      <c r="D107" s="9">
        <v>2000</v>
      </c>
      <c r="E107" s="9">
        <v>0.74869684999999997</v>
      </c>
      <c r="F107" s="9">
        <v>0.19142526000000001</v>
      </c>
      <c r="J107" s="9" t="s">
        <v>39</v>
      </c>
      <c r="K107" s="9" t="str">
        <f t="shared" si="10"/>
        <v>Bolivia3</v>
      </c>
      <c r="L107" s="9">
        <v>3</v>
      </c>
      <c r="M107" s="9">
        <v>0.16623246</v>
      </c>
      <c r="N107" s="9">
        <v>9.4849710000000004E-2</v>
      </c>
      <c r="O107" s="9">
        <v>6.8100729999999998E-2</v>
      </c>
    </row>
    <row r="108" spans="2:15" ht="1" customHeight="1">
      <c r="B108" s="9" t="s">
        <v>39</v>
      </c>
      <c r="C108" s="9" t="str">
        <f t="shared" si="11"/>
        <v>Bolivia2001</v>
      </c>
      <c r="D108" s="9">
        <v>2001</v>
      </c>
      <c r="E108" s="9">
        <v>0.66896644999999999</v>
      </c>
      <c r="F108" s="9">
        <v>0.1019338</v>
      </c>
      <c r="J108" s="9" t="s">
        <v>39</v>
      </c>
      <c r="K108" s="9" t="str">
        <f t="shared" si="10"/>
        <v>Bolivia4</v>
      </c>
      <c r="L108" s="9">
        <v>4</v>
      </c>
      <c r="M108" s="9">
        <v>0.25287198999999999</v>
      </c>
      <c r="N108" s="9">
        <v>0.36729114000000002</v>
      </c>
      <c r="O108" s="9">
        <v>0.13119327</v>
      </c>
    </row>
    <row r="109" spans="2:15" ht="1" customHeight="1">
      <c r="B109" s="9" t="s">
        <v>39</v>
      </c>
      <c r="C109" s="9" t="str">
        <f t="shared" si="11"/>
        <v>Bolivia2002</v>
      </c>
      <c r="D109" s="9">
        <v>2002</v>
      </c>
      <c r="E109" s="9">
        <v>0.72692471999999997</v>
      </c>
      <c r="F109" s="9">
        <v>0.18509703</v>
      </c>
      <c r="J109" s="9" t="s">
        <v>39</v>
      </c>
      <c r="K109" s="9" t="str">
        <f t="shared" si="10"/>
        <v>Bolivia5</v>
      </c>
      <c r="L109" s="9">
        <v>5</v>
      </c>
      <c r="M109" s="9">
        <v>0.26892258000000002</v>
      </c>
      <c r="N109" s="9">
        <v>0.26254193999999997</v>
      </c>
      <c r="O109" s="9">
        <v>0.15307517000000001</v>
      </c>
    </row>
    <row r="110" spans="2:15" ht="1" customHeight="1">
      <c r="B110" s="9" t="s">
        <v>39</v>
      </c>
      <c r="C110" s="9" t="str">
        <f t="shared" si="11"/>
        <v>Bolivia2003</v>
      </c>
      <c r="D110" s="9">
        <v>2003</v>
      </c>
      <c r="E110" s="9">
        <v>0.91367021000000004</v>
      </c>
      <c r="F110" s="9">
        <v>0.23875409</v>
      </c>
      <c r="J110" s="9" t="s">
        <v>39</v>
      </c>
      <c r="K110" s="9" t="str">
        <f t="shared" si="10"/>
        <v>Bolivia6</v>
      </c>
      <c r="L110" s="9">
        <v>6</v>
      </c>
      <c r="M110" s="9">
        <v>0.27594162</v>
      </c>
      <c r="N110" s="9">
        <v>0.32881675999999999</v>
      </c>
      <c r="O110" s="9">
        <v>0.28522077000000001</v>
      </c>
    </row>
    <row r="111" spans="2:15" ht="1" customHeight="1">
      <c r="B111" s="9" t="s">
        <v>39</v>
      </c>
      <c r="C111" s="9" t="str">
        <f t="shared" si="11"/>
        <v>Bolivia2004</v>
      </c>
      <c r="D111" s="9">
        <v>2004</v>
      </c>
      <c r="E111" s="9">
        <v>0.72408198000000001</v>
      </c>
      <c r="F111" s="9">
        <v>0.15510436</v>
      </c>
      <c r="J111" s="9" t="s">
        <v>39</v>
      </c>
      <c r="K111" s="9" t="str">
        <f t="shared" si="10"/>
        <v>Bolivia7</v>
      </c>
      <c r="L111" s="9">
        <v>7</v>
      </c>
      <c r="M111" s="9">
        <v>0.44168846</v>
      </c>
      <c r="N111" s="9">
        <v>0.42835490999999998</v>
      </c>
      <c r="O111" s="9">
        <v>0.19323107</v>
      </c>
    </row>
    <row r="112" spans="2:15" ht="1" customHeight="1">
      <c r="B112" s="9" t="s">
        <v>39</v>
      </c>
      <c r="C112" s="9" t="str">
        <f t="shared" si="11"/>
        <v>Bolivia2005</v>
      </c>
      <c r="D112" s="9">
        <v>2005</v>
      </c>
      <c r="E112" s="9">
        <v>0.72408198000000001</v>
      </c>
      <c r="F112" s="9">
        <v>0.15510436</v>
      </c>
      <c r="J112" s="9" t="s">
        <v>39</v>
      </c>
      <c r="K112" s="9" t="str">
        <f t="shared" si="10"/>
        <v>Bolivia8</v>
      </c>
      <c r="L112" s="9">
        <v>8</v>
      </c>
      <c r="M112" s="9">
        <v>0.29509928000000002</v>
      </c>
      <c r="N112" s="9">
        <v>0.48172970999999998</v>
      </c>
      <c r="O112" s="9">
        <v>0.28943119</v>
      </c>
    </row>
    <row r="113" spans="2:15" ht="1" customHeight="1">
      <c r="B113" s="9" t="s">
        <v>39</v>
      </c>
      <c r="C113" s="9" t="str">
        <f t="shared" si="11"/>
        <v>Bolivia2006</v>
      </c>
      <c r="D113" s="9">
        <v>2006</v>
      </c>
      <c r="E113" s="9">
        <v>0.65349738000000002</v>
      </c>
      <c r="F113" s="9">
        <v>6.9970539999999998E-2</v>
      </c>
      <c r="J113" s="9" t="s">
        <v>39</v>
      </c>
      <c r="K113" s="9" t="str">
        <f t="shared" si="10"/>
        <v>Bolivia9</v>
      </c>
      <c r="L113" s="9">
        <v>9</v>
      </c>
      <c r="M113" s="9">
        <v>0.28243703999999997</v>
      </c>
      <c r="N113" s="9">
        <v>0.48117782999999997</v>
      </c>
      <c r="O113" s="9">
        <v>0.27502142000000002</v>
      </c>
    </row>
    <row r="114" spans="2:15" ht="1" customHeight="1">
      <c r="B114" s="9" t="s">
        <v>39</v>
      </c>
      <c r="C114" s="9" t="str">
        <f t="shared" si="11"/>
        <v>Bolivia2007</v>
      </c>
      <c r="D114" s="9">
        <v>2007</v>
      </c>
      <c r="E114" s="9">
        <v>0.72724126</v>
      </c>
      <c r="F114" s="9">
        <v>0.21887956</v>
      </c>
      <c r="J114" s="9" t="s">
        <v>39</v>
      </c>
      <c r="K114" s="9" t="str">
        <f t="shared" si="10"/>
        <v>Bolivia10</v>
      </c>
      <c r="L114" s="9">
        <v>10</v>
      </c>
      <c r="M114" s="9">
        <v>0.35438240999999998</v>
      </c>
      <c r="N114" s="9">
        <v>0.52570251999999995</v>
      </c>
      <c r="O114" s="9">
        <v>0.21368129999999999</v>
      </c>
    </row>
    <row r="115" spans="2:15" ht="1" customHeight="1">
      <c r="B115" s="9" t="s">
        <v>39</v>
      </c>
      <c r="C115" s="9" t="str">
        <f t="shared" si="11"/>
        <v>Bolivia2008</v>
      </c>
      <c r="D115" s="9">
        <v>2008</v>
      </c>
      <c r="E115" s="9">
        <v>0.72724126</v>
      </c>
      <c r="F115" s="9">
        <v>0.21887956</v>
      </c>
      <c r="J115" s="9" t="s">
        <v>39</v>
      </c>
      <c r="K115" s="9" t="str">
        <f t="shared" si="10"/>
        <v>Bolivia11</v>
      </c>
      <c r="L115" s="9">
        <v>11</v>
      </c>
      <c r="M115" s="9">
        <v>0.31565121000000002</v>
      </c>
      <c r="N115" s="9">
        <v>0.53757374999999996</v>
      </c>
      <c r="O115" s="9">
        <v>0.27453703000000002</v>
      </c>
    </row>
    <row r="116" spans="2:15" ht="1" customHeight="1">
      <c r="B116" s="9" t="s">
        <v>39</v>
      </c>
      <c r="C116" s="9" t="str">
        <f t="shared" si="11"/>
        <v>Bolivia2009</v>
      </c>
      <c r="D116" s="9">
        <v>2009</v>
      </c>
      <c r="J116" s="9" t="s">
        <v>39</v>
      </c>
      <c r="K116" s="9" t="str">
        <f t="shared" si="10"/>
        <v>Bolivia12</v>
      </c>
      <c r="L116" s="9">
        <v>12</v>
      </c>
      <c r="M116" s="9">
        <v>0.46635369999999998</v>
      </c>
      <c r="N116" s="9">
        <v>0.49457015999999998</v>
      </c>
      <c r="O116" s="9">
        <v>0.28340494999999999</v>
      </c>
    </row>
    <row r="117" spans="2:15" ht="1" customHeight="1">
      <c r="B117" s="9" t="s">
        <v>39</v>
      </c>
      <c r="C117" s="9" t="str">
        <f t="shared" si="11"/>
        <v>Bolivia2010</v>
      </c>
      <c r="D117" s="9">
        <v>2010</v>
      </c>
      <c r="J117" s="9" t="s">
        <v>39</v>
      </c>
      <c r="K117" s="9" t="str">
        <f t="shared" si="10"/>
        <v>Bolivia13</v>
      </c>
      <c r="L117" s="9">
        <v>13</v>
      </c>
      <c r="M117" s="9">
        <v>0.51086467999999996</v>
      </c>
      <c r="N117" s="9">
        <v>0.62181578000000004</v>
      </c>
      <c r="O117" s="9">
        <v>0.25341103999999998</v>
      </c>
    </row>
    <row r="118" spans="2:15" ht="1" customHeight="1">
      <c r="B118" s="9" t="s">
        <v>39</v>
      </c>
      <c r="C118" s="9" t="str">
        <f t="shared" si="11"/>
        <v>Bolivia2011</v>
      </c>
      <c r="D118" s="9">
        <v>2011</v>
      </c>
      <c r="J118" s="9" t="s">
        <v>39</v>
      </c>
      <c r="K118" s="9" t="str">
        <f t="shared" si="10"/>
        <v>Bolivia14</v>
      </c>
      <c r="L118" s="9">
        <v>14</v>
      </c>
      <c r="M118" s="9">
        <v>0.64482600000000001</v>
      </c>
      <c r="N118" s="9">
        <v>0.85996050000000002</v>
      </c>
      <c r="O118" s="9">
        <v>0.33471986999999997</v>
      </c>
    </row>
    <row r="119" spans="2:15" ht="1" customHeight="1">
      <c r="B119" s="9" t="s">
        <v>39</v>
      </c>
      <c r="C119" s="9" t="str">
        <f t="shared" si="11"/>
        <v>Bolivia2012</v>
      </c>
      <c r="D119" s="9">
        <v>2012</v>
      </c>
      <c r="J119" s="9" t="s">
        <v>39</v>
      </c>
      <c r="K119" s="9" t="str">
        <f t="shared" si="10"/>
        <v>Bolivia15</v>
      </c>
      <c r="L119" s="9">
        <v>15</v>
      </c>
      <c r="M119" s="9">
        <v>0.65821540999999995</v>
      </c>
      <c r="N119" s="9">
        <v>0.76868524000000005</v>
      </c>
      <c r="O119" s="9">
        <v>0.39258414000000003</v>
      </c>
    </row>
    <row r="120" spans="2:15" ht="1" customHeight="1">
      <c r="B120" s="9" t="s">
        <v>39</v>
      </c>
      <c r="C120" s="9" t="str">
        <f t="shared" si="11"/>
        <v>Bolivia2013</v>
      </c>
      <c r="D120" s="9">
        <v>2013</v>
      </c>
      <c r="J120" s="9" t="s">
        <v>39</v>
      </c>
      <c r="K120" s="9" t="str">
        <f t="shared" si="10"/>
        <v>Bolivia16</v>
      </c>
      <c r="L120" s="9">
        <v>16</v>
      </c>
      <c r="M120" s="9">
        <v>0.54262115</v>
      </c>
      <c r="N120" s="9">
        <v>0.93405521000000002</v>
      </c>
      <c r="O120" s="9">
        <v>0.55439987999999996</v>
      </c>
    </row>
    <row r="121" spans="2:15" ht="1" customHeight="1">
      <c r="B121" s="9" t="s">
        <v>39</v>
      </c>
      <c r="C121" s="9" t="str">
        <f t="shared" si="11"/>
        <v>Bolivia2014</v>
      </c>
      <c r="D121" s="9">
        <v>2014</v>
      </c>
      <c r="J121" s="9" t="s">
        <v>39</v>
      </c>
      <c r="K121" s="9" t="str">
        <f t="shared" si="10"/>
        <v>Bolivia17</v>
      </c>
      <c r="L121" s="9">
        <v>17</v>
      </c>
      <c r="M121" s="9">
        <v>1.2745200000000001</v>
      </c>
      <c r="N121" s="9">
        <v>1.3527771</v>
      </c>
      <c r="O121" s="9">
        <v>0.69709248000000001</v>
      </c>
    </row>
    <row r="122" spans="2:15" ht="1" customHeight="1">
      <c r="B122" s="9" t="s">
        <v>40</v>
      </c>
      <c r="C122" s="9" t="str">
        <f>CONCATENATE(B122,D122)</f>
        <v>Brazil1995</v>
      </c>
      <c r="D122" s="9">
        <v>1995</v>
      </c>
      <c r="E122" s="9">
        <v>0.65085391999999997</v>
      </c>
      <c r="F122" s="9">
        <v>0.70203272999999999</v>
      </c>
      <c r="J122" s="9" t="s">
        <v>39</v>
      </c>
      <c r="K122" s="9" t="str">
        <f t="shared" si="10"/>
        <v>Bolivia18</v>
      </c>
      <c r="L122" s="9">
        <v>18</v>
      </c>
      <c r="N122" s="9">
        <v>1.4288080999999999</v>
      </c>
      <c r="O122" s="9">
        <v>0.91721436999999995</v>
      </c>
    </row>
    <row r="123" spans="2:15" ht="1" customHeight="1">
      <c r="B123" s="9" t="s">
        <v>40</v>
      </c>
      <c r="C123" s="9" t="str">
        <f t="shared" ref="C123:C141" si="12">CONCATENATE(B123,D123)</f>
        <v>Brazil1996</v>
      </c>
      <c r="D123" s="9">
        <v>1996</v>
      </c>
      <c r="E123" s="9">
        <v>0.64639683999999997</v>
      </c>
      <c r="F123" s="9">
        <v>0.64962228</v>
      </c>
      <c r="J123" s="9" t="s">
        <v>39</v>
      </c>
      <c r="K123" s="9" t="str">
        <f t="shared" si="10"/>
        <v>Bolivia19</v>
      </c>
      <c r="L123" s="9">
        <v>19</v>
      </c>
      <c r="N123" s="9">
        <v>2.0784311</v>
      </c>
      <c r="O123" s="9">
        <v>1.3540622</v>
      </c>
    </row>
    <row r="124" spans="2:15" ht="1" customHeight="1">
      <c r="B124" s="9" t="s">
        <v>40</v>
      </c>
      <c r="C124" s="9" t="str">
        <f t="shared" si="12"/>
        <v>Brazil1997</v>
      </c>
      <c r="D124" s="9">
        <v>1997</v>
      </c>
      <c r="E124" s="9">
        <v>0.71015735000000002</v>
      </c>
      <c r="F124" s="9">
        <v>0.62869858999999995</v>
      </c>
      <c r="J124" s="9" t="s">
        <v>39</v>
      </c>
      <c r="K124" s="9" t="str">
        <f t="shared" si="10"/>
        <v>Bolivia20</v>
      </c>
      <c r="L124" s="9">
        <v>20</v>
      </c>
      <c r="O124" s="9">
        <v>0.96699287</v>
      </c>
    </row>
    <row r="125" spans="2:15" ht="1" customHeight="1">
      <c r="B125" s="9" t="s">
        <v>40</v>
      </c>
      <c r="C125" s="9" t="str">
        <f t="shared" si="12"/>
        <v>Brazil1998</v>
      </c>
      <c r="D125" s="9">
        <v>1998</v>
      </c>
      <c r="E125" s="9">
        <v>0.73329896000000006</v>
      </c>
      <c r="F125" s="9">
        <v>0.67117028999999995</v>
      </c>
      <c r="J125" s="9" t="s">
        <v>40</v>
      </c>
      <c r="K125" s="9" t="str">
        <f t="shared" si="10"/>
        <v>Brazil0</v>
      </c>
      <c r="L125" s="9">
        <v>0</v>
      </c>
      <c r="M125" s="9">
        <v>0</v>
      </c>
      <c r="N125" s="9">
        <v>0</v>
      </c>
      <c r="O125" s="9">
        <v>0</v>
      </c>
    </row>
    <row r="126" spans="2:15" ht="1" customHeight="1">
      <c r="B126" s="9" t="s">
        <v>40</v>
      </c>
      <c r="C126" s="9" t="str">
        <f t="shared" si="12"/>
        <v>Brazil1999</v>
      </c>
      <c r="D126" s="9">
        <v>1999</v>
      </c>
      <c r="E126" s="9">
        <v>0.68589098000000004</v>
      </c>
      <c r="F126" s="9">
        <v>0.71756931999999995</v>
      </c>
      <c r="J126" s="9" t="s">
        <v>40</v>
      </c>
      <c r="K126" s="9" t="str">
        <f t="shared" si="10"/>
        <v>Brazil1</v>
      </c>
      <c r="L126" s="9">
        <v>1</v>
      </c>
      <c r="M126" s="9">
        <v>0.17607384000000001</v>
      </c>
      <c r="N126" s="9">
        <v>7.0172310000000002E-2</v>
      </c>
      <c r="O126" s="9">
        <v>-0.14387184</v>
      </c>
    </row>
    <row r="127" spans="2:15" ht="1" customHeight="1">
      <c r="B127" s="9" t="s">
        <v>40</v>
      </c>
      <c r="C127" s="9" t="str">
        <f t="shared" si="12"/>
        <v>Brazil2000</v>
      </c>
      <c r="D127" s="9">
        <v>2000</v>
      </c>
      <c r="E127" s="9">
        <v>0.82231149000000003</v>
      </c>
      <c r="F127" s="9">
        <v>0.64356102000000004</v>
      </c>
      <c r="J127" s="9" t="s">
        <v>40</v>
      </c>
      <c r="K127" s="9" t="str">
        <f t="shared" ref="K127:K190" si="13">CONCATENATE(J127,L127)</f>
        <v>Brazil2</v>
      </c>
      <c r="L127" s="9">
        <v>2</v>
      </c>
      <c r="M127" s="9">
        <v>0.32611378000000002</v>
      </c>
      <c r="N127" s="9">
        <v>0.19835336000000001</v>
      </c>
      <c r="O127" s="9">
        <v>-0.13183233</v>
      </c>
    </row>
    <row r="128" spans="2:15" ht="1" customHeight="1">
      <c r="B128" s="9" t="s">
        <v>40</v>
      </c>
      <c r="C128" s="9" t="str">
        <f t="shared" si="12"/>
        <v>Brazil2001</v>
      </c>
      <c r="D128" s="9">
        <v>2001</v>
      </c>
      <c r="E128" s="9">
        <v>0.82231149000000003</v>
      </c>
      <c r="F128" s="9">
        <v>0.64356102000000004</v>
      </c>
      <c r="J128" s="9" t="s">
        <v>40</v>
      </c>
      <c r="K128" s="9" t="str">
        <f t="shared" si="13"/>
        <v>Brazil3</v>
      </c>
      <c r="L128" s="9">
        <v>3</v>
      </c>
      <c r="M128" s="9">
        <v>0.44339204999999998</v>
      </c>
      <c r="N128" s="9">
        <v>0.29711613999999997</v>
      </c>
      <c r="O128" s="9">
        <v>-3.7187240000000003E-2</v>
      </c>
    </row>
    <row r="129" spans="2:15" ht="1" customHeight="1">
      <c r="B129" s="9" t="s">
        <v>40</v>
      </c>
      <c r="C129" s="9" t="str">
        <f t="shared" si="12"/>
        <v>Brazil2002</v>
      </c>
      <c r="D129" s="9">
        <v>2002</v>
      </c>
      <c r="E129" s="9">
        <v>0.85298956000000004</v>
      </c>
      <c r="F129" s="9">
        <v>0.66187302000000003</v>
      </c>
      <c r="J129" s="9" t="s">
        <v>40</v>
      </c>
      <c r="K129" s="9" t="str">
        <f t="shared" si="13"/>
        <v>Brazil4</v>
      </c>
      <c r="L129" s="9">
        <v>4</v>
      </c>
      <c r="M129" s="9">
        <v>0.65782978000000003</v>
      </c>
      <c r="N129" s="9">
        <v>0.47076727000000002</v>
      </c>
      <c r="O129" s="9">
        <v>0.13892278999999999</v>
      </c>
    </row>
    <row r="130" spans="2:15" ht="1" customHeight="1">
      <c r="B130" s="9" t="s">
        <v>40</v>
      </c>
      <c r="C130" s="9" t="str">
        <f t="shared" si="12"/>
        <v>Brazil2003</v>
      </c>
      <c r="D130" s="9">
        <v>2003</v>
      </c>
      <c r="E130" s="9">
        <v>0.76928764999999999</v>
      </c>
      <c r="F130" s="9">
        <v>0.65855845000000002</v>
      </c>
      <c r="J130" s="9" t="s">
        <v>40</v>
      </c>
      <c r="K130" s="9" t="str">
        <f t="shared" si="13"/>
        <v>Brazil5</v>
      </c>
      <c r="L130" s="9">
        <v>5</v>
      </c>
      <c r="M130" s="9">
        <v>0.73302378000000001</v>
      </c>
      <c r="N130" s="9">
        <v>0.52674348000000004</v>
      </c>
      <c r="O130" s="9">
        <v>0.20503294</v>
      </c>
    </row>
    <row r="131" spans="2:15" ht="1" customHeight="1">
      <c r="B131" s="9" t="s">
        <v>40</v>
      </c>
      <c r="C131" s="9" t="str">
        <f t="shared" si="12"/>
        <v>Brazil2004</v>
      </c>
      <c r="D131" s="9">
        <v>2004</v>
      </c>
      <c r="E131" s="9">
        <v>0.76820988000000001</v>
      </c>
      <c r="F131" s="9">
        <v>0.68420437999999995</v>
      </c>
      <c r="J131" s="9" t="s">
        <v>40</v>
      </c>
      <c r="K131" s="9" t="str">
        <f t="shared" si="13"/>
        <v>Brazil6</v>
      </c>
      <c r="L131" s="9">
        <v>6</v>
      </c>
      <c r="M131" s="9">
        <v>0.83358984999999997</v>
      </c>
      <c r="N131" s="9">
        <v>0.58573607999999999</v>
      </c>
      <c r="O131" s="9">
        <v>0.27078832000000003</v>
      </c>
    </row>
    <row r="132" spans="2:15" ht="1" customHeight="1">
      <c r="B132" s="9" t="s">
        <v>40</v>
      </c>
      <c r="C132" s="9" t="str">
        <f t="shared" si="12"/>
        <v>Brazil2005</v>
      </c>
      <c r="D132" s="9">
        <v>2005</v>
      </c>
      <c r="E132" s="9">
        <v>0.68153655000000002</v>
      </c>
      <c r="F132" s="9">
        <v>0.54907536000000001</v>
      </c>
      <c r="J132" s="9" t="s">
        <v>40</v>
      </c>
      <c r="K132" s="9" t="str">
        <f t="shared" si="13"/>
        <v>Brazil7</v>
      </c>
      <c r="L132" s="9">
        <v>7</v>
      </c>
      <c r="M132" s="9">
        <v>0.87864551000000002</v>
      </c>
      <c r="N132" s="9">
        <v>0.63701441000000003</v>
      </c>
      <c r="O132" s="9">
        <v>0.31335200000000002</v>
      </c>
    </row>
    <row r="133" spans="2:15" ht="1" customHeight="1">
      <c r="B133" s="9" t="s">
        <v>40</v>
      </c>
      <c r="C133" s="9" t="str">
        <f t="shared" si="12"/>
        <v>Brazil2006</v>
      </c>
      <c r="D133" s="9">
        <v>2006</v>
      </c>
      <c r="E133" s="9">
        <v>0.67519709999999999</v>
      </c>
      <c r="F133" s="9">
        <v>0.55914607999999999</v>
      </c>
      <c r="J133" s="9" t="s">
        <v>40</v>
      </c>
      <c r="K133" s="9" t="str">
        <f t="shared" si="13"/>
        <v>Brazil8</v>
      </c>
      <c r="L133" s="9">
        <v>8</v>
      </c>
      <c r="M133" s="9">
        <v>1.0380332000000001</v>
      </c>
      <c r="N133" s="9">
        <v>0.76496770000000003</v>
      </c>
      <c r="O133" s="9">
        <v>0.42027142000000001</v>
      </c>
    </row>
    <row r="134" spans="2:15" ht="1" customHeight="1">
      <c r="B134" s="9" t="s">
        <v>40</v>
      </c>
      <c r="C134" s="9" t="str">
        <f t="shared" si="12"/>
        <v>Brazil2007</v>
      </c>
      <c r="D134" s="9">
        <v>2007</v>
      </c>
      <c r="E134" s="9">
        <v>0.71868155</v>
      </c>
      <c r="F134" s="9">
        <v>0.57606847000000005</v>
      </c>
      <c r="J134" s="9" t="s">
        <v>40</v>
      </c>
      <c r="K134" s="9" t="str">
        <f t="shared" si="13"/>
        <v>Brazil9</v>
      </c>
      <c r="L134" s="9">
        <v>9</v>
      </c>
      <c r="M134" s="9">
        <v>1.0251254999999999</v>
      </c>
      <c r="N134" s="9">
        <v>0.75092974000000001</v>
      </c>
      <c r="O134" s="9">
        <v>0.36336974</v>
      </c>
    </row>
    <row r="135" spans="2:15" ht="1" customHeight="1">
      <c r="B135" s="9" t="s">
        <v>40</v>
      </c>
      <c r="C135" s="9" t="str">
        <f t="shared" si="12"/>
        <v>Brazil2008</v>
      </c>
      <c r="D135" s="9">
        <v>2008</v>
      </c>
      <c r="E135" s="9">
        <v>0.80963052999999996</v>
      </c>
      <c r="F135" s="9">
        <v>0.54865498999999995</v>
      </c>
      <c r="J135" s="9" t="s">
        <v>40</v>
      </c>
      <c r="K135" s="9" t="str">
        <f t="shared" si="13"/>
        <v>Brazil10</v>
      </c>
      <c r="L135" s="9">
        <v>10</v>
      </c>
      <c r="M135" s="9">
        <v>1.1620105999999999</v>
      </c>
      <c r="N135" s="9">
        <v>0.87622648000000003</v>
      </c>
      <c r="O135" s="9">
        <v>0.46843731999999999</v>
      </c>
    </row>
    <row r="136" spans="2:15" ht="1" customHeight="1">
      <c r="B136" s="9" t="s">
        <v>40</v>
      </c>
      <c r="C136" s="9" t="str">
        <f t="shared" si="12"/>
        <v>Brazil2009</v>
      </c>
      <c r="D136" s="9">
        <v>2009</v>
      </c>
      <c r="E136" s="9">
        <v>0.83179139999999996</v>
      </c>
      <c r="F136" s="9">
        <v>0.47086763999999998</v>
      </c>
      <c r="J136" s="9" t="s">
        <v>40</v>
      </c>
      <c r="K136" s="9" t="str">
        <f t="shared" si="13"/>
        <v>Brazil11</v>
      </c>
      <c r="L136" s="9">
        <v>11</v>
      </c>
      <c r="M136" s="9">
        <v>1.3858033000000001</v>
      </c>
      <c r="N136" s="9">
        <v>1.1313717999999999</v>
      </c>
      <c r="O136" s="9">
        <v>0.64745185000000005</v>
      </c>
    </row>
    <row r="137" spans="2:15" ht="1" customHeight="1">
      <c r="B137" s="9" t="s">
        <v>40</v>
      </c>
      <c r="C137" s="9" t="str">
        <f t="shared" si="12"/>
        <v>Brazil2010</v>
      </c>
      <c r="D137" s="9">
        <v>2010</v>
      </c>
      <c r="E137" s="9">
        <v>0.75051473000000002</v>
      </c>
      <c r="F137" s="9">
        <v>0.47622693999999999</v>
      </c>
      <c r="J137" s="9" t="s">
        <v>40</v>
      </c>
      <c r="K137" s="9" t="str">
        <f t="shared" si="13"/>
        <v>Brazil12</v>
      </c>
      <c r="L137" s="9">
        <v>12</v>
      </c>
      <c r="M137" s="9">
        <v>1.7223219000000001</v>
      </c>
      <c r="N137" s="9">
        <v>1.4296238999999999</v>
      </c>
      <c r="O137" s="9">
        <v>0.78593968000000003</v>
      </c>
    </row>
    <row r="138" spans="2:15" ht="1" customHeight="1">
      <c r="B138" s="9" t="s">
        <v>40</v>
      </c>
      <c r="C138" s="9" t="str">
        <f t="shared" si="12"/>
        <v>Brazil2011</v>
      </c>
      <c r="D138" s="9">
        <v>2011</v>
      </c>
      <c r="E138" s="9">
        <v>0.75051473000000002</v>
      </c>
      <c r="F138" s="9">
        <v>0.47622693999999999</v>
      </c>
      <c r="J138" s="9" t="s">
        <v>40</v>
      </c>
      <c r="K138" s="9" t="str">
        <f t="shared" si="13"/>
        <v>Brazil13</v>
      </c>
      <c r="L138" s="9">
        <v>13</v>
      </c>
      <c r="M138" s="9">
        <v>1.7699929999999999</v>
      </c>
      <c r="N138" s="9">
        <v>1.5339100999999999</v>
      </c>
      <c r="O138" s="9">
        <v>0.97854512999999999</v>
      </c>
    </row>
    <row r="139" spans="2:15" ht="1" customHeight="1">
      <c r="B139" s="9" t="s">
        <v>40</v>
      </c>
      <c r="C139" s="9" t="str">
        <f t="shared" si="12"/>
        <v>Brazil2012</v>
      </c>
      <c r="D139" s="9">
        <v>2012</v>
      </c>
      <c r="E139" s="9">
        <v>0.81123129000000005</v>
      </c>
      <c r="F139" s="9">
        <v>0.39409692000000002</v>
      </c>
      <c r="J139" s="9" t="s">
        <v>40</v>
      </c>
      <c r="K139" s="9" t="str">
        <f t="shared" si="13"/>
        <v>Brazil14</v>
      </c>
      <c r="L139" s="9">
        <v>14</v>
      </c>
      <c r="M139" s="9">
        <v>1.8958314999999999</v>
      </c>
      <c r="N139" s="9">
        <v>1.5927058000000001</v>
      </c>
      <c r="O139" s="9">
        <v>1.0674577000000001</v>
      </c>
    </row>
    <row r="140" spans="2:15" ht="1" customHeight="1">
      <c r="B140" s="9" t="s">
        <v>40</v>
      </c>
      <c r="C140" s="9" t="str">
        <f t="shared" si="12"/>
        <v>Brazil2013</v>
      </c>
      <c r="D140" s="9">
        <v>2013</v>
      </c>
      <c r="E140" s="9">
        <v>0.81092660000000005</v>
      </c>
      <c r="F140" s="9">
        <v>0.42202139999999999</v>
      </c>
      <c r="J140" s="9" t="s">
        <v>40</v>
      </c>
      <c r="K140" s="9" t="str">
        <f t="shared" si="13"/>
        <v>Brazil15</v>
      </c>
      <c r="L140" s="9">
        <v>15</v>
      </c>
      <c r="M140" s="9">
        <v>2.1271032999999999</v>
      </c>
      <c r="N140" s="9">
        <v>1.8899193999999999</v>
      </c>
      <c r="O140" s="9">
        <v>1.2871623000000001</v>
      </c>
    </row>
    <row r="141" spans="2:15" ht="1" customHeight="1">
      <c r="B141" s="9" t="s">
        <v>40</v>
      </c>
      <c r="C141" s="9" t="str">
        <f t="shared" si="12"/>
        <v>Brazil2014</v>
      </c>
      <c r="D141" s="9">
        <v>2014</v>
      </c>
      <c r="E141" s="9">
        <v>0.81092660000000005</v>
      </c>
      <c r="F141" s="9">
        <v>0.42202139999999999</v>
      </c>
      <c r="J141" s="9" t="s">
        <v>40</v>
      </c>
      <c r="K141" s="9" t="str">
        <f t="shared" si="13"/>
        <v>Brazil16</v>
      </c>
      <c r="L141" s="9">
        <v>16</v>
      </c>
      <c r="M141" s="9">
        <v>2.27142</v>
      </c>
      <c r="N141" s="9">
        <v>2.1047764</v>
      </c>
      <c r="O141" s="9">
        <v>1.5375836000000001</v>
      </c>
    </row>
    <row r="142" spans="2:15" ht="1" customHeight="1">
      <c r="B142" s="9" t="s">
        <v>41</v>
      </c>
      <c r="C142" s="9" t="str">
        <f>CONCATENATE(B142,D142)</f>
        <v>Chile1995</v>
      </c>
      <c r="D142" s="9">
        <v>1995</v>
      </c>
      <c r="E142" s="9">
        <v>0.72875999999999996</v>
      </c>
      <c r="F142" s="9">
        <v>0.55652908999999995</v>
      </c>
      <c r="J142" s="9" t="s">
        <v>40</v>
      </c>
      <c r="K142" s="9" t="str">
        <f t="shared" si="13"/>
        <v>Brazil17</v>
      </c>
      <c r="L142" s="9">
        <v>17</v>
      </c>
      <c r="M142" s="9">
        <v>2.5209104999999998</v>
      </c>
      <c r="N142" s="9">
        <v>2.3588480000000001</v>
      </c>
      <c r="O142" s="9">
        <v>1.5076662000000001</v>
      </c>
    </row>
    <row r="143" spans="2:15" ht="1" customHeight="1">
      <c r="B143" s="9" t="s">
        <v>41</v>
      </c>
      <c r="C143" s="9" t="str">
        <f t="shared" ref="C143:C161" si="14">CONCATENATE(B143,D143)</f>
        <v>Chile1996</v>
      </c>
      <c r="D143" s="9">
        <v>1996</v>
      </c>
      <c r="E143" s="9">
        <v>0.72875999999999996</v>
      </c>
      <c r="F143" s="9">
        <v>0.55652908999999995</v>
      </c>
      <c r="J143" s="9" t="s">
        <v>40</v>
      </c>
      <c r="K143" s="9" t="str">
        <f t="shared" si="13"/>
        <v>Brazil18</v>
      </c>
      <c r="L143" s="9">
        <v>18</v>
      </c>
      <c r="M143" s="9">
        <v>2.4858082000000001</v>
      </c>
      <c r="N143" s="9">
        <v>2.1828101000000002</v>
      </c>
      <c r="O143" s="9">
        <v>1.6928046000000001</v>
      </c>
    </row>
    <row r="144" spans="2:15" ht="1" customHeight="1">
      <c r="B144" s="9" t="s">
        <v>41</v>
      </c>
      <c r="C144" s="9" t="str">
        <f t="shared" si="14"/>
        <v>Chile1997</v>
      </c>
      <c r="D144" s="9">
        <v>1997</v>
      </c>
      <c r="E144" s="9">
        <v>0.77777892000000004</v>
      </c>
      <c r="F144" s="9">
        <v>0.56027057999999996</v>
      </c>
      <c r="J144" s="9" t="s">
        <v>40</v>
      </c>
      <c r="K144" s="9" t="str">
        <f t="shared" si="13"/>
        <v>Brazil19</v>
      </c>
      <c r="L144" s="9">
        <v>19</v>
      </c>
      <c r="N144" s="9">
        <v>2.4446838999999998</v>
      </c>
      <c r="O144" s="9">
        <v>1.9319609</v>
      </c>
    </row>
    <row r="145" spans="2:15" ht="1" customHeight="1">
      <c r="B145" s="9" t="s">
        <v>41</v>
      </c>
      <c r="C145" s="9" t="str">
        <f t="shared" si="14"/>
        <v>Chile1998</v>
      </c>
      <c r="D145" s="9">
        <v>1998</v>
      </c>
      <c r="E145" s="9">
        <v>0.77777892000000004</v>
      </c>
      <c r="F145" s="9">
        <v>0.56027057999999996</v>
      </c>
      <c r="J145" s="9" t="s">
        <v>40</v>
      </c>
      <c r="K145" s="9" t="str">
        <f t="shared" si="13"/>
        <v>Brazil20</v>
      </c>
      <c r="L145" s="9">
        <v>20</v>
      </c>
    </row>
    <row r="146" spans="2:15" ht="1" customHeight="1">
      <c r="B146" s="9" t="s">
        <v>41</v>
      </c>
      <c r="C146" s="9" t="str">
        <f t="shared" si="14"/>
        <v>Chile1999</v>
      </c>
      <c r="D146" s="9">
        <v>1999</v>
      </c>
      <c r="E146" s="9">
        <v>0.81596296000000001</v>
      </c>
      <c r="F146" s="9">
        <v>0.53193782000000001</v>
      </c>
      <c r="J146" s="9" t="s">
        <v>41</v>
      </c>
      <c r="K146" s="9" t="str">
        <f t="shared" si="13"/>
        <v>Chile0</v>
      </c>
      <c r="L146" s="9">
        <v>0</v>
      </c>
      <c r="M146" s="9">
        <v>0</v>
      </c>
      <c r="N146" s="9">
        <v>0</v>
      </c>
      <c r="O146" s="9">
        <v>0</v>
      </c>
    </row>
    <row r="147" spans="2:15" ht="1" customHeight="1">
      <c r="B147" s="9" t="s">
        <v>41</v>
      </c>
      <c r="C147" s="9" t="str">
        <f t="shared" si="14"/>
        <v>Chile2000</v>
      </c>
      <c r="D147" s="9">
        <v>2000</v>
      </c>
      <c r="E147" s="9">
        <v>0.81596296000000001</v>
      </c>
      <c r="F147" s="9">
        <v>0.53193782000000001</v>
      </c>
      <c r="J147" s="9" t="s">
        <v>41</v>
      </c>
      <c r="K147" s="9" t="str">
        <f t="shared" si="13"/>
        <v>Chile1</v>
      </c>
      <c r="L147" s="9">
        <v>1</v>
      </c>
      <c r="M147" s="9">
        <v>6.1194300000000004E-3</v>
      </c>
      <c r="N147" s="9">
        <v>2.1714870000000001E-2</v>
      </c>
      <c r="O147" s="9">
        <v>-6.2659300000000003E-3</v>
      </c>
    </row>
    <row r="148" spans="2:15" ht="1" customHeight="1">
      <c r="B148" s="9" t="s">
        <v>41</v>
      </c>
      <c r="C148" s="9" t="str">
        <f t="shared" si="14"/>
        <v>Chile2001</v>
      </c>
      <c r="D148" s="9">
        <v>2001</v>
      </c>
      <c r="E148" s="9">
        <v>0.81596296000000001</v>
      </c>
      <c r="F148" s="9">
        <v>0.53193782000000001</v>
      </c>
      <c r="J148" s="9" t="s">
        <v>41</v>
      </c>
      <c r="K148" s="9" t="str">
        <f t="shared" si="13"/>
        <v>Chile2</v>
      </c>
      <c r="L148" s="9">
        <v>2</v>
      </c>
      <c r="M148" s="9">
        <v>5.5132889999999997E-2</v>
      </c>
      <c r="N148" s="9">
        <v>8.8200329999999993E-2</v>
      </c>
      <c r="O148" s="9">
        <v>8.9483919999999995E-2</v>
      </c>
    </row>
    <row r="149" spans="2:15" ht="1" customHeight="1">
      <c r="B149" s="9" t="s">
        <v>41</v>
      </c>
      <c r="C149" s="9" t="str">
        <f t="shared" si="14"/>
        <v>Chile2002</v>
      </c>
      <c r="D149" s="9">
        <v>2002</v>
      </c>
      <c r="E149" s="9">
        <v>0.79592936000000003</v>
      </c>
      <c r="F149" s="9">
        <v>0.53029497000000003</v>
      </c>
      <c r="J149" s="9" t="s">
        <v>41</v>
      </c>
      <c r="K149" s="9" t="str">
        <f t="shared" si="13"/>
        <v>Chile3</v>
      </c>
      <c r="L149" s="9">
        <v>3</v>
      </c>
      <c r="M149" s="9">
        <v>0.10500196000000001</v>
      </c>
      <c r="N149" s="9">
        <v>0.12129202</v>
      </c>
      <c r="O149" s="9">
        <v>8.0736600000000006E-2</v>
      </c>
    </row>
    <row r="150" spans="2:15" ht="1" customHeight="1">
      <c r="B150" s="9" t="s">
        <v>41</v>
      </c>
      <c r="C150" s="9" t="str">
        <f t="shared" si="14"/>
        <v>Chile2003</v>
      </c>
      <c r="D150" s="9">
        <v>2003</v>
      </c>
      <c r="E150" s="9">
        <v>0.79592936000000003</v>
      </c>
      <c r="F150" s="9">
        <v>0.53029497000000003</v>
      </c>
      <c r="J150" s="9" t="s">
        <v>41</v>
      </c>
      <c r="K150" s="9" t="str">
        <f t="shared" si="13"/>
        <v>Chile4</v>
      </c>
      <c r="L150" s="9">
        <v>4</v>
      </c>
      <c r="M150" s="9">
        <v>0.14950269999999999</v>
      </c>
      <c r="N150" s="9">
        <v>0.20235769000000001</v>
      </c>
      <c r="O150" s="9">
        <v>7.982127E-2</v>
      </c>
    </row>
    <row r="151" spans="2:15" ht="1" customHeight="1">
      <c r="B151" s="9" t="s">
        <v>41</v>
      </c>
      <c r="C151" s="9" t="str">
        <f t="shared" si="14"/>
        <v>Chile2004</v>
      </c>
      <c r="D151" s="9">
        <v>2004</v>
      </c>
      <c r="E151" s="9">
        <v>0.79592936000000003</v>
      </c>
      <c r="F151" s="9">
        <v>0.53029497000000003</v>
      </c>
      <c r="J151" s="9" t="s">
        <v>41</v>
      </c>
      <c r="K151" s="9" t="str">
        <f t="shared" si="13"/>
        <v>Chile5</v>
      </c>
      <c r="L151" s="9">
        <v>5</v>
      </c>
      <c r="M151" s="9">
        <v>0.17275270000000001</v>
      </c>
      <c r="N151" s="9">
        <v>0.21011921</v>
      </c>
      <c r="O151" s="9">
        <v>0.13334069000000001</v>
      </c>
    </row>
    <row r="152" spans="2:15" ht="1" customHeight="1">
      <c r="B152" s="9" t="s">
        <v>41</v>
      </c>
      <c r="C152" s="9" t="str">
        <f t="shared" si="14"/>
        <v>Chile2005</v>
      </c>
      <c r="D152" s="9">
        <v>2005</v>
      </c>
      <c r="E152" s="9">
        <v>0.75436497999999996</v>
      </c>
      <c r="F152" s="9">
        <v>0.47860443000000003</v>
      </c>
      <c r="J152" s="9" t="s">
        <v>41</v>
      </c>
      <c r="K152" s="9" t="str">
        <f t="shared" si="13"/>
        <v>Chile6</v>
      </c>
      <c r="L152" s="9">
        <v>6</v>
      </c>
      <c r="M152" s="9">
        <v>0.27183859999999999</v>
      </c>
      <c r="N152" s="9">
        <v>0.28563077999999997</v>
      </c>
      <c r="O152" s="9">
        <v>0.16071360000000001</v>
      </c>
    </row>
    <row r="153" spans="2:15" ht="1" customHeight="1">
      <c r="B153" s="9" t="s">
        <v>41</v>
      </c>
      <c r="C153" s="9" t="str">
        <f t="shared" si="14"/>
        <v>Chile2006</v>
      </c>
      <c r="D153" s="9">
        <v>2006</v>
      </c>
      <c r="E153" s="9">
        <v>0.75436497999999996</v>
      </c>
      <c r="F153" s="9">
        <v>0.47860443000000003</v>
      </c>
      <c r="J153" s="9" t="s">
        <v>41</v>
      </c>
      <c r="K153" s="9" t="str">
        <f t="shared" si="13"/>
        <v>Chile7</v>
      </c>
      <c r="L153" s="9">
        <v>7</v>
      </c>
      <c r="M153" s="9">
        <v>0.32264121000000001</v>
      </c>
      <c r="N153" s="9">
        <v>0.32289299999999999</v>
      </c>
      <c r="O153" s="9">
        <v>0.10274783999999999</v>
      </c>
    </row>
    <row r="154" spans="2:15" ht="1" customHeight="1">
      <c r="B154" s="9" t="s">
        <v>41</v>
      </c>
      <c r="C154" s="9" t="str">
        <f t="shared" si="14"/>
        <v>Chile2007</v>
      </c>
      <c r="D154" s="9">
        <v>2007</v>
      </c>
      <c r="E154" s="9">
        <v>0.75436497999999996</v>
      </c>
      <c r="F154" s="9">
        <v>0.47860443000000003</v>
      </c>
      <c r="J154" s="9" t="s">
        <v>41</v>
      </c>
      <c r="K154" s="9" t="str">
        <f t="shared" si="13"/>
        <v>Chile8</v>
      </c>
      <c r="L154" s="9">
        <v>8</v>
      </c>
      <c r="M154" s="9">
        <v>0.39576855999999999</v>
      </c>
      <c r="N154" s="9">
        <v>0.44537352000000002</v>
      </c>
      <c r="O154" s="9">
        <v>0.25647399999999998</v>
      </c>
    </row>
    <row r="155" spans="2:15" ht="1" customHeight="1">
      <c r="B155" s="9" t="s">
        <v>41</v>
      </c>
      <c r="C155" s="9" t="str">
        <f t="shared" si="14"/>
        <v>Chile2008</v>
      </c>
      <c r="D155" s="9">
        <v>2008</v>
      </c>
      <c r="E155" s="9">
        <v>0.73707931000000004</v>
      </c>
      <c r="F155" s="9">
        <v>0.40947737000000001</v>
      </c>
      <c r="J155" s="9" t="s">
        <v>41</v>
      </c>
      <c r="K155" s="9" t="str">
        <f t="shared" si="13"/>
        <v>Chile9</v>
      </c>
      <c r="L155" s="9">
        <v>9</v>
      </c>
      <c r="M155" s="9">
        <v>0.44469952000000001</v>
      </c>
      <c r="N155" s="9">
        <v>0.50543013999999997</v>
      </c>
      <c r="O155" s="9">
        <v>0.29141739</v>
      </c>
    </row>
    <row r="156" spans="2:15" ht="1" customHeight="1">
      <c r="B156" s="9" t="s">
        <v>41</v>
      </c>
      <c r="C156" s="9" t="str">
        <f t="shared" si="14"/>
        <v>Chile2009</v>
      </c>
      <c r="D156" s="9">
        <v>2009</v>
      </c>
      <c r="E156" s="9">
        <v>0.73707931000000004</v>
      </c>
      <c r="F156" s="9">
        <v>0.40947737000000001</v>
      </c>
      <c r="J156" s="9" t="s">
        <v>41</v>
      </c>
      <c r="K156" s="9" t="str">
        <f t="shared" si="13"/>
        <v>Chile10</v>
      </c>
      <c r="L156" s="9">
        <v>10</v>
      </c>
      <c r="M156" s="9">
        <v>0.50837120999999996</v>
      </c>
      <c r="N156" s="9">
        <v>0.5836517</v>
      </c>
      <c r="O156" s="9">
        <v>0.31887219</v>
      </c>
    </row>
    <row r="157" spans="2:15" ht="1" customHeight="1">
      <c r="B157" s="9" t="s">
        <v>41</v>
      </c>
      <c r="C157" s="9" t="str">
        <f t="shared" si="14"/>
        <v>Chile2010</v>
      </c>
      <c r="D157" s="9">
        <v>2010</v>
      </c>
      <c r="E157" s="9">
        <v>0.86174452999999995</v>
      </c>
      <c r="F157" s="9">
        <v>0.40645383000000002</v>
      </c>
      <c r="J157" s="9" t="s">
        <v>41</v>
      </c>
      <c r="K157" s="9" t="str">
        <f t="shared" si="13"/>
        <v>Chile11</v>
      </c>
      <c r="L157" s="9">
        <v>11</v>
      </c>
      <c r="M157" s="9">
        <v>0.60042554999999997</v>
      </c>
      <c r="N157" s="9">
        <v>0.59857941000000003</v>
      </c>
      <c r="O157" s="9">
        <v>0.37526179999999998</v>
      </c>
    </row>
    <row r="158" spans="2:15" ht="1" customHeight="1">
      <c r="B158" s="9" t="s">
        <v>41</v>
      </c>
      <c r="C158" s="9" t="str">
        <f t="shared" si="14"/>
        <v>Chile2011</v>
      </c>
      <c r="D158" s="9">
        <v>2011</v>
      </c>
      <c r="E158" s="9">
        <v>0.86174452999999995</v>
      </c>
      <c r="F158" s="9">
        <v>0.40645383000000002</v>
      </c>
      <c r="J158" s="9" t="s">
        <v>41</v>
      </c>
      <c r="K158" s="9" t="str">
        <f t="shared" si="13"/>
        <v>Chile12</v>
      </c>
      <c r="L158" s="9">
        <v>12</v>
      </c>
      <c r="M158" s="9">
        <v>0.83196669000000001</v>
      </c>
      <c r="N158" s="9">
        <v>0.81379299000000005</v>
      </c>
      <c r="O158" s="9">
        <v>0.51071865999999999</v>
      </c>
    </row>
    <row r="159" spans="2:15" ht="1" customHeight="1">
      <c r="B159" s="9" t="s">
        <v>41</v>
      </c>
      <c r="C159" s="9" t="str">
        <f t="shared" si="14"/>
        <v>Chile2012</v>
      </c>
      <c r="D159" s="9">
        <v>2012</v>
      </c>
      <c r="E159" s="9">
        <v>0.85096492999999995</v>
      </c>
      <c r="F159" s="9">
        <v>0.35255454000000003</v>
      </c>
      <c r="J159" s="9" t="s">
        <v>41</v>
      </c>
      <c r="K159" s="9" t="str">
        <f t="shared" si="13"/>
        <v>Chile13</v>
      </c>
      <c r="L159" s="9">
        <v>13</v>
      </c>
      <c r="M159" s="9">
        <v>1.0092285999999999</v>
      </c>
      <c r="N159" s="9">
        <v>0.95045963</v>
      </c>
      <c r="O159" s="9">
        <v>0.70200348999999995</v>
      </c>
    </row>
    <row r="160" spans="2:15" ht="1" customHeight="1">
      <c r="B160" s="9" t="s">
        <v>41</v>
      </c>
      <c r="C160" s="9" t="str">
        <f t="shared" si="14"/>
        <v>Chile2013</v>
      </c>
      <c r="D160" s="9">
        <v>2013</v>
      </c>
      <c r="E160" s="9">
        <v>0.85096492999999995</v>
      </c>
      <c r="F160" s="9">
        <v>0.35255454000000003</v>
      </c>
      <c r="J160" s="9" t="s">
        <v>41</v>
      </c>
      <c r="K160" s="9" t="str">
        <f t="shared" si="13"/>
        <v>Chile14</v>
      </c>
      <c r="L160" s="9">
        <v>14</v>
      </c>
      <c r="M160" s="9">
        <v>1.1602707999999999</v>
      </c>
      <c r="N160" s="9">
        <v>1.1168792000000001</v>
      </c>
      <c r="O160" s="9">
        <v>0.79587032000000002</v>
      </c>
    </row>
    <row r="161" spans="2:15" ht="1" customHeight="1">
      <c r="B161" s="9" t="s">
        <v>41</v>
      </c>
      <c r="C161" s="9" t="str">
        <f t="shared" si="14"/>
        <v>Chile2014</v>
      </c>
      <c r="D161" s="9">
        <v>2014</v>
      </c>
      <c r="E161" s="9">
        <v>0.85096492999999995</v>
      </c>
      <c r="F161" s="9">
        <v>0.35255454000000003</v>
      </c>
      <c r="J161" s="9" t="s">
        <v>41</v>
      </c>
      <c r="K161" s="9" t="str">
        <f t="shared" si="13"/>
        <v>Chile15</v>
      </c>
      <c r="L161" s="9">
        <v>15</v>
      </c>
      <c r="M161" s="9">
        <v>1.224378</v>
      </c>
      <c r="N161" s="9">
        <v>1.2159005000000001</v>
      </c>
      <c r="O161" s="9">
        <v>0.82980246999999996</v>
      </c>
    </row>
    <row r="162" spans="2:15" ht="1" customHeight="1">
      <c r="B162" s="9" t="s">
        <v>42</v>
      </c>
      <c r="C162" s="9" t="str">
        <f>CONCATENATE(B162,D162)</f>
        <v>Colombia1995</v>
      </c>
      <c r="D162" s="9">
        <v>1995</v>
      </c>
      <c r="E162" s="9">
        <v>0.72866111</v>
      </c>
      <c r="F162" s="9">
        <v>0.56486844999999997</v>
      </c>
      <c r="J162" s="9" t="s">
        <v>41</v>
      </c>
      <c r="K162" s="9" t="str">
        <f t="shared" si="13"/>
        <v>Chile16</v>
      </c>
      <c r="L162" s="9">
        <v>16</v>
      </c>
      <c r="M162" s="9">
        <v>1.3471599999999999</v>
      </c>
      <c r="N162" s="9">
        <v>1.358805</v>
      </c>
      <c r="O162" s="9">
        <v>1.0836078</v>
      </c>
    </row>
    <row r="163" spans="2:15" ht="1" customHeight="1">
      <c r="B163" s="9" t="s">
        <v>42</v>
      </c>
      <c r="C163" s="9" t="str">
        <f t="shared" ref="C163:C181" si="15">CONCATENATE(B163,D163)</f>
        <v>Colombia1996</v>
      </c>
      <c r="D163" s="9">
        <v>1996</v>
      </c>
      <c r="E163" s="9">
        <v>0.75381039000000005</v>
      </c>
      <c r="F163" s="9">
        <v>0.59537985999999998</v>
      </c>
      <c r="J163" s="9" t="s">
        <v>41</v>
      </c>
      <c r="K163" s="9" t="str">
        <f t="shared" si="13"/>
        <v>Chile17</v>
      </c>
      <c r="L163" s="9">
        <v>17</v>
      </c>
      <c r="M163" s="9">
        <v>1.5586952000000001</v>
      </c>
      <c r="N163" s="9">
        <v>1.6505274000000001</v>
      </c>
      <c r="O163" s="9">
        <v>1.4172555</v>
      </c>
    </row>
    <row r="164" spans="2:15" ht="1" customHeight="1">
      <c r="B164" s="9" t="s">
        <v>42</v>
      </c>
      <c r="C164" s="9" t="str">
        <f t="shared" si="15"/>
        <v>Colombia1997</v>
      </c>
      <c r="D164" s="9">
        <v>1997</v>
      </c>
      <c r="E164" s="9">
        <v>0.78901171000000003</v>
      </c>
      <c r="F164" s="9">
        <v>0.72459211999999995</v>
      </c>
      <c r="J164" s="9" t="s">
        <v>41</v>
      </c>
      <c r="K164" s="9" t="str">
        <f t="shared" si="13"/>
        <v>Chile18</v>
      </c>
      <c r="L164" s="9">
        <v>18</v>
      </c>
      <c r="M164" s="9">
        <v>1.9378690999999999</v>
      </c>
      <c r="N164" s="9">
        <v>1.8302746000000001</v>
      </c>
      <c r="O164" s="9">
        <v>1.4132004</v>
      </c>
    </row>
    <row r="165" spans="2:15" ht="1" customHeight="1">
      <c r="B165" s="9" t="s">
        <v>42</v>
      </c>
      <c r="C165" s="9" t="str">
        <f t="shared" si="15"/>
        <v>Colombia1998</v>
      </c>
      <c r="D165" s="9">
        <v>1998</v>
      </c>
      <c r="E165" s="9">
        <v>0.81137320999999996</v>
      </c>
      <c r="F165" s="9">
        <v>0.61409411999999997</v>
      </c>
      <c r="J165" s="9" t="s">
        <v>41</v>
      </c>
      <c r="K165" s="9" t="str">
        <f t="shared" si="13"/>
        <v>Chile19</v>
      </c>
      <c r="L165" s="9">
        <v>19</v>
      </c>
      <c r="M165" s="9">
        <v>2.0958779000000001</v>
      </c>
      <c r="N165" s="9">
        <v>1.9230408000000001</v>
      </c>
      <c r="O165" s="9">
        <v>1.7158834000000001</v>
      </c>
    </row>
    <row r="166" spans="2:15" ht="1" customHeight="1">
      <c r="B166" s="9" t="s">
        <v>42</v>
      </c>
      <c r="C166" s="9" t="str">
        <f t="shared" si="15"/>
        <v>Colombia1999</v>
      </c>
      <c r="D166" s="9">
        <v>1999</v>
      </c>
      <c r="E166" s="9">
        <v>0.84900388000000004</v>
      </c>
      <c r="F166" s="9">
        <v>0.57190101999999998</v>
      </c>
      <c r="J166" s="9" t="s">
        <v>41</v>
      </c>
      <c r="K166" s="9" t="str">
        <f t="shared" si="13"/>
        <v>Chile20</v>
      </c>
      <c r="L166" s="9">
        <v>20</v>
      </c>
      <c r="O166" s="9">
        <v>1.7301664999999999</v>
      </c>
    </row>
    <row r="167" spans="2:15" ht="1" customHeight="1">
      <c r="B167" s="9" t="s">
        <v>42</v>
      </c>
      <c r="C167" s="9" t="str">
        <f t="shared" si="15"/>
        <v>Colombia2000</v>
      </c>
      <c r="D167" s="9">
        <v>2000</v>
      </c>
      <c r="E167" s="9">
        <v>0.88049798000000001</v>
      </c>
      <c r="F167" s="9">
        <v>0.59195706000000003</v>
      </c>
      <c r="J167" s="9" t="s">
        <v>42</v>
      </c>
      <c r="K167" s="9" t="str">
        <f t="shared" si="13"/>
        <v>Colombia0</v>
      </c>
      <c r="L167" s="9">
        <v>0</v>
      </c>
      <c r="M167" s="9">
        <v>0</v>
      </c>
      <c r="N167" s="9">
        <v>0</v>
      </c>
      <c r="O167" s="9">
        <v>0</v>
      </c>
    </row>
    <row r="168" spans="2:15" ht="1" customHeight="1">
      <c r="B168" s="9" t="s">
        <v>42</v>
      </c>
      <c r="C168" s="9" t="str">
        <f t="shared" si="15"/>
        <v>Colombia2001</v>
      </c>
      <c r="D168" s="9">
        <v>2001</v>
      </c>
      <c r="E168" s="9">
        <v>0.97283375999999999</v>
      </c>
      <c r="F168" s="9">
        <v>0.57075783000000002</v>
      </c>
      <c r="J168" s="9" t="s">
        <v>42</v>
      </c>
      <c r="K168" s="9" t="str">
        <f t="shared" si="13"/>
        <v>Colombia1</v>
      </c>
      <c r="L168" s="9">
        <v>1</v>
      </c>
      <c r="M168" s="9">
        <v>0.16010105999999999</v>
      </c>
      <c r="N168" s="9">
        <v>0.17268286999999999</v>
      </c>
      <c r="O168" s="9">
        <v>5.6804239999999999E-2</v>
      </c>
    </row>
    <row r="169" spans="2:15" ht="1" customHeight="1">
      <c r="B169" s="9" t="s">
        <v>42</v>
      </c>
      <c r="C169" s="9" t="str">
        <f t="shared" si="15"/>
        <v>Colombia2002</v>
      </c>
      <c r="D169" s="9">
        <v>2002</v>
      </c>
      <c r="E169" s="9">
        <v>0.93793335</v>
      </c>
      <c r="F169" s="9">
        <v>0.55924065000000001</v>
      </c>
      <c r="J169" s="9" t="s">
        <v>42</v>
      </c>
      <c r="K169" s="9" t="str">
        <f t="shared" si="13"/>
        <v>Colombia2</v>
      </c>
      <c r="L169" s="9">
        <v>2</v>
      </c>
      <c r="M169" s="9">
        <v>0.11365575</v>
      </c>
      <c r="N169" s="9">
        <v>0.14675455000000001</v>
      </c>
      <c r="O169" s="9">
        <v>0.15348058000000001</v>
      </c>
    </row>
    <row r="170" spans="2:15" ht="1" customHeight="1">
      <c r="B170" s="9" t="s">
        <v>42</v>
      </c>
      <c r="C170" s="9" t="str">
        <f t="shared" si="15"/>
        <v>Colombia2003</v>
      </c>
      <c r="D170" s="9">
        <v>2003</v>
      </c>
      <c r="E170" s="9">
        <v>0.91109806999999998</v>
      </c>
      <c r="F170" s="9">
        <v>0.53033589000000003</v>
      </c>
      <c r="J170" s="9" t="s">
        <v>42</v>
      </c>
      <c r="K170" s="9" t="str">
        <f t="shared" si="13"/>
        <v>Colombia3</v>
      </c>
      <c r="L170" s="9">
        <v>3</v>
      </c>
      <c r="M170" s="9">
        <v>0.22708415000000001</v>
      </c>
      <c r="N170" s="9">
        <v>0.21155599</v>
      </c>
      <c r="O170" s="9">
        <v>0.14540873000000001</v>
      </c>
    </row>
    <row r="171" spans="2:15" ht="1" customHeight="1">
      <c r="B171" s="9" t="s">
        <v>42</v>
      </c>
      <c r="C171" s="9" t="str">
        <f t="shared" si="15"/>
        <v>Colombia2004</v>
      </c>
      <c r="D171" s="9">
        <v>2004</v>
      </c>
      <c r="E171" s="9">
        <v>0.89875349999999998</v>
      </c>
      <c r="F171" s="9">
        <v>0.54784778999999995</v>
      </c>
      <c r="J171" s="9" t="s">
        <v>42</v>
      </c>
      <c r="K171" s="9" t="str">
        <f t="shared" si="13"/>
        <v>Colombia4</v>
      </c>
      <c r="L171" s="9">
        <v>4</v>
      </c>
      <c r="M171" s="9">
        <v>0.27763886999999998</v>
      </c>
      <c r="N171" s="9">
        <v>0.30007213999999999</v>
      </c>
      <c r="O171" s="9">
        <v>0.21124185000000001</v>
      </c>
    </row>
    <row r="172" spans="2:15" ht="1" customHeight="1">
      <c r="B172" s="9" t="s">
        <v>42</v>
      </c>
      <c r="C172" s="9" t="str">
        <f t="shared" si="15"/>
        <v>Colombia2005</v>
      </c>
      <c r="D172" s="9">
        <v>2005</v>
      </c>
      <c r="E172" s="9">
        <v>0.93935329999999995</v>
      </c>
      <c r="F172" s="9">
        <v>0.51113414999999995</v>
      </c>
      <c r="J172" s="9" t="s">
        <v>42</v>
      </c>
      <c r="K172" s="9" t="str">
        <f t="shared" si="13"/>
        <v>Colombia5</v>
      </c>
      <c r="L172" s="9">
        <v>5</v>
      </c>
      <c r="M172" s="9">
        <v>0.46912611999999998</v>
      </c>
      <c r="N172" s="9">
        <v>0.42201274999999999</v>
      </c>
      <c r="O172" s="9">
        <v>0.39464656999999997</v>
      </c>
    </row>
    <row r="173" spans="2:15" ht="1" customHeight="1">
      <c r="B173" s="9" t="s">
        <v>42</v>
      </c>
      <c r="C173" s="9" t="str">
        <f t="shared" si="15"/>
        <v>Colombia2006</v>
      </c>
      <c r="D173" s="9">
        <v>2006</v>
      </c>
      <c r="E173" s="9">
        <v>0.95656410000000003</v>
      </c>
      <c r="F173" s="9">
        <v>0.46587050000000002</v>
      </c>
      <c r="J173" s="9" t="s">
        <v>42</v>
      </c>
      <c r="K173" s="9" t="str">
        <f t="shared" si="13"/>
        <v>Colombia6</v>
      </c>
      <c r="L173" s="9">
        <v>6</v>
      </c>
      <c r="M173" s="9">
        <v>0.60413426000000003</v>
      </c>
      <c r="N173" s="9">
        <v>0.55666048000000001</v>
      </c>
      <c r="O173" s="9">
        <v>0.44488216000000003</v>
      </c>
    </row>
    <row r="174" spans="2:15" ht="1" customHeight="1">
      <c r="B174" s="9" t="s">
        <v>42</v>
      </c>
      <c r="C174" s="9" t="str">
        <f t="shared" si="15"/>
        <v>Colombia2007</v>
      </c>
      <c r="D174" s="9">
        <v>2007</v>
      </c>
      <c r="E174" s="9">
        <v>0.92711770999999998</v>
      </c>
      <c r="F174" s="9">
        <v>0.47383666000000002</v>
      </c>
      <c r="J174" s="9" t="s">
        <v>42</v>
      </c>
      <c r="K174" s="9" t="str">
        <f t="shared" si="13"/>
        <v>Colombia7</v>
      </c>
      <c r="L174" s="9">
        <v>7</v>
      </c>
      <c r="M174" s="9">
        <v>0.70504588999999995</v>
      </c>
      <c r="N174" s="9">
        <v>0.60580701000000003</v>
      </c>
      <c r="O174" s="9">
        <v>0.52412636999999995</v>
      </c>
    </row>
    <row r="175" spans="2:15" ht="1" customHeight="1">
      <c r="B175" s="9" t="s">
        <v>42</v>
      </c>
      <c r="C175" s="9" t="str">
        <f t="shared" si="15"/>
        <v>Colombia2008</v>
      </c>
      <c r="D175" s="9">
        <v>2008</v>
      </c>
      <c r="E175" s="9">
        <v>0.93232694000000005</v>
      </c>
      <c r="F175" s="9">
        <v>0.42421156999999998</v>
      </c>
      <c r="J175" s="9" t="s">
        <v>42</v>
      </c>
      <c r="K175" s="9" t="str">
        <f t="shared" si="13"/>
        <v>Colombia8</v>
      </c>
      <c r="L175" s="9">
        <v>8</v>
      </c>
      <c r="M175" s="9">
        <v>0.72370612999999995</v>
      </c>
      <c r="N175" s="9">
        <v>0.66804450999999998</v>
      </c>
      <c r="O175" s="9">
        <v>0.57123394000000005</v>
      </c>
    </row>
    <row r="176" spans="2:15" ht="1" customHeight="1">
      <c r="B176" s="9" t="s">
        <v>42</v>
      </c>
      <c r="C176" s="9" t="str">
        <f t="shared" si="15"/>
        <v>Colombia2009</v>
      </c>
      <c r="D176" s="9">
        <v>2009</v>
      </c>
      <c r="E176" s="9">
        <v>0.94988616000000003</v>
      </c>
      <c r="F176" s="9">
        <v>0.46034692999999999</v>
      </c>
      <c r="J176" s="9" t="s">
        <v>42</v>
      </c>
      <c r="K176" s="9" t="str">
        <f t="shared" si="13"/>
        <v>Colombia9</v>
      </c>
      <c r="L176" s="9">
        <v>9</v>
      </c>
      <c r="M176" s="9">
        <v>0.79697843000000002</v>
      </c>
      <c r="N176" s="9">
        <v>0.69634264999999995</v>
      </c>
      <c r="O176" s="9">
        <v>0.61888838999999995</v>
      </c>
    </row>
    <row r="177" spans="2:15" ht="1" customHeight="1">
      <c r="B177" s="9" t="s">
        <v>42</v>
      </c>
      <c r="C177" s="9" t="str">
        <f t="shared" si="15"/>
        <v>Colombia2010</v>
      </c>
      <c r="D177" s="9">
        <v>2010</v>
      </c>
      <c r="E177" s="9">
        <v>1.0170026000000001</v>
      </c>
      <c r="F177" s="9">
        <v>0.43322835999999998</v>
      </c>
      <c r="J177" s="9" t="s">
        <v>42</v>
      </c>
      <c r="K177" s="9" t="str">
        <f t="shared" si="13"/>
        <v>Colombia10</v>
      </c>
      <c r="L177" s="9">
        <v>10</v>
      </c>
      <c r="M177" s="9">
        <v>0.80664274000000002</v>
      </c>
      <c r="N177" s="9">
        <v>0.61114875000000002</v>
      </c>
      <c r="O177" s="9">
        <v>0.53787207999999997</v>
      </c>
    </row>
    <row r="178" spans="2:15" ht="1" customHeight="1">
      <c r="B178" s="9" t="s">
        <v>42</v>
      </c>
      <c r="C178" s="9" t="str">
        <f t="shared" si="15"/>
        <v>Colombia2011</v>
      </c>
      <c r="D178" s="9">
        <v>2011</v>
      </c>
      <c r="E178" s="9">
        <v>0.96749257</v>
      </c>
      <c r="F178" s="9">
        <v>0.42840439000000002</v>
      </c>
      <c r="J178" s="9" t="s">
        <v>42</v>
      </c>
      <c r="K178" s="9" t="str">
        <f t="shared" si="13"/>
        <v>Colombia11</v>
      </c>
      <c r="L178" s="9">
        <v>11</v>
      </c>
      <c r="M178" s="9">
        <v>1.0364755999999999</v>
      </c>
      <c r="N178" s="9">
        <v>0.96969048999999996</v>
      </c>
      <c r="O178" s="9">
        <v>0.77972282000000004</v>
      </c>
    </row>
    <row r="179" spans="2:15" ht="1" customHeight="1">
      <c r="B179" s="9" t="s">
        <v>42</v>
      </c>
      <c r="C179" s="9" t="str">
        <f t="shared" si="15"/>
        <v>Colombia2012</v>
      </c>
      <c r="D179" s="9">
        <v>2012</v>
      </c>
      <c r="E179" s="9">
        <v>0.98038702</v>
      </c>
      <c r="F179" s="9">
        <v>0.47310932</v>
      </c>
      <c r="J179" s="9" t="s">
        <v>42</v>
      </c>
      <c r="K179" s="9" t="str">
        <f t="shared" si="13"/>
        <v>Colombia12</v>
      </c>
      <c r="L179" s="9">
        <v>12</v>
      </c>
      <c r="M179" s="9">
        <v>1.2307201000000001</v>
      </c>
      <c r="N179" s="9">
        <v>1.2291479999999999</v>
      </c>
      <c r="O179" s="9">
        <v>1.0170976</v>
      </c>
    </row>
    <row r="180" spans="2:15" ht="1" customHeight="1">
      <c r="B180" s="9" t="s">
        <v>42</v>
      </c>
      <c r="C180" s="9" t="str">
        <f t="shared" si="15"/>
        <v>Colombia2013</v>
      </c>
      <c r="D180" s="9">
        <v>2013</v>
      </c>
      <c r="E180" s="9">
        <v>0.97067780000000004</v>
      </c>
      <c r="F180" s="9">
        <v>0.38817353999999998</v>
      </c>
      <c r="J180" s="9" t="s">
        <v>42</v>
      </c>
      <c r="K180" s="9" t="str">
        <f t="shared" si="13"/>
        <v>Colombia13</v>
      </c>
      <c r="L180" s="9">
        <v>13</v>
      </c>
      <c r="M180" s="9">
        <v>1.2786286</v>
      </c>
      <c r="N180" s="9">
        <v>1.2887466000000001</v>
      </c>
      <c r="O180" s="9">
        <v>1.1037612000000001</v>
      </c>
    </row>
    <row r="181" spans="2:15" ht="1" customHeight="1">
      <c r="B181" s="9" t="s">
        <v>42</v>
      </c>
      <c r="C181" s="9" t="str">
        <f t="shared" si="15"/>
        <v>Colombia2014</v>
      </c>
      <c r="D181" s="9">
        <v>2014</v>
      </c>
      <c r="E181" s="9">
        <v>0.97430835999999998</v>
      </c>
      <c r="F181" s="9">
        <v>0.44122244999999999</v>
      </c>
      <c r="J181" s="9" t="s">
        <v>42</v>
      </c>
      <c r="K181" s="9" t="str">
        <f t="shared" si="13"/>
        <v>Colombia14</v>
      </c>
      <c r="L181" s="9">
        <v>14</v>
      </c>
      <c r="M181" s="9">
        <v>1.3955386999999999</v>
      </c>
      <c r="N181" s="9">
        <v>1.3701756</v>
      </c>
      <c r="O181" s="9">
        <v>1.2614599</v>
      </c>
    </row>
    <row r="182" spans="2:15" ht="1" customHeight="1">
      <c r="B182" s="9" t="s">
        <v>43</v>
      </c>
      <c r="C182" s="9" t="str">
        <f>CONCATENATE(B182,D182)</f>
        <v>Costa Rica1995</v>
      </c>
      <c r="D182" s="9">
        <v>1995</v>
      </c>
      <c r="E182" s="9">
        <v>0.58952870999999996</v>
      </c>
      <c r="F182" s="9">
        <v>0.40160739000000001</v>
      </c>
      <c r="J182" s="9" t="s">
        <v>42</v>
      </c>
      <c r="K182" s="9" t="str">
        <f t="shared" si="13"/>
        <v>Colombia15</v>
      </c>
      <c r="L182" s="9">
        <v>15</v>
      </c>
      <c r="M182" s="9">
        <v>1.4932188</v>
      </c>
      <c r="N182" s="9">
        <v>1.6776613</v>
      </c>
      <c r="O182" s="9">
        <v>1.3779836000000001</v>
      </c>
    </row>
    <row r="183" spans="2:15" ht="1" customHeight="1">
      <c r="B183" s="9" t="s">
        <v>43</v>
      </c>
      <c r="C183" s="9" t="str">
        <f t="shared" ref="C183:C201" si="16">CONCATENATE(B183,D183)</f>
        <v>Costa Rica1996</v>
      </c>
      <c r="D183" s="9">
        <v>1996</v>
      </c>
      <c r="E183" s="9">
        <v>0.49965746999999999</v>
      </c>
      <c r="F183" s="9">
        <v>0.46751489000000002</v>
      </c>
      <c r="J183" s="9" t="s">
        <v>42</v>
      </c>
      <c r="K183" s="9" t="str">
        <f t="shared" si="13"/>
        <v>Colombia16</v>
      </c>
      <c r="L183" s="9">
        <v>16</v>
      </c>
      <c r="M183" s="9">
        <v>1.8034961</v>
      </c>
      <c r="N183" s="9">
        <v>1.8250691999999999</v>
      </c>
      <c r="O183" s="9">
        <v>1.6893037</v>
      </c>
    </row>
    <row r="184" spans="2:15" ht="1" customHeight="1">
      <c r="B184" s="9" t="s">
        <v>43</v>
      </c>
      <c r="C184" s="9" t="str">
        <f t="shared" si="16"/>
        <v>Costa Rica1997</v>
      </c>
      <c r="D184" s="9">
        <v>1997</v>
      </c>
      <c r="E184" s="9">
        <v>0.50150888000000005</v>
      </c>
      <c r="F184" s="9">
        <v>0.44053491</v>
      </c>
      <c r="J184" s="9" t="s">
        <v>42</v>
      </c>
      <c r="K184" s="9" t="str">
        <f t="shared" si="13"/>
        <v>Colombia17</v>
      </c>
      <c r="L184" s="9">
        <v>17</v>
      </c>
      <c r="M184" s="9">
        <v>1.8693708</v>
      </c>
      <c r="N184" s="9">
        <v>1.9362326000000001</v>
      </c>
      <c r="O184" s="9">
        <v>1.9336537</v>
      </c>
    </row>
    <row r="185" spans="2:15" ht="1" customHeight="1">
      <c r="B185" s="9" t="s">
        <v>43</v>
      </c>
      <c r="C185" s="9" t="str">
        <f t="shared" si="16"/>
        <v>Costa Rica1998</v>
      </c>
      <c r="D185" s="9">
        <v>1998</v>
      </c>
      <c r="E185" s="9">
        <v>0.56869208000000004</v>
      </c>
      <c r="F185" s="9">
        <v>0.40895419999999999</v>
      </c>
      <c r="J185" s="9" t="s">
        <v>42</v>
      </c>
      <c r="K185" s="9" t="str">
        <f t="shared" si="13"/>
        <v>Colombia18</v>
      </c>
      <c r="L185" s="9">
        <v>18</v>
      </c>
      <c r="M185" s="9">
        <v>2.0480136</v>
      </c>
      <c r="N185" s="9">
        <v>2.1886735000000002</v>
      </c>
      <c r="O185" s="9">
        <v>2.0185919000000001</v>
      </c>
    </row>
    <row r="186" spans="2:15" ht="1" customHeight="1">
      <c r="B186" s="9" t="s">
        <v>43</v>
      </c>
      <c r="C186" s="9" t="str">
        <f t="shared" si="16"/>
        <v>Costa Rica1999</v>
      </c>
      <c r="D186" s="9">
        <v>1999</v>
      </c>
      <c r="E186" s="9">
        <v>0.63283217000000003</v>
      </c>
      <c r="F186" s="9">
        <v>0.41581794999999999</v>
      </c>
      <c r="J186" s="9" t="s">
        <v>42</v>
      </c>
      <c r="K186" s="9" t="str">
        <f t="shared" si="13"/>
        <v>Colombia19</v>
      </c>
      <c r="L186" s="9">
        <v>19</v>
      </c>
      <c r="N186" s="9">
        <v>2.0379025</v>
      </c>
      <c r="O186" s="9">
        <v>1.9252617000000001</v>
      </c>
    </row>
    <row r="187" spans="2:15" ht="1" customHeight="1">
      <c r="B187" s="9" t="s">
        <v>43</v>
      </c>
      <c r="C187" s="9" t="str">
        <f t="shared" si="16"/>
        <v>Costa Rica2000</v>
      </c>
      <c r="D187" s="9">
        <v>2000</v>
      </c>
      <c r="E187" s="9">
        <v>0.65286853</v>
      </c>
      <c r="F187" s="9">
        <v>0.47657277999999997</v>
      </c>
      <c r="J187" s="9" t="s">
        <v>42</v>
      </c>
      <c r="K187" s="9" t="str">
        <f t="shared" si="13"/>
        <v>Colombia20</v>
      </c>
      <c r="L187" s="9">
        <v>20</v>
      </c>
      <c r="N187" s="9">
        <v>2.3570346999999998</v>
      </c>
      <c r="O187" s="9">
        <v>2.0002677000000002</v>
      </c>
    </row>
    <row r="188" spans="2:15" ht="1" customHeight="1">
      <c r="B188" s="9" t="s">
        <v>43</v>
      </c>
      <c r="C188" s="9" t="str">
        <f t="shared" si="16"/>
        <v>Costa Rica2001</v>
      </c>
      <c r="D188" s="9">
        <v>2001</v>
      </c>
      <c r="E188" s="9">
        <v>0.65286853</v>
      </c>
      <c r="F188" s="9">
        <v>0.47657277999999997</v>
      </c>
      <c r="J188" s="9" t="s">
        <v>43</v>
      </c>
      <c r="K188" s="9" t="str">
        <f t="shared" si="13"/>
        <v>Costa Rica0</v>
      </c>
      <c r="L188" s="9">
        <v>0</v>
      </c>
      <c r="M188" s="9">
        <v>0</v>
      </c>
      <c r="N188" s="9">
        <v>0</v>
      </c>
      <c r="O188" s="9">
        <v>0</v>
      </c>
    </row>
    <row r="189" spans="2:15" ht="1" customHeight="1">
      <c r="B189" s="9" t="s">
        <v>43</v>
      </c>
      <c r="C189" s="9" t="str">
        <f t="shared" si="16"/>
        <v>Costa Rica2002</v>
      </c>
      <c r="D189" s="9">
        <v>2002</v>
      </c>
      <c r="E189" s="9">
        <v>0.65290875999999998</v>
      </c>
      <c r="F189" s="9">
        <v>0.44704236000000003</v>
      </c>
      <c r="J189" s="9" t="s">
        <v>43</v>
      </c>
      <c r="K189" s="9" t="str">
        <f t="shared" si="13"/>
        <v>Costa Rica1</v>
      </c>
      <c r="L189" s="9">
        <v>1</v>
      </c>
      <c r="M189" s="9">
        <v>-2.4531089999999998E-2</v>
      </c>
      <c r="N189" s="9">
        <v>9.4978460000000001E-2</v>
      </c>
      <c r="O189" s="9">
        <v>5.2868690000000003E-2</v>
      </c>
    </row>
    <row r="190" spans="2:15" ht="1" customHeight="1">
      <c r="B190" s="9" t="s">
        <v>43</v>
      </c>
      <c r="C190" s="9" t="str">
        <f t="shared" si="16"/>
        <v>Costa Rica2003</v>
      </c>
      <c r="D190" s="9">
        <v>2003</v>
      </c>
      <c r="E190" s="9">
        <v>0.65144310999999999</v>
      </c>
      <c r="F190" s="9">
        <v>0.43776003000000002</v>
      </c>
      <c r="J190" s="9" t="s">
        <v>43</v>
      </c>
      <c r="K190" s="9" t="str">
        <f t="shared" si="13"/>
        <v>Costa Rica2</v>
      </c>
      <c r="L190" s="9">
        <v>2</v>
      </c>
      <c r="M190" s="9">
        <v>0.13064663000000001</v>
      </c>
      <c r="N190" s="9">
        <v>0.23460727000000001</v>
      </c>
      <c r="O190" s="9">
        <v>0.12567247000000001</v>
      </c>
    </row>
    <row r="191" spans="2:15" ht="1" customHeight="1">
      <c r="B191" s="9" t="s">
        <v>43</v>
      </c>
      <c r="C191" s="9" t="str">
        <f t="shared" si="16"/>
        <v>Costa Rica2004</v>
      </c>
      <c r="D191" s="9">
        <v>2004</v>
      </c>
      <c r="E191" s="9">
        <v>0.56184106</v>
      </c>
      <c r="F191" s="9">
        <v>0.46719506999999999</v>
      </c>
      <c r="J191" s="9" t="s">
        <v>43</v>
      </c>
      <c r="K191" s="9" t="str">
        <f t="shared" ref="K191:K254" si="17">CONCATENATE(J191,L191)</f>
        <v>Costa Rica3</v>
      </c>
      <c r="L191" s="9">
        <v>3</v>
      </c>
      <c r="M191" s="9">
        <v>0.19897570000000001</v>
      </c>
      <c r="N191" s="9">
        <v>0.29008460000000003</v>
      </c>
      <c r="O191" s="9">
        <v>0.13909631</v>
      </c>
    </row>
    <row r="192" spans="2:15" ht="1" customHeight="1">
      <c r="B192" s="9" t="s">
        <v>43</v>
      </c>
      <c r="C192" s="9" t="str">
        <f t="shared" si="16"/>
        <v>Costa Rica2005</v>
      </c>
      <c r="D192" s="9">
        <v>2005</v>
      </c>
      <c r="E192" s="9">
        <v>0.65050479000000005</v>
      </c>
      <c r="F192" s="9">
        <v>0.41665074000000002</v>
      </c>
      <c r="J192" s="9" t="s">
        <v>43</v>
      </c>
      <c r="K192" s="9" t="str">
        <f t="shared" si="17"/>
        <v>Costa Rica4</v>
      </c>
      <c r="L192" s="9">
        <v>4</v>
      </c>
      <c r="M192" s="9">
        <v>0.32536537999999998</v>
      </c>
      <c r="N192" s="9">
        <v>0.24490561999999999</v>
      </c>
      <c r="O192" s="9">
        <v>0.17080517000000001</v>
      </c>
    </row>
    <row r="193" spans="2:15" ht="1" customHeight="1">
      <c r="B193" s="9" t="s">
        <v>43</v>
      </c>
      <c r="C193" s="9" t="str">
        <f t="shared" si="16"/>
        <v>Costa Rica2006</v>
      </c>
      <c r="D193" s="9">
        <v>2006</v>
      </c>
      <c r="E193" s="9">
        <v>0.63460832</v>
      </c>
      <c r="F193" s="9">
        <v>0.44205440000000001</v>
      </c>
      <c r="J193" s="9" t="s">
        <v>43</v>
      </c>
      <c r="K193" s="9" t="str">
        <f t="shared" si="17"/>
        <v>Costa Rica5</v>
      </c>
      <c r="L193" s="9">
        <v>5</v>
      </c>
      <c r="M193" s="9">
        <v>0.32658458000000001</v>
      </c>
      <c r="N193" s="9">
        <v>0.29033502999999999</v>
      </c>
      <c r="O193" s="9">
        <v>0.16284388</v>
      </c>
    </row>
    <row r="194" spans="2:15" ht="1" customHeight="1">
      <c r="B194" s="9" t="s">
        <v>43</v>
      </c>
      <c r="C194" s="9" t="str">
        <f t="shared" si="16"/>
        <v>Costa Rica2007</v>
      </c>
      <c r="D194" s="9">
        <v>2007</v>
      </c>
      <c r="E194" s="9">
        <v>0.63235467999999995</v>
      </c>
      <c r="F194" s="9">
        <v>0.40489323999999999</v>
      </c>
      <c r="J194" s="9" t="s">
        <v>43</v>
      </c>
      <c r="K194" s="9" t="str">
        <f t="shared" si="17"/>
        <v>Costa Rica6</v>
      </c>
      <c r="L194" s="9">
        <v>6</v>
      </c>
      <c r="M194" s="9">
        <v>0.42823041000000001</v>
      </c>
      <c r="N194" s="9">
        <v>0.40624252999999999</v>
      </c>
      <c r="O194" s="9">
        <v>0.33701174</v>
      </c>
    </row>
    <row r="195" spans="2:15" ht="1" customHeight="1">
      <c r="B195" s="9" t="s">
        <v>43</v>
      </c>
      <c r="C195" s="9" t="str">
        <f t="shared" si="16"/>
        <v>Costa Rica2008</v>
      </c>
      <c r="D195" s="9">
        <v>2008</v>
      </c>
      <c r="E195" s="9">
        <v>0.66776937000000003</v>
      </c>
      <c r="F195" s="9">
        <v>0.38695070999999998</v>
      </c>
      <c r="J195" s="9" t="s">
        <v>43</v>
      </c>
      <c r="K195" s="9" t="str">
        <f t="shared" si="17"/>
        <v>Costa Rica7</v>
      </c>
      <c r="L195" s="9">
        <v>7</v>
      </c>
      <c r="M195" s="9">
        <v>0.56163892000000004</v>
      </c>
      <c r="N195" s="9">
        <v>0.46800336999999997</v>
      </c>
      <c r="O195" s="9">
        <v>0.36664474000000002</v>
      </c>
    </row>
    <row r="196" spans="2:15" ht="1" customHeight="1">
      <c r="B196" s="9" t="s">
        <v>43</v>
      </c>
      <c r="C196" s="9" t="str">
        <f t="shared" si="16"/>
        <v>Costa Rica2009</v>
      </c>
      <c r="D196" s="9">
        <v>2009</v>
      </c>
      <c r="E196" s="9">
        <v>0.64362001000000002</v>
      </c>
      <c r="F196" s="9">
        <v>0.48715554999999999</v>
      </c>
      <c r="J196" s="9" t="s">
        <v>43</v>
      </c>
      <c r="K196" s="9" t="str">
        <f t="shared" si="17"/>
        <v>Costa Rica8</v>
      </c>
      <c r="L196" s="9">
        <v>8</v>
      </c>
      <c r="M196" s="9">
        <v>0.54121474000000003</v>
      </c>
      <c r="N196" s="9">
        <v>0.54419607000000003</v>
      </c>
      <c r="O196" s="9">
        <v>0.44126375000000001</v>
      </c>
    </row>
    <row r="197" spans="2:15" ht="1" customHeight="1">
      <c r="B197" s="9" t="s">
        <v>43</v>
      </c>
      <c r="C197" s="9" t="str">
        <f t="shared" si="16"/>
        <v>Costa Rica2010</v>
      </c>
      <c r="D197" s="9">
        <v>2010</v>
      </c>
      <c r="E197" s="9">
        <v>0.69224222999999996</v>
      </c>
      <c r="F197" s="9">
        <v>0.48376641999999997</v>
      </c>
      <c r="J197" s="9" t="s">
        <v>43</v>
      </c>
      <c r="K197" s="9" t="str">
        <f t="shared" si="17"/>
        <v>Costa Rica9</v>
      </c>
      <c r="L197" s="9">
        <v>9</v>
      </c>
      <c r="M197" s="9">
        <v>0.61719469999999998</v>
      </c>
      <c r="N197" s="9">
        <v>0.64742876000000005</v>
      </c>
      <c r="O197" s="9">
        <v>0.63325496999999997</v>
      </c>
    </row>
    <row r="198" spans="2:15" ht="1" customHeight="1">
      <c r="B198" s="9" t="s">
        <v>43</v>
      </c>
      <c r="C198" s="9" t="str">
        <f t="shared" si="16"/>
        <v>Costa Rica2011</v>
      </c>
      <c r="D198" s="9">
        <v>2011</v>
      </c>
      <c r="E198" s="9">
        <v>0.79226350999999995</v>
      </c>
      <c r="F198" s="9">
        <v>0.48595713000000001</v>
      </c>
      <c r="J198" s="9" t="s">
        <v>43</v>
      </c>
      <c r="K198" s="9" t="str">
        <f t="shared" si="17"/>
        <v>Costa Rica10</v>
      </c>
      <c r="L198" s="9">
        <v>10</v>
      </c>
      <c r="M198" s="9">
        <v>0.67984575000000003</v>
      </c>
      <c r="N198" s="9">
        <v>0.71917344999999999</v>
      </c>
      <c r="O198" s="9">
        <v>0.55626436000000001</v>
      </c>
    </row>
    <row r="199" spans="2:15" ht="1" customHeight="1">
      <c r="B199" s="9" t="s">
        <v>43</v>
      </c>
      <c r="C199" s="9" t="str">
        <f t="shared" si="16"/>
        <v>Costa Rica2012</v>
      </c>
      <c r="D199" s="9">
        <v>2012</v>
      </c>
      <c r="E199" s="9">
        <v>0.74626725999999999</v>
      </c>
      <c r="F199" s="9">
        <v>0.50276228999999995</v>
      </c>
      <c r="J199" s="9" t="s">
        <v>43</v>
      </c>
      <c r="K199" s="9" t="str">
        <f t="shared" si="17"/>
        <v>Costa Rica11</v>
      </c>
      <c r="L199" s="9">
        <v>11</v>
      </c>
      <c r="M199" s="9">
        <v>0.82800114999999996</v>
      </c>
      <c r="N199" s="9">
        <v>0.87314645999999996</v>
      </c>
      <c r="O199" s="9">
        <v>0.86886359000000002</v>
      </c>
    </row>
    <row r="200" spans="2:15" ht="1" customHeight="1">
      <c r="B200" s="9" t="s">
        <v>43</v>
      </c>
      <c r="C200" s="9" t="str">
        <f t="shared" si="16"/>
        <v>Costa Rica2013</v>
      </c>
      <c r="D200" s="9">
        <v>2013</v>
      </c>
      <c r="E200" s="9">
        <v>0.76404126999999999</v>
      </c>
      <c r="F200" s="9">
        <v>0.53472167999999998</v>
      </c>
      <c r="J200" s="9" t="s">
        <v>43</v>
      </c>
      <c r="K200" s="9" t="str">
        <f t="shared" si="17"/>
        <v>Costa Rica12</v>
      </c>
      <c r="L200" s="9">
        <v>12</v>
      </c>
      <c r="M200" s="9">
        <v>0.98933663000000005</v>
      </c>
      <c r="N200" s="9">
        <v>1.0275942</v>
      </c>
      <c r="O200" s="9">
        <v>0.99396013999999999</v>
      </c>
    </row>
    <row r="201" spans="2:15" ht="1" customHeight="1">
      <c r="B201" s="9" t="s">
        <v>43</v>
      </c>
      <c r="C201" s="9" t="str">
        <f t="shared" si="16"/>
        <v>Costa Rica2014</v>
      </c>
      <c r="D201" s="9">
        <v>2014</v>
      </c>
      <c r="E201" s="9">
        <v>0.84039037999999999</v>
      </c>
      <c r="F201" s="9">
        <v>0.48045496999999998</v>
      </c>
      <c r="J201" s="9" t="s">
        <v>43</v>
      </c>
      <c r="K201" s="9" t="str">
        <f t="shared" si="17"/>
        <v>Costa Rica13</v>
      </c>
      <c r="L201" s="9">
        <v>13</v>
      </c>
      <c r="M201" s="9">
        <v>0.92292468000000005</v>
      </c>
      <c r="N201" s="9">
        <v>0.93807130999999999</v>
      </c>
      <c r="O201" s="9">
        <v>1.0781480000000001</v>
      </c>
    </row>
    <row r="202" spans="2:15" ht="1" customHeight="1">
      <c r="B202" s="9" t="s">
        <v>113</v>
      </c>
      <c r="C202" s="9" t="str">
        <f>CONCATENATE(B202,D202)</f>
        <v>Dominican Republic1995</v>
      </c>
      <c r="D202" s="9">
        <v>1995</v>
      </c>
      <c r="E202" s="9">
        <v>0.80187744999999999</v>
      </c>
      <c r="F202" s="9">
        <v>0.29498228999999998</v>
      </c>
      <c r="J202" s="9" t="s">
        <v>43</v>
      </c>
      <c r="K202" s="9" t="str">
        <f t="shared" si="17"/>
        <v>Costa Rica14</v>
      </c>
      <c r="L202" s="9">
        <v>14</v>
      </c>
      <c r="M202" s="9">
        <v>0.97343104000000003</v>
      </c>
      <c r="N202" s="9">
        <v>1.0890046</v>
      </c>
      <c r="O202" s="9">
        <v>1.1591216</v>
      </c>
    </row>
    <row r="203" spans="2:15" ht="1" customHeight="1">
      <c r="B203" s="9" t="s">
        <v>113</v>
      </c>
      <c r="C203" s="9" t="str">
        <f t="shared" ref="C203:C221" si="18">CONCATENATE(B203,D203)</f>
        <v>Dominican Republic1996</v>
      </c>
      <c r="D203" s="9">
        <v>1996</v>
      </c>
      <c r="E203" s="9">
        <v>0.65083334999999998</v>
      </c>
      <c r="F203" s="9">
        <v>0.26933100999999998</v>
      </c>
      <c r="J203" s="9" t="s">
        <v>43</v>
      </c>
      <c r="K203" s="9" t="str">
        <f t="shared" si="17"/>
        <v>Costa Rica15</v>
      </c>
      <c r="L203" s="9">
        <v>15</v>
      </c>
      <c r="M203" s="9">
        <v>1.2831929</v>
      </c>
      <c r="N203" s="9">
        <v>1.1311429</v>
      </c>
      <c r="O203" s="9">
        <v>1.3360363</v>
      </c>
    </row>
    <row r="204" spans="2:15" ht="1" customHeight="1">
      <c r="B204" s="9" t="s">
        <v>113</v>
      </c>
      <c r="C204" s="9" t="str">
        <f t="shared" si="18"/>
        <v>Dominican Republic1997</v>
      </c>
      <c r="D204" s="9">
        <v>1997</v>
      </c>
      <c r="E204" s="9">
        <v>0.64456334999999998</v>
      </c>
      <c r="F204" s="9">
        <v>0.24463523000000001</v>
      </c>
      <c r="J204" s="9" t="s">
        <v>43</v>
      </c>
      <c r="K204" s="9" t="str">
        <f t="shared" si="17"/>
        <v>Costa Rica16</v>
      </c>
      <c r="L204" s="9">
        <v>16</v>
      </c>
      <c r="M204" s="9">
        <v>1.3557699000000001</v>
      </c>
      <c r="N204" s="9">
        <v>1.4451735000000001</v>
      </c>
      <c r="O204" s="9">
        <v>1.5481317000000001</v>
      </c>
    </row>
    <row r="205" spans="2:15" ht="1" customHeight="1">
      <c r="B205" s="9" t="s">
        <v>113</v>
      </c>
      <c r="C205" s="9" t="str">
        <f t="shared" si="18"/>
        <v>Dominican Republic1998</v>
      </c>
      <c r="D205" s="9">
        <v>1998</v>
      </c>
      <c r="E205" s="9">
        <v>0.64456334999999998</v>
      </c>
      <c r="F205" s="9">
        <v>0.24463523000000001</v>
      </c>
      <c r="J205" s="9" t="s">
        <v>43</v>
      </c>
      <c r="K205" s="9" t="str">
        <f t="shared" si="17"/>
        <v>Costa Rica17</v>
      </c>
      <c r="L205" s="9">
        <v>17</v>
      </c>
      <c r="M205" s="9">
        <v>1.4986131</v>
      </c>
      <c r="N205" s="9">
        <v>1.5632322999999999</v>
      </c>
      <c r="O205" s="9">
        <v>1.7577126999999999</v>
      </c>
    </row>
    <row r="206" spans="2:15" ht="1" customHeight="1">
      <c r="B206" s="9" t="s">
        <v>113</v>
      </c>
      <c r="C206" s="9" t="str">
        <f t="shared" si="18"/>
        <v>Dominican Republic1999</v>
      </c>
      <c r="D206" s="9">
        <v>1999</v>
      </c>
      <c r="E206" s="9">
        <v>0.71522775999999999</v>
      </c>
      <c r="F206" s="9">
        <v>0.46768035000000002</v>
      </c>
      <c r="J206" s="9" t="s">
        <v>43</v>
      </c>
      <c r="K206" s="9" t="str">
        <f t="shared" si="17"/>
        <v>Costa Rica18</v>
      </c>
      <c r="L206" s="9">
        <v>18</v>
      </c>
      <c r="M206" s="9">
        <v>1.6833231</v>
      </c>
      <c r="N206" s="9">
        <v>1.6550227</v>
      </c>
      <c r="O206" s="9">
        <v>1.8552587</v>
      </c>
    </row>
    <row r="207" spans="2:15" ht="1" customHeight="1">
      <c r="B207" s="9" t="s">
        <v>113</v>
      </c>
      <c r="C207" s="9" t="str">
        <f t="shared" si="18"/>
        <v>Dominican Republic2000</v>
      </c>
      <c r="D207" s="9">
        <v>2000</v>
      </c>
      <c r="E207" s="9">
        <v>0.71522775999999999</v>
      </c>
      <c r="F207" s="9">
        <v>0.46768035000000002</v>
      </c>
      <c r="J207" s="9" t="s">
        <v>43</v>
      </c>
      <c r="K207" s="9" t="str">
        <f t="shared" si="17"/>
        <v>Costa Rica19</v>
      </c>
      <c r="L207" s="9">
        <v>19</v>
      </c>
      <c r="M207" s="9">
        <v>1.6613830999999999</v>
      </c>
      <c r="N207" s="9">
        <v>1.7647895</v>
      </c>
      <c r="O207" s="9">
        <v>1.6808946</v>
      </c>
    </row>
    <row r="208" spans="2:15" ht="1" customHeight="1">
      <c r="B208" s="9" t="s">
        <v>113</v>
      </c>
      <c r="C208" s="9" t="str">
        <f t="shared" si="18"/>
        <v>Dominican Republic2001</v>
      </c>
      <c r="D208" s="9">
        <v>2001</v>
      </c>
      <c r="E208" s="9">
        <v>0.81318542000000005</v>
      </c>
      <c r="F208" s="9">
        <v>0.41244515999999998</v>
      </c>
      <c r="J208" s="9" t="s">
        <v>43</v>
      </c>
      <c r="K208" s="9" t="str">
        <f t="shared" si="17"/>
        <v>Costa Rica20</v>
      </c>
      <c r="L208" s="9">
        <v>20</v>
      </c>
      <c r="M208" s="9">
        <v>1.8220255000000001</v>
      </c>
      <c r="N208" s="9">
        <v>1.6045598000000001</v>
      </c>
      <c r="O208" s="9">
        <v>2.0307463000000001</v>
      </c>
    </row>
    <row r="209" spans="2:15" ht="1" customHeight="1">
      <c r="B209" s="9" t="s">
        <v>113</v>
      </c>
      <c r="C209" s="9" t="str">
        <f t="shared" si="18"/>
        <v>Dominican Republic2002</v>
      </c>
      <c r="D209" s="9">
        <v>2002</v>
      </c>
      <c r="E209" s="9">
        <v>0.7654782</v>
      </c>
      <c r="F209" s="9">
        <v>0.42596348000000001</v>
      </c>
      <c r="J209" s="9" t="s">
        <v>113</v>
      </c>
      <c r="K209" s="9" t="str">
        <f t="shared" si="17"/>
        <v>Dominican Republic0</v>
      </c>
      <c r="L209" s="9">
        <v>0</v>
      </c>
      <c r="M209" s="9">
        <v>0</v>
      </c>
      <c r="N209" s="9">
        <v>0</v>
      </c>
      <c r="O209" s="9">
        <v>0</v>
      </c>
    </row>
    <row r="210" spans="2:15" ht="1" customHeight="1">
      <c r="B210" s="9" t="s">
        <v>113</v>
      </c>
      <c r="C210" s="9" t="str">
        <f t="shared" si="18"/>
        <v>Dominican Republic2003</v>
      </c>
      <c r="D210" s="9">
        <v>2003</v>
      </c>
      <c r="E210" s="9">
        <v>0.73682431999999998</v>
      </c>
      <c r="F210" s="9">
        <v>0.41760127000000002</v>
      </c>
      <c r="J210" s="9" t="s">
        <v>113</v>
      </c>
      <c r="K210" s="9" t="str">
        <f t="shared" si="17"/>
        <v>Dominican Republic1</v>
      </c>
      <c r="L210" s="9">
        <v>1</v>
      </c>
      <c r="M210" s="9">
        <v>8.8024039999999998E-2</v>
      </c>
      <c r="N210" s="9">
        <v>8.9278640000000006E-2</v>
      </c>
      <c r="O210" s="9">
        <v>0.13884503000000001</v>
      </c>
    </row>
    <row r="211" spans="2:15" ht="1" customHeight="1">
      <c r="B211" s="9" t="s">
        <v>113</v>
      </c>
      <c r="C211" s="9" t="str">
        <f t="shared" si="18"/>
        <v>Dominican Republic2004</v>
      </c>
      <c r="D211" s="9">
        <v>2004</v>
      </c>
      <c r="E211" s="9">
        <v>0.77430060999999994</v>
      </c>
      <c r="F211" s="9">
        <v>0.28237826999999999</v>
      </c>
      <c r="J211" s="9" t="s">
        <v>113</v>
      </c>
      <c r="K211" s="9" t="str">
        <f t="shared" si="17"/>
        <v>Dominican Republic2</v>
      </c>
      <c r="L211" s="9">
        <v>2</v>
      </c>
      <c r="M211" s="9">
        <v>0.15146866</v>
      </c>
      <c r="N211" s="9">
        <v>0.16258506</v>
      </c>
      <c r="O211" s="9">
        <v>0.24551029999999999</v>
      </c>
    </row>
    <row r="212" spans="2:15" ht="1" customHeight="1">
      <c r="B212" s="9" t="s">
        <v>113</v>
      </c>
      <c r="C212" s="9" t="str">
        <f t="shared" si="18"/>
        <v>Dominican Republic2005</v>
      </c>
      <c r="D212" s="9">
        <v>2005</v>
      </c>
      <c r="E212" s="9">
        <v>0.67997702000000004</v>
      </c>
      <c r="F212" s="9">
        <v>0.47139007999999999</v>
      </c>
      <c r="J212" s="9" t="s">
        <v>113</v>
      </c>
      <c r="K212" s="9" t="str">
        <f t="shared" si="17"/>
        <v>Dominican Republic3</v>
      </c>
      <c r="L212" s="9">
        <v>3</v>
      </c>
      <c r="M212" s="9">
        <v>0.18303348999999999</v>
      </c>
      <c r="N212" s="9">
        <v>0.18104629</v>
      </c>
      <c r="O212" s="9">
        <v>0.23260713999999999</v>
      </c>
    </row>
    <row r="213" spans="2:15" ht="1" customHeight="1">
      <c r="B213" s="9" t="s">
        <v>113</v>
      </c>
      <c r="C213" s="9" t="str">
        <f t="shared" si="18"/>
        <v>Dominican Republic2006</v>
      </c>
      <c r="D213" s="9">
        <v>2006</v>
      </c>
      <c r="E213" s="9">
        <v>0.84674559999999999</v>
      </c>
      <c r="F213" s="9">
        <v>0.34847315000000001</v>
      </c>
      <c r="J213" s="9" t="s">
        <v>113</v>
      </c>
      <c r="K213" s="9" t="str">
        <f t="shared" si="17"/>
        <v>Dominican Republic4</v>
      </c>
      <c r="L213" s="9">
        <v>4</v>
      </c>
      <c r="M213" s="9">
        <v>0.27112830999999998</v>
      </c>
      <c r="N213" s="9">
        <v>0.31980753000000001</v>
      </c>
      <c r="O213" s="9">
        <v>0.30005315999999999</v>
      </c>
    </row>
    <row r="214" spans="2:15" ht="1" customHeight="1">
      <c r="B214" s="9" t="s">
        <v>113</v>
      </c>
      <c r="C214" s="9" t="str">
        <f t="shared" si="18"/>
        <v>Dominican Republic2007</v>
      </c>
      <c r="D214" s="9">
        <v>2007</v>
      </c>
      <c r="E214" s="9">
        <v>0.80621631999999999</v>
      </c>
      <c r="F214" s="9">
        <v>0.31877454</v>
      </c>
      <c r="J214" s="9" t="s">
        <v>113</v>
      </c>
      <c r="K214" s="9" t="str">
        <f t="shared" si="17"/>
        <v>Dominican Republic5</v>
      </c>
      <c r="L214" s="9">
        <v>5</v>
      </c>
      <c r="M214" s="9">
        <v>0.29795389999999999</v>
      </c>
      <c r="N214" s="9">
        <v>0.30449305999999998</v>
      </c>
      <c r="O214" s="9">
        <v>0.25680674999999997</v>
      </c>
    </row>
    <row r="215" spans="2:15" ht="1" customHeight="1">
      <c r="B215" s="9" t="s">
        <v>113</v>
      </c>
      <c r="C215" s="9" t="str">
        <f t="shared" si="18"/>
        <v>Dominican Republic2008</v>
      </c>
      <c r="D215" s="9">
        <v>2008</v>
      </c>
      <c r="E215" s="9">
        <v>0.73278027999999995</v>
      </c>
      <c r="F215" s="9">
        <v>0.35357779</v>
      </c>
      <c r="J215" s="9" t="s">
        <v>113</v>
      </c>
      <c r="K215" s="9" t="str">
        <f t="shared" si="17"/>
        <v>Dominican Republic6</v>
      </c>
      <c r="L215" s="9">
        <v>6</v>
      </c>
      <c r="M215" s="9">
        <v>0.37553215000000001</v>
      </c>
      <c r="N215" s="9">
        <v>0.36803585</v>
      </c>
      <c r="O215" s="9">
        <v>0.28640547999999999</v>
      </c>
    </row>
    <row r="216" spans="2:15" ht="1" customHeight="1">
      <c r="B216" s="9" t="s">
        <v>113</v>
      </c>
      <c r="C216" s="9" t="str">
        <f t="shared" si="18"/>
        <v>Dominican Republic2009</v>
      </c>
      <c r="D216" s="9">
        <v>2009</v>
      </c>
      <c r="E216" s="9">
        <v>0.79924576999999997</v>
      </c>
      <c r="F216" s="9">
        <v>0.37556224999999999</v>
      </c>
      <c r="J216" s="9" t="s">
        <v>113</v>
      </c>
      <c r="K216" s="9" t="str">
        <f t="shared" si="17"/>
        <v>Dominican Republic7</v>
      </c>
      <c r="L216" s="9">
        <v>7</v>
      </c>
      <c r="M216" s="9">
        <v>0.35847447999999998</v>
      </c>
      <c r="N216" s="9">
        <v>0.42121262999999998</v>
      </c>
      <c r="O216" s="9">
        <v>0.35124023999999998</v>
      </c>
    </row>
    <row r="217" spans="2:15" ht="1" customHeight="1">
      <c r="B217" s="9" t="s">
        <v>113</v>
      </c>
      <c r="C217" s="9" t="str">
        <f t="shared" si="18"/>
        <v>Dominican Republic2010</v>
      </c>
      <c r="D217" s="9">
        <v>2010</v>
      </c>
      <c r="E217" s="9">
        <v>0.96321769999999995</v>
      </c>
      <c r="F217" s="9">
        <v>0.31117674000000001</v>
      </c>
      <c r="J217" s="9" t="s">
        <v>113</v>
      </c>
      <c r="K217" s="9" t="str">
        <f t="shared" si="17"/>
        <v>Dominican Republic8</v>
      </c>
      <c r="L217" s="9">
        <v>8</v>
      </c>
      <c r="M217" s="9">
        <v>0.43563562</v>
      </c>
      <c r="N217" s="9">
        <v>0.47991382999999999</v>
      </c>
      <c r="O217" s="9">
        <v>0.41429849000000002</v>
      </c>
    </row>
    <row r="218" spans="2:15" ht="1" customHeight="1">
      <c r="B218" s="9" t="s">
        <v>113</v>
      </c>
      <c r="C218" s="9" t="str">
        <f t="shared" si="18"/>
        <v>Dominican Republic2011</v>
      </c>
      <c r="D218" s="9">
        <v>2011</v>
      </c>
      <c r="E218" s="9">
        <v>0.89979302999999999</v>
      </c>
      <c r="F218" s="9">
        <v>0.32690968999999998</v>
      </c>
      <c r="J218" s="9" t="s">
        <v>113</v>
      </c>
      <c r="K218" s="9" t="str">
        <f t="shared" si="17"/>
        <v>Dominican Republic9</v>
      </c>
      <c r="L218" s="9">
        <v>9</v>
      </c>
      <c r="M218" s="9">
        <v>0.40621093000000003</v>
      </c>
      <c r="N218" s="9">
        <v>0.45311322999999998</v>
      </c>
      <c r="O218" s="9">
        <v>0.46830669000000003</v>
      </c>
    </row>
    <row r="219" spans="2:15" ht="1" customHeight="1">
      <c r="B219" s="9" t="s">
        <v>113</v>
      </c>
      <c r="C219" s="9" t="str">
        <f t="shared" si="18"/>
        <v>Dominican Republic2012</v>
      </c>
      <c r="D219" s="9">
        <v>2012</v>
      </c>
      <c r="E219" s="9">
        <v>1.0452783000000001</v>
      </c>
      <c r="F219" s="9">
        <v>0.23657444</v>
      </c>
      <c r="J219" s="9" t="s">
        <v>113</v>
      </c>
      <c r="K219" s="9" t="str">
        <f t="shared" si="17"/>
        <v>Dominican Republic10</v>
      </c>
      <c r="L219" s="9">
        <v>10</v>
      </c>
      <c r="M219" s="9">
        <v>0.49874075000000001</v>
      </c>
      <c r="N219" s="9">
        <v>0.55596659000000004</v>
      </c>
      <c r="O219" s="9">
        <v>0.55783413000000004</v>
      </c>
    </row>
    <row r="220" spans="2:15" ht="1" customHeight="1">
      <c r="B220" s="9" t="s">
        <v>113</v>
      </c>
      <c r="C220" s="9" t="str">
        <f t="shared" si="18"/>
        <v>Dominican Republic2013</v>
      </c>
      <c r="D220" s="9">
        <v>2013</v>
      </c>
      <c r="E220" s="9">
        <v>0.77506772000000002</v>
      </c>
      <c r="F220" s="9">
        <v>0.41505528000000003</v>
      </c>
      <c r="J220" s="9" t="s">
        <v>113</v>
      </c>
      <c r="K220" s="9" t="str">
        <f t="shared" si="17"/>
        <v>Dominican Republic11</v>
      </c>
      <c r="L220" s="9">
        <v>11</v>
      </c>
      <c r="M220" s="9">
        <v>0.55022086000000003</v>
      </c>
      <c r="N220" s="9">
        <v>0.51916273000000002</v>
      </c>
      <c r="O220" s="9">
        <v>0.52070298999999998</v>
      </c>
    </row>
    <row r="221" spans="2:15" ht="1" customHeight="1">
      <c r="B221" s="9" t="s">
        <v>113</v>
      </c>
      <c r="C221" s="9" t="str">
        <f t="shared" si="18"/>
        <v>Dominican Republic2014</v>
      </c>
      <c r="D221" s="9">
        <v>2014</v>
      </c>
      <c r="E221" s="9">
        <v>0.84161602999999996</v>
      </c>
      <c r="F221" s="9">
        <v>0.25479160000000001</v>
      </c>
      <c r="J221" s="9" t="s">
        <v>113</v>
      </c>
      <c r="K221" s="9" t="str">
        <f t="shared" si="17"/>
        <v>Dominican Republic12</v>
      </c>
      <c r="L221" s="9">
        <v>12</v>
      </c>
      <c r="M221" s="9">
        <v>0.62045402000000005</v>
      </c>
      <c r="N221" s="9">
        <v>0.63274021999999996</v>
      </c>
      <c r="O221" s="9">
        <v>0.59667963999999996</v>
      </c>
    </row>
    <row r="222" spans="2:15" ht="1" customHeight="1">
      <c r="B222" s="9" t="s">
        <v>45</v>
      </c>
      <c r="C222" s="9" t="str">
        <f>CONCATENATE(B222,D222)</f>
        <v>Ecuador1995</v>
      </c>
      <c r="D222" s="9">
        <v>1995</v>
      </c>
      <c r="E222" s="9">
        <v>0.32842106999999998</v>
      </c>
      <c r="F222" s="9">
        <v>0.26290703999999998</v>
      </c>
      <c r="J222" s="9" t="s">
        <v>113</v>
      </c>
      <c r="K222" s="9" t="str">
        <f t="shared" si="17"/>
        <v>Dominican Republic13</v>
      </c>
      <c r="L222" s="9">
        <v>13</v>
      </c>
      <c r="M222" s="9">
        <v>0.65633651999999998</v>
      </c>
      <c r="N222" s="9">
        <v>0.70478242000000002</v>
      </c>
      <c r="O222" s="9">
        <v>0.76115284999999999</v>
      </c>
    </row>
    <row r="223" spans="2:15" ht="1" customHeight="1">
      <c r="B223" s="9" t="s">
        <v>45</v>
      </c>
      <c r="C223" s="9" t="str">
        <f t="shared" ref="C223:C241" si="19">CONCATENATE(B223,D223)</f>
        <v>Ecuador1996</v>
      </c>
      <c r="D223" s="9">
        <v>1996</v>
      </c>
      <c r="E223" s="9">
        <v>0.39545482999999998</v>
      </c>
      <c r="F223" s="9">
        <v>0.25470165</v>
      </c>
      <c r="J223" s="9" t="s">
        <v>113</v>
      </c>
      <c r="K223" s="9" t="str">
        <f t="shared" si="17"/>
        <v>Dominican Republic14</v>
      </c>
      <c r="L223" s="9">
        <v>14</v>
      </c>
      <c r="M223" s="9">
        <v>0.79877290999999995</v>
      </c>
      <c r="N223" s="9">
        <v>0.81090019999999996</v>
      </c>
      <c r="O223" s="9">
        <v>0.75319539000000002</v>
      </c>
    </row>
    <row r="224" spans="2:15" ht="1" customHeight="1">
      <c r="B224" s="9" t="s">
        <v>45</v>
      </c>
      <c r="C224" s="9" t="str">
        <f t="shared" si="19"/>
        <v>Ecuador1997</v>
      </c>
      <c r="D224" s="9">
        <v>1997</v>
      </c>
      <c r="E224" s="9">
        <v>0.41952645999999999</v>
      </c>
      <c r="F224" s="9">
        <v>0.28020245999999999</v>
      </c>
      <c r="J224" s="9" t="s">
        <v>113</v>
      </c>
      <c r="K224" s="9" t="str">
        <f t="shared" si="17"/>
        <v>Dominican Republic15</v>
      </c>
      <c r="L224" s="9">
        <v>15</v>
      </c>
      <c r="M224" s="9">
        <v>0.94661883999999996</v>
      </c>
      <c r="N224" s="9">
        <v>0.88498832999999999</v>
      </c>
      <c r="O224" s="9">
        <v>0.86834928</v>
      </c>
    </row>
    <row r="225" spans="2:15" ht="1" customHeight="1">
      <c r="B225" s="9" t="s">
        <v>45</v>
      </c>
      <c r="C225" s="9" t="str">
        <f t="shared" si="19"/>
        <v>Ecuador1998</v>
      </c>
      <c r="D225" s="9">
        <v>1998</v>
      </c>
      <c r="E225" s="9">
        <v>0.46727702999999998</v>
      </c>
      <c r="F225" s="9">
        <v>0.28548994</v>
      </c>
      <c r="J225" s="9" t="s">
        <v>113</v>
      </c>
      <c r="K225" s="9" t="str">
        <f t="shared" si="17"/>
        <v>Dominican Republic16</v>
      </c>
      <c r="L225" s="9">
        <v>16</v>
      </c>
      <c r="M225" s="9">
        <v>1.1707801</v>
      </c>
      <c r="N225" s="9">
        <v>1.2681977</v>
      </c>
      <c r="O225" s="9">
        <v>1.3730163</v>
      </c>
    </row>
    <row r="226" spans="2:15" ht="1" customHeight="1">
      <c r="B226" s="9" t="s">
        <v>45</v>
      </c>
      <c r="C226" s="9" t="str">
        <f t="shared" si="19"/>
        <v>Ecuador1999</v>
      </c>
      <c r="D226" s="9">
        <v>1999</v>
      </c>
      <c r="E226" s="9">
        <v>0.52420135999999995</v>
      </c>
      <c r="F226" s="9">
        <v>0.28522712</v>
      </c>
      <c r="J226" s="9" t="s">
        <v>113</v>
      </c>
      <c r="K226" s="9" t="str">
        <f t="shared" si="17"/>
        <v>Dominican Republic17</v>
      </c>
      <c r="L226" s="9">
        <v>17</v>
      </c>
      <c r="M226" s="9">
        <v>1.4562674</v>
      </c>
      <c r="N226" s="9">
        <v>1.4349623</v>
      </c>
      <c r="O226" s="9">
        <v>1.4844275</v>
      </c>
    </row>
    <row r="227" spans="2:15" ht="1" customHeight="1">
      <c r="B227" s="9" t="s">
        <v>45</v>
      </c>
      <c r="C227" s="9" t="str">
        <f t="shared" si="19"/>
        <v>Ecuador2000</v>
      </c>
      <c r="D227" s="9">
        <v>2000</v>
      </c>
      <c r="E227" s="9">
        <v>0.52853905000000001</v>
      </c>
      <c r="F227" s="9">
        <v>0.28994713</v>
      </c>
      <c r="J227" s="9" t="s">
        <v>113</v>
      </c>
      <c r="K227" s="9" t="str">
        <f t="shared" si="17"/>
        <v>Dominican Republic18</v>
      </c>
      <c r="L227" s="9">
        <v>18</v>
      </c>
      <c r="N227" s="9">
        <v>1.605164</v>
      </c>
      <c r="O227" s="9">
        <v>1.9351453999999999</v>
      </c>
    </row>
    <row r="228" spans="2:15" ht="1" customHeight="1">
      <c r="B228" s="9" t="s">
        <v>45</v>
      </c>
      <c r="C228" s="9" t="str">
        <f t="shared" si="19"/>
        <v>Ecuador2001</v>
      </c>
      <c r="D228" s="9">
        <v>2001</v>
      </c>
      <c r="E228" s="9">
        <v>0.55335957999999996</v>
      </c>
      <c r="F228" s="9">
        <v>0.34449661999999998</v>
      </c>
      <c r="J228" s="9" t="s">
        <v>113</v>
      </c>
      <c r="K228" s="9" t="str">
        <f t="shared" si="17"/>
        <v>Dominican Republic19</v>
      </c>
      <c r="L228" s="9">
        <v>19</v>
      </c>
      <c r="N228" s="9">
        <v>1.7927917</v>
      </c>
      <c r="O228" s="9">
        <v>1.7044916000000001</v>
      </c>
    </row>
    <row r="229" spans="2:15" ht="1" customHeight="1">
      <c r="B229" s="9" t="s">
        <v>45</v>
      </c>
      <c r="C229" s="9" t="str">
        <f t="shared" si="19"/>
        <v>Ecuador2002</v>
      </c>
      <c r="D229" s="9">
        <v>2002</v>
      </c>
      <c r="E229" s="9">
        <v>0.52014053000000005</v>
      </c>
      <c r="F229" s="9">
        <v>0.26358461999999999</v>
      </c>
      <c r="J229" s="9" t="s">
        <v>113</v>
      </c>
      <c r="K229" s="9" t="str">
        <f t="shared" si="17"/>
        <v>Dominican Republic20</v>
      </c>
      <c r="L229" s="9">
        <v>20</v>
      </c>
    </row>
    <row r="230" spans="2:15" ht="1" customHeight="1">
      <c r="B230" s="9" t="s">
        <v>45</v>
      </c>
      <c r="C230" s="9" t="str">
        <f t="shared" si="19"/>
        <v>Ecuador2003</v>
      </c>
      <c r="D230" s="9">
        <v>2003</v>
      </c>
      <c r="E230" s="9">
        <v>0.59649478</v>
      </c>
      <c r="F230" s="9">
        <v>0.23864974</v>
      </c>
      <c r="J230" s="9" t="s">
        <v>45</v>
      </c>
      <c r="K230" s="9" t="str">
        <f t="shared" si="17"/>
        <v>Ecuador0</v>
      </c>
      <c r="L230" s="9">
        <v>0</v>
      </c>
      <c r="M230" s="9">
        <v>0</v>
      </c>
      <c r="N230" s="9">
        <v>0</v>
      </c>
      <c r="O230" s="9">
        <v>0</v>
      </c>
    </row>
    <row r="231" spans="2:15" ht="1" customHeight="1">
      <c r="B231" s="9" t="s">
        <v>45</v>
      </c>
      <c r="C231" s="9" t="str">
        <f t="shared" si="19"/>
        <v>Ecuador2004</v>
      </c>
      <c r="D231" s="9">
        <v>2004</v>
      </c>
      <c r="E231" s="9">
        <v>0.60995730999999997</v>
      </c>
      <c r="F231" s="9">
        <v>0.30080972</v>
      </c>
      <c r="J231" s="9" t="s">
        <v>45</v>
      </c>
      <c r="K231" s="9" t="str">
        <f t="shared" si="17"/>
        <v>Ecuador1</v>
      </c>
      <c r="L231" s="9">
        <v>1</v>
      </c>
      <c r="M231" s="9">
        <v>0</v>
      </c>
      <c r="N231" s="9">
        <v>0.19905766999999999</v>
      </c>
      <c r="O231" s="9">
        <v>9.9207190000000001E-2</v>
      </c>
    </row>
    <row r="232" spans="2:15" ht="1" customHeight="1">
      <c r="B232" s="9" t="s">
        <v>45</v>
      </c>
      <c r="C232" s="9" t="str">
        <f t="shared" si="19"/>
        <v>Ecuador2005</v>
      </c>
      <c r="D232" s="9">
        <v>2005</v>
      </c>
      <c r="E232" s="9">
        <v>0.61263440999999996</v>
      </c>
      <c r="F232" s="9">
        <v>0.32983547000000002</v>
      </c>
      <c r="J232" s="9" t="s">
        <v>45</v>
      </c>
      <c r="K232" s="9" t="str">
        <f t="shared" si="17"/>
        <v>Ecuador2</v>
      </c>
      <c r="L232" s="9">
        <v>2</v>
      </c>
      <c r="M232" s="9">
        <v>8.2218399999999997E-2</v>
      </c>
      <c r="N232" s="9">
        <v>0.29655341000000002</v>
      </c>
      <c r="O232" s="9">
        <v>0.15788383</v>
      </c>
    </row>
    <row r="233" spans="2:15" ht="1" customHeight="1">
      <c r="B233" s="9" t="s">
        <v>45</v>
      </c>
      <c r="C233" s="9" t="str">
        <f t="shared" si="19"/>
        <v>Ecuador2006</v>
      </c>
      <c r="D233" s="9">
        <v>2006</v>
      </c>
      <c r="E233" s="9">
        <v>0.68379422000000001</v>
      </c>
      <c r="F233" s="9">
        <v>0.26320470000000001</v>
      </c>
      <c r="J233" s="9" t="s">
        <v>45</v>
      </c>
      <c r="K233" s="9" t="str">
        <f t="shared" si="17"/>
        <v>Ecuador3</v>
      </c>
      <c r="L233" s="9">
        <v>3</v>
      </c>
      <c r="M233" s="9">
        <v>0.22180575999999999</v>
      </c>
      <c r="N233" s="9">
        <v>0.35064464000000001</v>
      </c>
      <c r="O233" s="9">
        <v>0.17642598000000001</v>
      </c>
    </row>
    <row r="234" spans="2:15" ht="1" customHeight="1">
      <c r="B234" s="9" t="s">
        <v>45</v>
      </c>
      <c r="C234" s="9" t="str">
        <f t="shared" si="19"/>
        <v>Ecuador2007</v>
      </c>
      <c r="D234" s="9">
        <v>2007</v>
      </c>
      <c r="E234" s="9">
        <v>0.64902351999999996</v>
      </c>
      <c r="F234" s="9">
        <v>0.27801326999999998</v>
      </c>
      <c r="J234" s="9" t="s">
        <v>45</v>
      </c>
      <c r="K234" s="9" t="str">
        <f t="shared" si="17"/>
        <v>Ecuador4</v>
      </c>
      <c r="L234" s="9">
        <v>4</v>
      </c>
      <c r="M234" s="9">
        <v>0.19448091000000001</v>
      </c>
      <c r="N234" s="9">
        <v>0.37151991000000001</v>
      </c>
      <c r="O234" s="9">
        <v>2.1106100000000002E-3</v>
      </c>
    </row>
    <row r="235" spans="2:15" ht="1" customHeight="1">
      <c r="B235" s="9" t="s">
        <v>45</v>
      </c>
      <c r="C235" s="9" t="str">
        <f t="shared" si="19"/>
        <v>Ecuador2008</v>
      </c>
      <c r="D235" s="9">
        <v>2008</v>
      </c>
      <c r="E235" s="9">
        <v>0.60105209999999998</v>
      </c>
      <c r="F235" s="9">
        <v>0.31434824</v>
      </c>
      <c r="J235" s="9" t="s">
        <v>45</v>
      </c>
      <c r="K235" s="9" t="str">
        <f t="shared" si="17"/>
        <v>Ecuador5</v>
      </c>
      <c r="L235" s="9">
        <v>5</v>
      </c>
      <c r="M235" s="9">
        <v>0.28159817999999998</v>
      </c>
      <c r="N235" s="9">
        <v>0.53901255000000003</v>
      </c>
      <c r="O235" s="9">
        <v>0.30014703999999998</v>
      </c>
    </row>
    <row r="236" spans="2:15" ht="1" customHeight="1">
      <c r="B236" s="9" t="s">
        <v>45</v>
      </c>
      <c r="C236" s="9" t="str">
        <f t="shared" si="19"/>
        <v>Ecuador2009</v>
      </c>
      <c r="D236" s="9">
        <v>2009</v>
      </c>
      <c r="E236" s="9">
        <v>0.67843368999999998</v>
      </c>
      <c r="F236" s="9">
        <v>0.19643774</v>
      </c>
      <c r="J236" s="9" t="s">
        <v>45</v>
      </c>
      <c r="K236" s="9" t="str">
        <f t="shared" si="17"/>
        <v>Ecuador6</v>
      </c>
      <c r="L236" s="9">
        <v>6</v>
      </c>
      <c r="M236" s="9">
        <v>0.31429395999999998</v>
      </c>
      <c r="N236" s="9">
        <v>0.71532006999999997</v>
      </c>
      <c r="O236" s="9">
        <v>0.29231452000000002</v>
      </c>
    </row>
    <row r="237" spans="2:15" ht="1" customHeight="1">
      <c r="B237" s="9" t="s">
        <v>45</v>
      </c>
      <c r="C237" s="9" t="str">
        <f t="shared" si="19"/>
        <v>Ecuador2010</v>
      </c>
      <c r="D237" s="9">
        <v>2010</v>
      </c>
      <c r="E237" s="9">
        <v>0.62165000999999998</v>
      </c>
      <c r="F237" s="9">
        <v>0.24268771</v>
      </c>
      <c r="J237" s="9" t="s">
        <v>45</v>
      </c>
      <c r="K237" s="9" t="str">
        <f t="shared" si="17"/>
        <v>Ecuador7</v>
      </c>
      <c r="L237" s="9">
        <v>7</v>
      </c>
      <c r="M237" s="9">
        <v>0.39938180000000001</v>
      </c>
      <c r="N237" s="9">
        <v>0.49344908999999998</v>
      </c>
      <c r="O237" s="9">
        <v>0.30516169999999998</v>
      </c>
    </row>
    <row r="238" spans="2:15" ht="1" customHeight="1">
      <c r="B238" s="9" t="s">
        <v>45</v>
      </c>
      <c r="C238" s="9" t="str">
        <f t="shared" si="19"/>
        <v>Ecuador2011</v>
      </c>
      <c r="D238" s="9">
        <v>2011</v>
      </c>
      <c r="E238" s="9">
        <v>0.57515826000000003</v>
      </c>
      <c r="F238" s="9">
        <v>0.1949311</v>
      </c>
      <c r="J238" s="9" t="s">
        <v>45</v>
      </c>
      <c r="K238" s="9" t="str">
        <f t="shared" si="17"/>
        <v>Ecuador8</v>
      </c>
      <c r="L238" s="9">
        <v>8</v>
      </c>
      <c r="M238" s="9">
        <v>0.38383953999999998</v>
      </c>
      <c r="N238" s="9">
        <v>0.62846162999999999</v>
      </c>
      <c r="O238" s="9">
        <v>0.37319973000000001</v>
      </c>
    </row>
    <row r="239" spans="2:15" ht="1" customHeight="1">
      <c r="B239" s="9" t="s">
        <v>45</v>
      </c>
      <c r="C239" s="9" t="str">
        <f t="shared" si="19"/>
        <v>Ecuador2012</v>
      </c>
      <c r="D239" s="9">
        <v>2012</v>
      </c>
      <c r="E239" s="9">
        <v>0.60765325999999997</v>
      </c>
      <c r="F239" s="9">
        <v>0.19015053000000001</v>
      </c>
      <c r="J239" s="9" t="s">
        <v>45</v>
      </c>
      <c r="K239" s="9" t="str">
        <f t="shared" si="17"/>
        <v>Ecuador9</v>
      </c>
      <c r="L239" s="9">
        <v>9</v>
      </c>
      <c r="M239" s="9">
        <v>0.46010902999999997</v>
      </c>
      <c r="N239" s="9">
        <v>0.70799221000000001</v>
      </c>
      <c r="O239" s="9">
        <v>0.34954770000000002</v>
      </c>
    </row>
    <row r="240" spans="2:15" ht="1" customHeight="1">
      <c r="B240" s="9" t="s">
        <v>45</v>
      </c>
      <c r="C240" s="9" t="str">
        <f t="shared" si="19"/>
        <v>Ecuador2013</v>
      </c>
      <c r="D240" s="9">
        <v>2013</v>
      </c>
      <c r="E240" s="9">
        <v>0.66266179999999997</v>
      </c>
      <c r="F240" s="9">
        <v>0.27414113000000001</v>
      </c>
      <c r="J240" s="9" t="s">
        <v>45</v>
      </c>
      <c r="K240" s="9" t="str">
        <f t="shared" si="17"/>
        <v>Ecuador10</v>
      </c>
      <c r="L240" s="9">
        <v>10</v>
      </c>
      <c r="M240" s="9">
        <v>0.4562466</v>
      </c>
      <c r="N240" s="9">
        <v>0.66192189999999995</v>
      </c>
      <c r="O240" s="9">
        <v>0.38161223</v>
      </c>
    </row>
    <row r="241" spans="2:15" ht="1" customHeight="1">
      <c r="B241" s="9" t="s">
        <v>45</v>
      </c>
      <c r="C241" s="9" t="str">
        <f t="shared" si="19"/>
        <v>Ecuador2014</v>
      </c>
      <c r="D241" s="9">
        <v>2014</v>
      </c>
      <c r="E241" s="9">
        <v>0.62396678999999999</v>
      </c>
      <c r="F241" s="9">
        <v>0.21965881000000001</v>
      </c>
      <c r="J241" s="9" t="s">
        <v>45</v>
      </c>
      <c r="K241" s="9" t="str">
        <f t="shared" si="17"/>
        <v>Ecuador11</v>
      </c>
      <c r="L241" s="9">
        <v>11</v>
      </c>
      <c r="M241" s="9">
        <v>0.53442312999999997</v>
      </c>
      <c r="N241" s="9">
        <v>0.77132708000000005</v>
      </c>
      <c r="O241" s="9">
        <v>0.41448892999999998</v>
      </c>
    </row>
    <row r="242" spans="2:15" ht="1" customHeight="1">
      <c r="B242" s="9" t="s">
        <v>47</v>
      </c>
      <c r="C242" s="9" t="str">
        <f>CONCATENATE(B242,D242)</f>
        <v>Guatemala1995</v>
      </c>
      <c r="D242" s="9">
        <v>1995</v>
      </c>
      <c r="E242" s="9">
        <v>0.70956101999999999</v>
      </c>
      <c r="F242" s="9">
        <v>0.72340707999999998</v>
      </c>
      <c r="J242" s="9" t="s">
        <v>45</v>
      </c>
      <c r="K242" s="9" t="str">
        <f t="shared" si="17"/>
        <v>Ecuador12</v>
      </c>
      <c r="L242" s="9">
        <v>12</v>
      </c>
      <c r="M242" s="9">
        <v>0.72178520000000002</v>
      </c>
      <c r="N242" s="9">
        <v>1.009638</v>
      </c>
      <c r="O242" s="9">
        <v>0.62311136</v>
      </c>
    </row>
    <row r="243" spans="2:15" ht="1" customHeight="1">
      <c r="B243" s="9" t="s">
        <v>47</v>
      </c>
      <c r="C243" s="9" t="str">
        <f t="shared" ref="C243:C261" si="20">CONCATENATE(B243,D243)</f>
        <v>Guatemala1996</v>
      </c>
      <c r="D243" s="9">
        <v>1996</v>
      </c>
      <c r="E243" s="9">
        <v>0.70956101999999999</v>
      </c>
      <c r="F243" s="9">
        <v>0.72340707999999998</v>
      </c>
      <c r="J243" s="9" t="s">
        <v>45</v>
      </c>
      <c r="K243" s="9" t="str">
        <f t="shared" si="17"/>
        <v>Ecuador13</v>
      </c>
      <c r="L243" s="9">
        <v>13</v>
      </c>
      <c r="M243" s="9">
        <v>0.77194088999999999</v>
      </c>
      <c r="N243" s="9">
        <v>1.0898395999999999</v>
      </c>
      <c r="O243" s="9">
        <v>0.78010195999999998</v>
      </c>
    </row>
    <row r="244" spans="2:15" ht="1" customHeight="1">
      <c r="B244" s="9" t="s">
        <v>47</v>
      </c>
      <c r="C244" s="9" t="str">
        <f t="shared" si="20"/>
        <v>Guatemala1997</v>
      </c>
      <c r="D244" s="9">
        <v>1997</v>
      </c>
      <c r="E244" s="9">
        <v>0.70956101999999999</v>
      </c>
      <c r="F244" s="9">
        <v>0.72340707999999998</v>
      </c>
      <c r="J244" s="9" t="s">
        <v>45</v>
      </c>
      <c r="K244" s="9" t="str">
        <f t="shared" si="17"/>
        <v>Ecuador14</v>
      </c>
      <c r="L244" s="9">
        <v>14</v>
      </c>
      <c r="M244" s="9">
        <v>0.90908217000000002</v>
      </c>
      <c r="N244" s="9">
        <v>1.1782026999999999</v>
      </c>
      <c r="O244" s="9">
        <v>0.76274414999999995</v>
      </c>
    </row>
    <row r="245" spans="2:15" ht="1" customHeight="1">
      <c r="B245" s="9" t="s">
        <v>47</v>
      </c>
      <c r="C245" s="9" t="str">
        <f t="shared" si="20"/>
        <v>Guatemala1998</v>
      </c>
      <c r="D245" s="9">
        <v>1998</v>
      </c>
      <c r="E245" s="9">
        <v>0.70956101999999999</v>
      </c>
      <c r="F245" s="9">
        <v>0.72340707999999998</v>
      </c>
      <c r="J245" s="9" t="s">
        <v>45</v>
      </c>
      <c r="K245" s="9" t="str">
        <f t="shared" si="17"/>
        <v>Ecuador15</v>
      </c>
      <c r="L245" s="9">
        <v>15</v>
      </c>
      <c r="M245" s="9">
        <v>0.96788889</v>
      </c>
      <c r="N245" s="9">
        <v>1.3888761999999999</v>
      </c>
      <c r="O245" s="9">
        <v>0.94969855999999997</v>
      </c>
    </row>
    <row r="246" spans="2:15" ht="1" customHeight="1">
      <c r="B246" s="9" t="s">
        <v>47</v>
      </c>
      <c r="C246" s="9" t="str">
        <f t="shared" si="20"/>
        <v>Guatemala1999</v>
      </c>
      <c r="D246" s="9">
        <v>1999</v>
      </c>
      <c r="E246" s="9">
        <v>0.38544059000000003</v>
      </c>
      <c r="F246" s="9">
        <v>0.85931943</v>
      </c>
      <c r="J246" s="9" t="s">
        <v>45</v>
      </c>
      <c r="K246" s="9" t="str">
        <f t="shared" si="17"/>
        <v>Ecuador16</v>
      </c>
      <c r="L246" s="9">
        <v>16</v>
      </c>
      <c r="M246" s="9">
        <v>0.91214317</v>
      </c>
      <c r="N246" s="9">
        <v>1.4452256999999999</v>
      </c>
      <c r="O246" s="9">
        <v>1.1791004</v>
      </c>
    </row>
    <row r="247" spans="2:15" ht="1" customHeight="1">
      <c r="B247" s="9" t="s">
        <v>47</v>
      </c>
      <c r="C247" s="9" t="str">
        <f t="shared" si="20"/>
        <v>Guatemala2000</v>
      </c>
      <c r="D247" s="9">
        <v>2000</v>
      </c>
      <c r="E247" s="9">
        <v>0.38544059000000003</v>
      </c>
      <c r="F247" s="9">
        <v>0.85931943</v>
      </c>
      <c r="J247" s="9" t="s">
        <v>45</v>
      </c>
      <c r="K247" s="9" t="str">
        <f t="shared" si="17"/>
        <v>Ecuador17</v>
      </c>
      <c r="L247" s="9">
        <v>17</v>
      </c>
      <c r="M247" s="9">
        <v>1.0412294</v>
      </c>
      <c r="N247" s="9">
        <v>1.5409108</v>
      </c>
      <c r="O247" s="9">
        <v>1.2557933999999999</v>
      </c>
    </row>
    <row r="248" spans="2:15" ht="1" customHeight="1">
      <c r="B248" s="9" t="s">
        <v>47</v>
      </c>
      <c r="C248" s="9" t="str">
        <f t="shared" si="20"/>
        <v>Guatemala2001</v>
      </c>
      <c r="D248" s="9">
        <v>2001</v>
      </c>
      <c r="E248" s="9">
        <v>0.71468962999999996</v>
      </c>
      <c r="F248" s="9">
        <v>0.74600524000000001</v>
      </c>
      <c r="J248" s="9" t="s">
        <v>45</v>
      </c>
      <c r="K248" s="9" t="str">
        <f t="shared" si="17"/>
        <v>Ecuador18</v>
      </c>
      <c r="L248" s="9">
        <v>18</v>
      </c>
      <c r="M248" s="9">
        <v>1.1292594</v>
      </c>
      <c r="N248" s="9">
        <v>1.7357491</v>
      </c>
      <c r="O248" s="9">
        <v>1.3425066000000001</v>
      </c>
    </row>
    <row r="249" spans="2:15" ht="1" customHeight="1">
      <c r="B249" s="9" t="s">
        <v>47</v>
      </c>
      <c r="C249" s="9" t="str">
        <f t="shared" si="20"/>
        <v>Guatemala2002</v>
      </c>
      <c r="D249" s="9">
        <v>2002</v>
      </c>
      <c r="E249" s="9">
        <v>0.71468962999999996</v>
      </c>
      <c r="F249" s="9">
        <v>0.74600524000000001</v>
      </c>
      <c r="J249" s="9" t="s">
        <v>45</v>
      </c>
      <c r="K249" s="9" t="str">
        <f t="shared" si="17"/>
        <v>Ecuador19</v>
      </c>
      <c r="L249" s="9">
        <v>19</v>
      </c>
      <c r="M249" s="9">
        <v>1.1732857000000001</v>
      </c>
      <c r="N249" s="9">
        <v>1.8498205999999999</v>
      </c>
      <c r="O249" s="9">
        <v>1.7824551</v>
      </c>
    </row>
    <row r="250" spans="2:15" ht="1" customHeight="1">
      <c r="B250" s="9" t="s">
        <v>47</v>
      </c>
      <c r="C250" s="9" t="str">
        <f t="shared" si="20"/>
        <v>Guatemala2003</v>
      </c>
      <c r="D250" s="9">
        <v>2003</v>
      </c>
      <c r="E250" s="9">
        <v>0.67480996999999998</v>
      </c>
      <c r="F250" s="9">
        <v>0.61160128000000002</v>
      </c>
      <c r="J250" s="9" t="s">
        <v>45</v>
      </c>
      <c r="K250" s="9" t="str">
        <f t="shared" si="17"/>
        <v>Ecuador20</v>
      </c>
      <c r="L250" s="9">
        <v>20</v>
      </c>
      <c r="M250" s="9">
        <v>1.3014866</v>
      </c>
      <c r="N250" s="9">
        <v>1.9479594</v>
      </c>
      <c r="O250" s="9">
        <v>1.5713938999999999</v>
      </c>
    </row>
    <row r="251" spans="2:15" ht="1" customHeight="1">
      <c r="B251" s="9" t="s">
        <v>47</v>
      </c>
      <c r="C251" s="9" t="str">
        <f t="shared" si="20"/>
        <v>Guatemala2004</v>
      </c>
      <c r="D251" s="9">
        <v>2004</v>
      </c>
      <c r="E251" s="9">
        <v>0.42125110999999998</v>
      </c>
      <c r="F251" s="9">
        <v>0.63928421999999996</v>
      </c>
      <c r="J251" s="9" t="s">
        <v>47</v>
      </c>
      <c r="K251" s="9" t="str">
        <f t="shared" si="17"/>
        <v>Guatemala0</v>
      </c>
      <c r="L251" s="9">
        <v>0</v>
      </c>
      <c r="M251" s="9">
        <v>0</v>
      </c>
      <c r="N251" s="9">
        <v>0</v>
      </c>
      <c r="O251" s="9">
        <v>0</v>
      </c>
    </row>
    <row r="252" spans="2:15" ht="1" customHeight="1">
      <c r="B252" s="9" t="s">
        <v>47</v>
      </c>
      <c r="C252" s="9" t="str">
        <f t="shared" si="20"/>
        <v>Guatemala2005</v>
      </c>
      <c r="D252" s="9">
        <v>2005</v>
      </c>
      <c r="E252" s="9">
        <v>0.63483407000000003</v>
      </c>
      <c r="F252" s="9">
        <v>0.62397329999999995</v>
      </c>
      <c r="J252" s="9" t="s">
        <v>47</v>
      </c>
      <c r="K252" s="9" t="str">
        <f t="shared" si="17"/>
        <v>Guatemala1</v>
      </c>
      <c r="L252" s="9">
        <v>1</v>
      </c>
      <c r="M252" s="9">
        <v>0.21554887</v>
      </c>
      <c r="N252" s="9">
        <v>0.34335465999999998</v>
      </c>
      <c r="O252" s="9">
        <v>8.5376140000000003E-2</v>
      </c>
    </row>
    <row r="253" spans="2:15" ht="1" customHeight="1">
      <c r="B253" s="9" t="s">
        <v>47</v>
      </c>
      <c r="C253" s="9" t="str">
        <f t="shared" si="20"/>
        <v>Guatemala2006</v>
      </c>
      <c r="D253" s="9">
        <v>2006</v>
      </c>
      <c r="E253" s="9">
        <v>0.63483407000000003</v>
      </c>
      <c r="F253" s="9">
        <v>0.62397329999999995</v>
      </c>
      <c r="J253" s="9" t="s">
        <v>47</v>
      </c>
      <c r="K253" s="9" t="str">
        <f t="shared" si="17"/>
        <v>Guatemala2</v>
      </c>
      <c r="L253" s="9">
        <v>2</v>
      </c>
      <c r="M253" s="9">
        <v>0.35725868999999999</v>
      </c>
      <c r="N253" s="9">
        <v>0.19748299</v>
      </c>
      <c r="O253" s="9">
        <v>0.19881906999999999</v>
      </c>
    </row>
    <row r="254" spans="2:15" ht="1" customHeight="1">
      <c r="B254" s="9" t="s">
        <v>47</v>
      </c>
      <c r="C254" s="9" t="str">
        <f t="shared" si="20"/>
        <v>Guatemala2007</v>
      </c>
      <c r="D254" s="9">
        <v>2007</v>
      </c>
      <c r="E254" s="9">
        <v>0.63483407000000003</v>
      </c>
      <c r="F254" s="9">
        <v>0.62397329999999995</v>
      </c>
      <c r="J254" s="9" t="s">
        <v>47</v>
      </c>
      <c r="K254" s="9" t="str">
        <f t="shared" si="17"/>
        <v>Guatemala3</v>
      </c>
      <c r="L254" s="9">
        <v>3</v>
      </c>
      <c r="M254" s="9">
        <v>0.39807587</v>
      </c>
      <c r="N254" s="9">
        <v>0.39419752000000002</v>
      </c>
      <c r="O254" s="9">
        <v>0.25317771999999999</v>
      </c>
    </row>
    <row r="255" spans="2:15" ht="1" customHeight="1">
      <c r="B255" s="9" t="s">
        <v>47</v>
      </c>
      <c r="C255" s="9" t="str">
        <f t="shared" si="20"/>
        <v>Guatemala2008</v>
      </c>
      <c r="D255" s="9">
        <v>2008</v>
      </c>
      <c r="E255" s="9">
        <v>0.46802211999999999</v>
      </c>
      <c r="F255" s="9">
        <v>0.68072966999999995</v>
      </c>
      <c r="J255" s="9" t="s">
        <v>47</v>
      </c>
      <c r="K255" s="9" t="str">
        <f t="shared" ref="K255:K318" si="21">CONCATENATE(J255,L255)</f>
        <v>Guatemala4</v>
      </c>
      <c r="L255" s="9">
        <v>4</v>
      </c>
      <c r="M255" s="9">
        <v>0.42410435000000002</v>
      </c>
      <c r="N255" s="9">
        <v>0.36747781000000002</v>
      </c>
      <c r="O255" s="9">
        <v>0.37183031999999999</v>
      </c>
    </row>
    <row r="256" spans="2:15" ht="1" customHeight="1">
      <c r="B256" s="9" t="s">
        <v>47</v>
      </c>
      <c r="C256" s="9" t="str">
        <f t="shared" si="20"/>
        <v>Guatemala2009</v>
      </c>
      <c r="D256" s="9">
        <v>2009</v>
      </c>
      <c r="E256" s="9">
        <v>0.46802211999999999</v>
      </c>
      <c r="F256" s="9">
        <v>0.68072966999999995</v>
      </c>
      <c r="J256" s="9" t="s">
        <v>47</v>
      </c>
      <c r="K256" s="9" t="str">
        <f t="shared" si="21"/>
        <v>Guatemala5</v>
      </c>
      <c r="L256" s="9">
        <v>5</v>
      </c>
      <c r="M256" s="9">
        <v>0.50970086000000003</v>
      </c>
      <c r="N256" s="9">
        <v>0.45754674000000001</v>
      </c>
      <c r="O256" s="9">
        <v>0.57561381</v>
      </c>
    </row>
    <row r="257" spans="2:15" ht="1" customHeight="1">
      <c r="B257" s="9" t="s">
        <v>47</v>
      </c>
      <c r="C257" s="9" t="str">
        <f t="shared" si="20"/>
        <v>Guatemala2010</v>
      </c>
      <c r="D257" s="9">
        <v>2010</v>
      </c>
      <c r="E257" s="9">
        <v>0.46802211999999999</v>
      </c>
      <c r="F257" s="9">
        <v>0.68072966999999995</v>
      </c>
      <c r="J257" s="9" t="s">
        <v>47</v>
      </c>
      <c r="K257" s="9" t="str">
        <f t="shared" si="21"/>
        <v>Guatemala6</v>
      </c>
      <c r="L257" s="9">
        <v>6</v>
      </c>
      <c r="M257" s="9">
        <v>0.73851085999999999</v>
      </c>
      <c r="N257" s="9">
        <v>0.71276945000000003</v>
      </c>
      <c r="O257" s="9">
        <v>0.56593199999999999</v>
      </c>
    </row>
    <row r="258" spans="2:15" ht="1" customHeight="1">
      <c r="B258" s="9" t="s">
        <v>47</v>
      </c>
      <c r="C258" s="9" t="str">
        <f t="shared" si="20"/>
        <v>Guatemala2011</v>
      </c>
      <c r="D258" s="9">
        <v>2011</v>
      </c>
      <c r="E258" s="9">
        <v>0.46214568</v>
      </c>
      <c r="F258" s="9">
        <v>0.57472579999999995</v>
      </c>
      <c r="J258" s="9" t="s">
        <v>47</v>
      </c>
      <c r="K258" s="9" t="str">
        <f t="shared" si="21"/>
        <v>Guatemala7</v>
      </c>
      <c r="L258" s="9">
        <v>7</v>
      </c>
      <c r="M258" s="9">
        <v>0.77815796000000004</v>
      </c>
      <c r="N258" s="9">
        <v>0.72245367999999999</v>
      </c>
      <c r="O258" s="9">
        <v>0.77399719</v>
      </c>
    </row>
    <row r="259" spans="2:15" ht="1" customHeight="1">
      <c r="B259" s="9" t="s">
        <v>47</v>
      </c>
      <c r="C259" s="9" t="str">
        <f t="shared" si="20"/>
        <v>Guatemala2012</v>
      </c>
      <c r="D259" s="9">
        <v>2012</v>
      </c>
      <c r="E259" s="9">
        <v>0.60030903000000002</v>
      </c>
      <c r="F259" s="9">
        <v>0.77945083000000004</v>
      </c>
      <c r="J259" s="9" t="s">
        <v>47</v>
      </c>
      <c r="K259" s="9" t="str">
        <f t="shared" si="21"/>
        <v>Guatemala8</v>
      </c>
      <c r="L259" s="9">
        <v>8</v>
      </c>
      <c r="M259" s="9">
        <v>0.99001306</v>
      </c>
      <c r="N259" s="9">
        <v>0.96300467999999995</v>
      </c>
      <c r="O259" s="9">
        <v>0.62139177000000001</v>
      </c>
    </row>
    <row r="260" spans="2:15" ht="1" customHeight="1">
      <c r="B260" s="9" t="s">
        <v>47</v>
      </c>
      <c r="C260" s="9" t="str">
        <f t="shared" si="20"/>
        <v>Guatemala2013</v>
      </c>
      <c r="D260" s="9">
        <v>2013</v>
      </c>
      <c r="E260" s="9">
        <v>0.54430425999999998</v>
      </c>
      <c r="F260" s="9">
        <v>0.59625848999999997</v>
      </c>
      <c r="J260" s="9" t="s">
        <v>47</v>
      </c>
      <c r="K260" s="9" t="str">
        <f t="shared" si="21"/>
        <v>Guatemala9</v>
      </c>
      <c r="L260" s="9">
        <v>9</v>
      </c>
      <c r="M260" s="9">
        <v>0.93663275999999995</v>
      </c>
      <c r="N260" s="9">
        <v>0.91718513999999995</v>
      </c>
      <c r="O260" s="9">
        <v>0.78270859000000004</v>
      </c>
    </row>
    <row r="261" spans="2:15" ht="1" customHeight="1">
      <c r="B261" s="9" t="s">
        <v>47</v>
      </c>
      <c r="C261" s="9" t="str">
        <f t="shared" si="20"/>
        <v>Guatemala2014</v>
      </c>
      <c r="D261" s="9">
        <v>2014</v>
      </c>
      <c r="E261" s="9">
        <v>0.50271502000000001</v>
      </c>
      <c r="F261" s="9">
        <v>0.75033110000000003</v>
      </c>
      <c r="J261" s="9" t="s">
        <v>47</v>
      </c>
      <c r="K261" s="9" t="str">
        <f t="shared" si="21"/>
        <v>Guatemala10</v>
      </c>
      <c r="L261" s="9">
        <v>10</v>
      </c>
      <c r="M261" s="9">
        <v>1.1692209</v>
      </c>
      <c r="N261" s="9">
        <v>1.1738819</v>
      </c>
      <c r="O261" s="9">
        <v>0.77271939999999995</v>
      </c>
    </row>
    <row r="262" spans="2:15" ht="1" customHeight="1">
      <c r="B262" s="9" t="s">
        <v>52</v>
      </c>
      <c r="C262" s="9" t="str">
        <f>CONCATENATE(B262,D262)</f>
        <v>Mexico1995</v>
      </c>
      <c r="D262" s="9">
        <v>1995</v>
      </c>
      <c r="E262" s="9">
        <v>0.52062693000000004</v>
      </c>
      <c r="F262" s="9">
        <v>0.77418978999999999</v>
      </c>
      <c r="J262" s="9" t="s">
        <v>47</v>
      </c>
      <c r="K262" s="9" t="str">
        <f t="shared" si="21"/>
        <v>Guatemala11</v>
      </c>
      <c r="L262" s="9">
        <v>11</v>
      </c>
      <c r="M262" s="9">
        <v>1.2986576999999999</v>
      </c>
      <c r="N262" s="9">
        <v>1.1874283999999999</v>
      </c>
      <c r="O262" s="9">
        <v>1.0988310999999999</v>
      </c>
    </row>
    <row r="263" spans="2:15" ht="1" customHeight="1">
      <c r="B263" s="9" t="s">
        <v>52</v>
      </c>
      <c r="C263" s="9" t="str">
        <f t="shared" ref="C263:C281" si="22">CONCATENATE(B263,D263)</f>
        <v>Mexico1996</v>
      </c>
      <c r="D263" s="9">
        <v>1996</v>
      </c>
      <c r="E263" s="9">
        <v>0.52062693000000004</v>
      </c>
      <c r="F263" s="9">
        <v>0.77418978999999999</v>
      </c>
      <c r="J263" s="9" t="s">
        <v>47</v>
      </c>
      <c r="K263" s="9" t="str">
        <f t="shared" si="21"/>
        <v>Guatemala12</v>
      </c>
      <c r="L263" s="9">
        <v>12</v>
      </c>
      <c r="M263" s="9">
        <v>1.4597977</v>
      </c>
      <c r="N263" s="9">
        <v>1.3570042</v>
      </c>
      <c r="O263" s="9">
        <v>1.1633449</v>
      </c>
    </row>
    <row r="264" spans="2:15" ht="1" customHeight="1">
      <c r="B264" s="9" t="s">
        <v>52</v>
      </c>
      <c r="C264" s="9" t="str">
        <f t="shared" si="22"/>
        <v>Mexico1997</v>
      </c>
      <c r="D264" s="9">
        <v>1997</v>
      </c>
      <c r="E264" s="9">
        <v>0.58261136000000002</v>
      </c>
      <c r="F264" s="9">
        <v>0.76457249000000005</v>
      </c>
      <c r="J264" s="9" t="s">
        <v>47</v>
      </c>
      <c r="K264" s="9" t="str">
        <f t="shared" si="21"/>
        <v>Guatemala13</v>
      </c>
      <c r="L264" s="9">
        <v>13</v>
      </c>
      <c r="M264" s="9">
        <v>1.6926489</v>
      </c>
      <c r="N264" s="9">
        <v>1.4964561000000001</v>
      </c>
      <c r="O264" s="9">
        <v>1.4451993999999999</v>
      </c>
    </row>
    <row r="265" spans="2:15" ht="1" customHeight="1">
      <c r="B265" s="9" t="s">
        <v>52</v>
      </c>
      <c r="C265" s="9" t="str">
        <f t="shared" si="22"/>
        <v>Mexico1998</v>
      </c>
      <c r="D265" s="9">
        <v>1998</v>
      </c>
      <c r="E265" s="9">
        <v>0.58261136000000002</v>
      </c>
      <c r="F265" s="9">
        <v>0.76457249000000005</v>
      </c>
      <c r="J265" s="9" t="s">
        <v>47</v>
      </c>
      <c r="K265" s="9" t="str">
        <f t="shared" si="21"/>
        <v>Guatemala14</v>
      </c>
      <c r="L265" s="9">
        <v>14</v>
      </c>
      <c r="M265" s="9">
        <v>1.6498957999999999</v>
      </c>
      <c r="N265" s="9">
        <v>1.4634087</v>
      </c>
      <c r="O265" s="9">
        <v>1.4030357</v>
      </c>
    </row>
    <row r="266" spans="2:15" ht="1" customHeight="1">
      <c r="B266" s="9" t="s">
        <v>52</v>
      </c>
      <c r="C266" s="9" t="str">
        <f t="shared" si="22"/>
        <v>Mexico1999</v>
      </c>
      <c r="D266" s="9">
        <v>1999</v>
      </c>
      <c r="E266" s="9">
        <v>0.60568506</v>
      </c>
      <c r="F266" s="9">
        <v>0.66613456000000004</v>
      </c>
      <c r="J266" s="9" t="s">
        <v>47</v>
      </c>
      <c r="K266" s="9" t="str">
        <f t="shared" si="21"/>
        <v>Guatemala15</v>
      </c>
      <c r="L266" s="9">
        <v>15</v>
      </c>
      <c r="M266" s="9">
        <v>1.6362093</v>
      </c>
      <c r="N266" s="9">
        <v>1.6665331000000001</v>
      </c>
      <c r="O266" s="9">
        <v>1.4334112999999999</v>
      </c>
    </row>
    <row r="267" spans="2:15" ht="1" customHeight="1">
      <c r="B267" s="9" t="s">
        <v>52</v>
      </c>
      <c r="C267" s="9" t="str">
        <f t="shared" si="22"/>
        <v>Mexico2000</v>
      </c>
      <c r="D267" s="9">
        <v>2000</v>
      </c>
      <c r="E267" s="9">
        <v>0.60568506</v>
      </c>
      <c r="F267" s="9">
        <v>0.66613456000000004</v>
      </c>
      <c r="J267" s="9" t="s">
        <v>47</v>
      </c>
      <c r="K267" s="9" t="str">
        <f t="shared" si="21"/>
        <v>Guatemala16</v>
      </c>
      <c r="L267" s="9">
        <v>16</v>
      </c>
      <c r="M267" s="9">
        <v>2.0392081000000002</v>
      </c>
      <c r="N267" s="9">
        <v>1.6057205000000001</v>
      </c>
      <c r="O267" s="9">
        <v>1.4063600000000001</v>
      </c>
    </row>
    <row r="268" spans="2:15" ht="1" customHeight="1">
      <c r="B268" s="9" t="s">
        <v>52</v>
      </c>
      <c r="C268" s="9" t="str">
        <f t="shared" si="22"/>
        <v>Mexico2001</v>
      </c>
      <c r="D268" s="9">
        <v>2001</v>
      </c>
      <c r="E268" s="9">
        <v>0.64411423000000001</v>
      </c>
      <c r="F268" s="9">
        <v>0.68640637999999998</v>
      </c>
      <c r="J268" s="9" t="s">
        <v>47</v>
      </c>
      <c r="K268" s="9" t="str">
        <f t="shared" si="21"/>
        <v>Guatemala17</v>
      </c>
      <c r="L268" s="9">
        <v>17</v>
      </c>
      <c r="M268" s="9">
        <v>2.1253548000000002</v>
      </c>
      <c r="N268" s="9">
        <v>1.8067255</v>
      </c>
      <c r="O268" s="9">
        <v>1.7754729</v>
      </c>
    </row>
    <row r="269" spans="2:15" ht="1" customHeight="1">
      <c r="B269" s="9" t="s">
        <v>52</v>
      </c>
      <c r="C269" s="9" t="str">
        <f t="shared" si="22"/>
        <v>Mexico2002</v>
      </c>
      <c r="D269" s="9">
        <v>2002</v>
      </c>
      <c r="E269" s="9">
        <v>0.64411423000000001</v>
      </c>
      <c r="F269" s="9">
        <v>0.68640637999999998</v>
      </c>
      <c r="J269" s="9" t="s">
        <v>47</v>
      </c>
      <c r="K269" s="9" t="str">
        <f t="shared" si="21"/>
        <v>Guatemala18</v>
      </c>
      <c r="L269" s="9">
        <v>18</v>
      </c>
      <c r="M269" s="9">
        <v>2.2461068000000002</v>
      </c>
      <c r="N269" s="9">
        <v>2.4351113999999998</v>
      </c>
      <c r="O269" s="9">
        <v>1.7353632999999999</v>
      </c>
    </row>
    <row r="270" spans="2:15" ht="1" customHeight="1">
      <c r="B270" s="9" t="s">
        <v>52</v>
      </c>
      <c r="C270" s="9" t="str">
        <f t="shared" si="22"/>
        <v>Mexico2003</v>
      </c>
      <c r="D270" s="9">
        <v>2003</v>
      </c>
      <c r="E270" s="9">
        <v>0.61002831000000002</v>
      </c>
      <c r="F270" s="9">
        <v>0.59439434999999996</v>
      </c>
      <c r="J270" s="9" t="s">
        <v>47</v>
      </c>
      <c r="K270" s="9" t="str">
        <f t="shared" si="21"/>
        <v>Guatemala19</v>
      </c>
      <c r="L270" s="9">
        <v>19</v>
      </c>
      <c r="M270" s="9">
        <v>2.0264036000000001</v>
      </c>
      <c r="N270" s="9">
        <v>2.5621683000000002</v>
      </c>
      <c r="O270" s="9">
        <v>2.0317791999999999</v>
      </c>
    </row>
    <row r="271" spans="2:15" ht="1" customHeight="1">
      <c r="B271" s="9" t="s">
        <v>52</v>
      </c>
      <c r="C271" s="9" t="str">
        <f t="shared" si="22"/>
        <v>Mexico2004</v>
      </c>
      <c r="D271" s="9">
        <v>2004</v>
      </c>
      <c r="E271" s="9">
        <v>0.61002831000000002</v>
      </c>
      <c r="F271" s="9">
        <v>0.59439434999999996</v>
      </c>
      <c r="J271" s="9" t="s">
        <v>47</v>
      </c>
      <c r="K271" s="9" t="str">
        <f t="shared" si="21"/>
        <v>Guatemala20</v>
      </c>
      <c r="L271" s="9">
        <v>20</v>
      </c>
      <c r="N271" s="9">
        <v>2.1805059999999998</v>
      </c>
    </row>
    <row r="272" spans="2:15" ht="1" customHeight="1">
      <c r="B272" s="9" t="s">
        <v>52</v>
      </c>
      <c r="C272" s="9" t="str">
        <f t="shared" si="22"/>
        <v>Mexico2005</v>
      </c>
      <c r="D272" s="9">
        <v>2005</v>
      </c>
      <c r="E272" s="9">
        <v>0.64733333999999998</v>
      </c>
      <c r="F272" s="9">
        <v>0.53271645999999995</v>
      </c>
      <c r="J272" s="9" t="s">
        <v>50</v>
      </c>
      <c r="K272" s="9" t="str">
        <f t="shared" si="21"/>
        <v>Honduras0</v>
      </c>
      <c r="L272" s="9">
        <v>0</v>
      </c>
      <c r="M272" s="9">
        <v>0</v>
      </c>
      <c r="N272" s="9">
        <v>0</v>
      </c>
      <c r="O272" s="9">
        <v>0</v>
      </c>
    </row>
    <row r="273" spans="2:15" ht="1" customHeight="1">
      <c r="B273" s="9" t="s">
        <v>52</v>
      </c>
      <c r="C273" s="9" t="str">
        <f t="shared" si="22"/>
        <v>Mexico2006</v>
      </c>
      <c r="D273" s="9">
        <v>2006</v>
      </c>
      <c r="E273" s="9">
        <v>0.64984184</v>
      </c>
      <c r="F273" s="9">
        <v>0.60036082000000002</v>
      </c>
      <c r="J273" s="9" t="s">
        <v>50</v>
      </c>
      <c r="K273" s="9" t="str">
        <f t="shared" si="21"/>
        <v>Honduras1</v>
      </c>
      <c r="L273" s="9">
        <v>1</v>
      </c>
      <c r="M273" s="9">
        <v>0.18904007</v>
      </c>
      <c r="N273" s="9">
        <v>0.17486805999999999</v>
      </c>
      <c r="O273" s="9">
        <v>0.16036442000000001</v>
      </c>
    </row>
    <row r="274" spans="2:15" ht="1" customHeight="1">
      <c r="B274" s="9" t="s">
        <v>52</v>
      </c>
      <c r="C274" s="9" t="str">
        <f t="shared" si="22"/>
        <v>Mexico2007</v>
      </c>
      <c r="D274" s="9">
        <v>2007</v>
      </c>
      <c r="E274" s="9">
        <v>0.61029796999999997</v>
      </c>
      <c r="F274" s="9">
        <v>0.55803689999999995</v>
      </c>
      <c r="J274" s="9" t="s">
        <v>50</v>
      </c>
      <c r="K274" s="9" t="str">
        <f t="shared" si="21"/>
        <v>Honduras2</v>
      </c>
      <c r="L274" s="9">
        <v>2</v>
      </c>
      <c r="M274" s="9">
        <v>0.18039479</v>
      </c>
      <c r="N274" s="9">
        <v>0.21829717000000001</v>
      </c>
      <c r="O274" s="9">
        <v>0.15661522</v>
      </c>
    </row>
    <row r="275" spans="2:15" ht="1" customHeight="1">
      <c r="B275" s="9" t="s">
        <v>52</v>
      </c>
      <c r="C275" s="9" t="str">
        <f t="shared" si="22"/>
        <v>Mexico2008</v>
      </c>
      <c r="D275" s="9">
        <v>2008</v>
      </c>
      <c r="E275" s="9">
        <v>0.61029796999999997</v>
      </c>
      <c r="F275" s="9">
        <v>0.55803689999999995</v>
      </c>
      <c r="J275" s="9" t="s">
        <v>50</v>
      </c>
      <c r="K275" s="9" t="str">
        <f t="shared" si="21"/>
        <v>Honduras3</v>
      </c>
      <c r="L275" s="9">
        <v>3</v>
      </c>
      <c r="M275" s="9">
        <v>0.31580729000000002</v>
      </c>
      <c r="N275" s="9">
        <v>0.26070051999999999</v>
      </c>
      <c r="O275" s="9">
        <v>0.27886</v>
      </c>
    </row>
    <row r="276" spans="2:15" ht="1" customHeight="1">
      <c r="B276" s="9" t="s">
        <v>52</v>
      </c>
      <c r="C276" s="9" t="str">
        <f t="shared" si="22"/>
        <v>Mexico2009</v>
      </c>
      <c r="D276" s="9">
        <v>2009</v>
      </c>
      <c r="E276" s="9">
        <v>0.61072700000000002</v>
      </c>
      <c r="F276" s="9">
        <v>0.55087909999999995</v>
      </c>
      <c r="J276" s="9" t="s">
        <v>50</v>
      </c>
      <c r="K276" s="9" t="str">
        <f t="shared" si="21"/>
        <v>Honduras4</v>
      </c>
      <c r="L276" s="9">
        <v>4</v>
      </c>
      <c r="M276" s="9">
        <v>0.34341375000000002</v>
      </c>
      <c r="N276" s="9">
        <v>0.44510698999999998</v>
      </c>
      <c r="O276" s="9">
        <v>0.31236952000000001</v>
      </c>
    </row>
    <row r="277" spans="2:15" ht="1" customHeight="1">
      <c r="B277" s="9" t="s">
        <v>52</v>
      </c>
      <c r="C277" s="9" t="str">
        <f t="shared" si="22"/>
        <v>Mexico2010</v>
      </c>
      <c r="D277" s="9">
        <v>2010</v>
      </c>
      <c r="E277" s="9">
        <v>0.61072700000000002</v>
      </c>
      <c r="F277" s="9">
        <v>0.55087909999999995</v>
      </c>
      <c r="J277" s="9" t="s">
        <v>50</v>
      </c>
      <c r="K277" s="9" t="str">
        <f t="shared" si="21"/>
        <v>Honduras5</v>
      </c>
      <c r="L277" s="9">
        <v>5</v>
      </c>
      <c r="M277" s="9">
        <v>0.33592287999999998</v>
      </c>
      <c r="N277" s="9">
        <v>0.51207515999999997</v>
      </c>
      <c r="O277" s="9">
        <v>0.33275586000000001</v>
      </c>
    </row>
    <row r="278" spans="2:15" ht="1" customHeight="1">
      <c r="B278" s="9" t="s">
        <v>52</v>
      </c>
      <c r="C278" s="9" t="str">
        <f t="shared" si="22"/>
        <v>Mexico2011</v>
      </c>
      <c r="D278" s="9">
        <v>2011</v>
      </c>
      <c r="E278" s="9">
        <v>0.60810257000000001</v>
      </c>
      <c r="F278" s="9">
        <v>0.65223836999999996</v>
      </c>
      <c r="J278" s="9" t="s">
        <v>50</v>
      </c>
      <c r="K278" s="9" t="str">
        <f t="shared" si="21"/>
        <v>Honduras6</v>
      </c>
      <c r="L278" s="9">
        <v>6</v>
      </c>
      <c r="M278" s="9">
        <v>0.53807497000000004</v>
      </c>
      <c r="N278" s="9">
        <v>0.74719031000000002</v>
      </c>
      <c r="O278" s="9">
        <v>0.56054062000000004</v>
      </c>
    </row>
    <row r="279" spans="2:15" ht="1" customHeight="1">
      <c r="B279" s="9" t="s">
        <v>52</v>
      </c>
      <c r="C279" s="9" t="str">
        <f t="shared" si="22"/>
        <v>Mexico2012</v>
      </c>
      <c r="D279" s="9">
        <v>2012</v>
      </c>
      <c r="E279" s="9">
        <v>0.60810257000000001</v>
      </c>
      <c r="F279" s="9">
        <v>0.65223836999999996</v>
      </c>
      <c r="J279" s="9" t="s">
        <v>50</v>
      </c>
      <c r="K279" s="9" t="str">
        <f t="shared" si="21"/>
        <v>Honduras7</v>
      </c>
      <c r="L279" s="9">
        <v>7</v>
      </c>
      <c r="M279" s="9">
        <v>0.73198991000000002</v>
      </c>
      <c r="N279" s="9">
        <v>0.99053789000000003</v>
      </c>
      <c r="O279" s="9">
        <v>0.79282328999999996</v>
      </c>
    </row>
    <row r="280" spans="2:15" ht="1" customHeight="1">
      <c r="B280" s="9" t="s">
        <v>52</v>
      </c>
      <c r="C280" s="9" t="str">
        <f t="shared" si="22"/>
        <v>Mexico2013</v>
      </c>
      <c r="D280" s="9">
        <v>2013</v>
      </c>
      <c r="E280" s="9">
        <v>0.60403141000000005</v>
      </c>
      <c r="F280" s="9">
        <v>0.67858216000000005</v>
      </c>
      <c r="J280" s="9" t="s">
        <v>50</v>
      </c>
      <c r="K280" s="9" t="str">
        <f t="shared" si="21"/>
        <v>Honduras8</v>
      </c>
      <c r="L280" s="9">
        <v>8</v>
      </c>
      <c r="M280" s="9">
        <v>0.77020095</v>
      </c>
      <c r="N280" s="9">
        <v>1.2303009</v>
      </c>
      <c r="O280" s="9">
        <v>1.0085911999999999</v>
      </c>
    </row>
    <row r="281" spans="2:15" ht="1" customHeight="1">
      <c r="B281" s="9" t="s">
        <v>52</v>
      </c>
      <c r="C281" s="9" t="str">
        <f t="shared" si="22"/>
        <v>Mexico2014</v>
      </c>
      <c r="D281" s="9">
        <v>2014</v>
      </c>
      <c r="E281" s="9">
        <v>0.60403141000000005</v>
      </c>
      <c r="F281" s="9">
        <v>0.67858216000000005</v>
      </c>
      <c r="J281" s="9" t="s">
        <v>50</v>
      </c>
      <c r="K281" s="9" t="str">
        <f t="shared" si="21"/>
        <v>Honduras9</v>
      </c>
      <c r="L281" s="9">
        <v>9</v>
      </c>
      <c r="M281" s="9">
        <v>0.86242746999999997</v>
      </c>
      <c r="N281" s="9">
        <v>1.4010450999999999</v>
      </c>
      <c r="O281" s="9">
        <v>1.0600518000000001</v>
      </c>
    </row>
    <row r="282" spans="2:15" ht="1" customHeight="1">
      <c r="B282" s="9" t="s">
        <v>54</v>
      </c>
      <c r="C282" s="9" t="str">
        <f>CONCATENATE(B282,D282)</f>
        <v>Panama1995</v>
      </c>
      <c r="D282" s="9">
        <v>1995</v>
      </c>
      <c r="E282" s="9">
        <v>0.70033886999999995</v>
      </c>
      <c r="F282" s="9">
        <v>0.66891036000000004</v>
      </c>
      <c r="J282" s="9" t="s">
        <v>50</v>
      </c>
      <c r="K282" s="9" t="str">
        <f t="shared" si="21"/>
        <v>Honduras10</v>
      </c>
      <c r="L282" s="9">
        <v>10</v>
      </c>
      <c r="M282" s="9">
        <v>0.80949647999999996</v>
      </c>
      <c r="N282" s="9">
        <v>1.6470735000000001</v>
      </c>
      <c r="O282" s="9">
        <v>1.4013272999999999</v>
      </c>
    </row>
    <row r="283" spans="2:15" ht="1" customHeight="1">
      <c r="B283" s="9" t="s">
        <v>54</v>
      </c>
      <c r="C283" s="9" t="str">
        <f t="shared" ref="C283:C301" si="23">CONCATENATE(B283,D283)</f>
        <v>Panama1996</v>
      </c>
      <c r="D283" s="9">
        <v>1996</v>
      </c>
      <c r="E283" s="9">
        <v>0.67485744000000003</v>
      </c>
      <c r="F283" s="9">
        <v>0.79046357</v>
      </c>
      <c r="J283" s="9" t="s">
        <v>50</v>
      </c>
      <c r="K283" s="9" t="str">
        <f t="shared" si="21"/>
        <v>Honduras11</v>
      </c>
      <c r="L283" s="9">
        <v>11</v>
      </c>
      <c r="M283" s="9">
        <v>1.1313093999999999</v>
      </c>
      <c r="N283" s="9">
        <v>1.5529636</v>
      </c>
      <c r="O283" s="9">
        <v>1.5148211</v>
      </c>
    </row>
    <row r="284" spans="2:15" ht="1" customHeight="1">
      <c r="B284" s="9" t="s">
        <v>54</v>
      </c>
      <c r="C284" s="9" t="str">
        <f t="shared" si="23"/>
        <v>Panama1997</v>
      </c>
      <c r="D284" s="9">
        <v>1997</v>
      </c>
      <c r="E284" s="9">
        <v>0.69531810999999999</v>
      </c>
      <c r="F284" s="9">
        <v>0.79456769999999999</v>
      </c>
      <c r="J284" s="9" t="s">
        <v>50</v>
      </c>
      <c r="K284" s="9" t="str">
        <f t="shared" si="21"/>
        <v>Honduras12</v>
      </c>
      <c r="L284" s="9">
        <v>12</v>
      </c>
      <c r="M284" s="9">
        <v>1.2641678999999999</v>
      </c>
      <c r="N284" s="9">
        <v>1.6897470999999999</v>
      </c>
      <c r="O284" s="9">
        <v>1.5780689000000001</v>
      </c>
    </row>
    <row r="285" spans="2:15" ht="1" customHeight="1">
      <c r="B285" s="9" t="s">
        <v>54</v>
      </c>
      <c r="C285" s="9" t="str">
        <f t="shared" si="23"/>
        <v>Panama1998</v>
      </c>
      <c r="D285" s="9">
        <v>1998</v>
      </c>
      <c r="E285" s="9">
        <v>0.69870703000000001</v>
      </c>
      <c r="F285" s="9">
        <v>0.78807976000000002</v>
      </c>
      <c r="J285" s="9" t="s">
        <v>50</v>
      </c>
      <c r="K285" s="9" t="str">
        <f t="shared" si="21"/>
        <v>Honduras13</v>
      </c>
      <c r="L285" s="9">
        <v>13</v>
      </c>
      <c r="M285" s="9">
        <v>1.3948651999999999</v>
      </c>
      <c r="N285" s="9">
        <v>1.8653165</v>
      </c>
      <c r="O285" s="9">
        <v>1.5722915</v>
      </c>
    </row>
    <row r="286" spans="2:15" ht="1" customHeight="1">
      <c r="B286" s="9" t="s">
        <v>54</v>
      </c>
      <c r="C286" s="9" t="str">
        <f t="shared" si="23"/>
        <v>Panama1999</v>
      </c>
      <c r="D286" s="9">
        <v>1999</v>
      </c>
      <c r="E286" s="9">
        <v>0.69676287999999997</v>
      </c>
      <c r="F286" s="9">
        <v>0.78162313000000005</v>
      </c>
      <c r="J286" s="9" t="s">
        <v>50</v>
      </c>
      <c r="K286" s="9" t="str">
        <f t="shared" si="21"/>
        <v>Honduras14</v>
      </c>
      <c r="L286" s="9">
        <v>14</v>
      </c>
      <c r="M286" s="9">
        <v>1.3020927</v>
      </c>
      <c r="N286" s="9">
        <v>1.9206650000000001</v>
      </c>
      <c r="O286" s="9">
        <v>1.7541104000000001</v>
      </c>
    </row>
    <row r="287" spans="2:15" ht="1" customHeight="1">
      <c r="B287" s="9" t="s">
        <v>54</v>
      </c>
      <c r="C287" s="9" t="str">
        <f t="shared" si="23"/>
        <v>Panama2000</v>
      </c>
      <c r="D287" s="9">
        <v>2000</v>
      </c>
      <c r="E287" s="9">
        <v>0.72931566999999997</v>
      </c>
      <c r="F287" s="9">
        <v>0.71342622</v>
      </c>
      <c r="J287" s="9" t="s">
        <v>50</v>
      </c>
      <c r="K287" s="9" t="str">
        <f t="shared" si="21"/>
        <v>Honduras15</v>
      </c>
      <c r="L287" s="9">
        <v>15</v>
      </c>
      <c r="M287" s="9">
        <v>1.6063581</v>
      </c>
      <c r="N287" s="9">
        <v>2.2167243000000001</v>
      </c>
      <c r="O287" s="9">
        <v>1.9689543</v>
      </c>
    </row>
    <row r="288" spans="2:15" ht="1" customHeight="1">
      <c r="B288" s="9" t="s">
        <v>54</v>
      </c>
      <c r="C288" s="9" t="str">
        <f t="shared" si="23"/>
        <v>Panama2001</v>
      </c>
      <c r="D288" s="9">
        <v>2001</v>
      </c>
      <c r="E288" s="9">
        <v>0.73603445000000001</v>
      </c>
      <c r="F288" s="9">
        <v>0.72920339000000001</v>
      </c>
      <c r="J288" s="9" t="s">
        <v>50</v>
      </c>
      <c r="K288" s="9" t="str">
        <f t="shared" si="21"/>
        <v>Honduras16</v>
      </c>
      <c r="L288" s="9">
        <v>16</v>
      </c>
      <c r="M288" s="9">
        <v>1.7663138</v>
      </c>
      <c r="N288" s="9">
        <v>2.3209772000000002</v>
      </c>
      <c r="O288" s="9">
        <v>1.9837391</v>
      </c>
    </row>
    <row r="289" spans="2:15" ht="1" customHeight="1">
      <c r="B289" s="9" t="s">
        <v>54</v>
      </c>
      <c r="C289" s="9" t="str">
        <f t="shared" si="23"/>
        <v>Panama2002</v>
      </c>
      <c r="D289" s="9">
        <v>2002</v>
      </c>
      <c r="E289" s="9">
        <v>0.79107269000000002</v>
      </c>
      <c r="F289" s="9">
        <v>0.77933838</v>
      </c>
      <c r="J289" s="9" t="s">
        <v>50</v>
      </c>
      <c r="K289" s="9" t="str">
        <f t="shared" si="21"/>
        <v>Honduras17</v>
      </c>
      <c r="L289" s="9">
        <v>17</v>
      </c>
      <c r="M289" s="9">
        <v>1.9423153</v>
      </c>
      <c r="N289" s="9">
        <v>2.3750646</v>
      </c>
      <c r="O289" s="9">
        <v>1.9674608</v>
      </c>
    </row>
    <row r="290" spans="2:15" ht="1" customHeight="1">
      <c r="B290" s="9" t="s">
        <v>54</v>
      </c>
      <c r="C290" s="9" t="str">
        <f t="shared" si="23"/>
        <v>Panama2003</v>
      </c>
      <c r="D290" s="9">
        <v>2003</v>
      </c>
      <c r="E290" s="9">
        <v>0.72475639999999997</v>
      </c>
      <c r="F290" s="9">
        <v>0.78628851</v>
      </c>
      <c r="J290" s="9" t="s">
        <v>50</v>
      </c>
      <c r="K290" s="9" t="str">
        <f t="shared" si="21"/>
        <v>Honduras18</v>
      </c>
      <c r="L290" s="9">
        <v>18</v>
      </c>
      <c r="M290" s="9">
        <v>1.7222955</v>
      </c>
      <c r="N290" s="9">
        <v>2.2451617000000001</v>
      </c>
      <c r="O290" s="9">
        <v>2.3372601</v>
      </c>
    </row>
    <row r="291" spans="2:15" ht="1" customHeight="1">
      <c r="B291" s="9" t="s">
        <v>54</v>
      </c>
      <c r="C291" s="9" t="str">
        <f t="shared" si="23"/>
        <v>Panama2004</v>
      </c>
      <c r="D291" s="9">
        <v>2004</v>
      </c>
      <c r="E291" s="9">
        <v>0.78323544</v>
      </c>
      <c r="F291" s="9">
        <v>0.79297607000000003</v>
      </c>
      <c r="J291" s="9" t="s">
        <v>50</v>
      </c>
      <c r="K291" s="9" t="str">
        <f t="shared" si="21"/>
        <v>Honduras19</v>
      </c>
      <c r="L291" s="9">
        <v>19</v>
      </c>
      <c r="M291" s="9">
        <v>1.8918815</v>
      </c>
      <c r="N291" s="9">
        <v>2.3254826</v>
      </c>
      <c r="O291" s="9">
        <v>1.8898351</v>
      </c>
    </row>
    <row r="292" spans="2:15" ht="1" customHeight="1">
      <c r="B292" s="9" t="s">
        <v>54</v>
      </c>
      <c r="C292" s="9" t="str">
        <f t="shared" si="23"/>
        <v>Panama2005</v>
      </c>
      <c r="D292" s="9">
        <v>2005</v>
      </c>
      <c r="E292" s="9">
        <v>0.72693129000000001</v>
      </c>
      <c r="F292" s="9">
        <v>0.81117360000000005</v>
      </c>
      <c r="J292" s="9" t="s">
        <v>50</v>
      </c>
      <c r="K292" s="9" t="str">
        <f t="shared" si="21"/>
        <v>Honduras20</v>
      </c>
      <c r="L292" s="9">
        <v>20</v>
      </c>
      <c r="M292" s="9">
        <v>1.9939579000000001</v>
      </c>
      <c r="N292" s="9">
        <v>1.6962109000000001</v>
      </c>
      <c r="O292" s="9">
        <v>2.4702950000000001</v>
      </c>
    </row>
    <row r="293" spans="2:15" ht="1" customHeight="1">
      <c r="B293" s="9" t="s">
        <v>54</v>
      </c>
      <c r="C293" s="9" t="str">
        <f t="shared" si="23"/>
        <v>Panama2006</v>
      </c>
      <c r="D293" s="9">
        <v>2006</v>
      </c>
      <c r="E293" s="9">
        <v>0.77731238000000002</v>
      </c>
      <c r="F293" s="9">
        <v>0.81180750000000002</v>
      </c>
      <c r="J293" s="9" t="s">
        <v>52</v>
      </c>
      <c r="K293" s="9" t="str">
        <f t="shared" si="21"/>
        <v>Mexico0</v>
      </c>
      <c r="L293" s="9">
        <v>0</v>
      </c>
      <c r="M293" s="9">
        <v>0</v>
      </c>
      <c r="N293" s="9">
        <v>0</v>
      </c>
      <c r="O293" s="9">
        <v>0</v>
      </c>
    </row>
    <row r="294" spans="2:15" ht="1" customHeight="1">
      <c r="B294" s="9" t="s">
        <v>54</v>
      </c>
      <c r="C294" s="9" t="str">
        <f t="shared" si="23"/>
        <v>Panama2007</v>
      </c>
      <c r="D294" s="9">
        <v>2007</v>
      </c>
      <c r="E294" s="9">
        <v>0.70919200000000004</v>
      </c>
      <c r="F294" s="9">
        <v>0.79986464000000002</v>
      </c>
      <c r="J294" s="9" t="s">
        <v>52</v>
      </c>
      <c r="K294" s="9" t="str">
        <f t="shared" si="21"/>
        <v>Mexico1</v>
      </c>
      <c r="L294" s="9">
        <v>1</v>
      </c>
      <c r="M294" s="9">
        <v>0.10265469000000001</v>
      </c>
      <c r="N294" s="9">
        <v>5.6890540000000003E-2</v>
      </c>
      <c r="O294" s="9">
        <v>0.27193637999999998</v>
      </c>
    </row>
    <row r="295" spans="2:15" ht="1" customHeight="1">
      <c r="B295" s="9" t="s">
        <v>54</v>
      </c>
      <c r="C295" s="9" t="str">
        <f t="shared" si="23"/>
        <v>Panama2008</v>
      </c>
      <c r="D295" s="9">
        <v>2008</v>
      </c>
      <c r="E295" s="9">
        <v>0.71765122000000003</v>
      </c>
      <c r="F295" s="9">
        <v>0.78115288999999999</v>
      </c>
      <c r="J295" s="9" t="s">
        <v>52</v>
      </c>
      <c r="K295" s="9" t="str">
        <f t="shared" si="21"/>
        <v>Mexico2</v>
      </c>
      <c r="L295" s="9">
        <v>2</v>
      </c>
      <c r="M295" s="9">
        <v>8.7684689999999996E-2</v>
      </c>
      <c r="N295" s="9">
        <v>0.32352618999999999</v>
      </c>
      <c r="O295" s="9">
        <v>0.22514772999999999</v>
      </c>
    </row>
    <row r="296" spans="2:15" ht="1" customHeight="1">
      <c r="B296" s="9" t="s">
        <v>54</v>
      </c>
      <c r="C296" s="9" t="str">
        <f t="shared" si="23"/>
        <v>Panama2009</v>
      </c>
      <c r="D296" s="9">
        <v>2009</v>
      </c>
      <c r="E296" s="9">
        <v>0.70653096000000004</v>
      </c>
      <c r="F296" s="9">
        <v>0.77102099000000002</v>
      </c>
      <c r="J296" s="9" t="s">
        <v>52</v>
      </c>
      <c r="K296" s="9" t="str">
        <f t="shared" si="21"/>
        <v>Mexico3</v>
      </c>
      <c r="L296" s="9">
        <v>3</v>
      </c>
      <c r="M296" s="9">
        <v>0.31779984</v>
      </c>
      <c r="N296" s="9">
        <v>0.36130632000000001</v>
      </c>
      <c r="O296" s="9">
        <v>0.39983298</v>
      </c>
    </row>
    <row r="297" spans="2:15" ht="1" customHeight="1">
      <c r="B297" s="9" t="s">
        <v>54</v>
      </c>
      <c r="C297" s="9" t="str">
        <f t="shared" si="23"/>
        <v>Panama2010</v>
      </c>
      <c r="D297" s="9">
        <v>2010</v>
      </c>
      <c r="E297" s="9">
        <v>0.69075262000000004</v>
      </c>
      <c r="F297" s="9">
        <v>0.77032560999999999</v>
      </c>
      <c r="J297" s="9" t="s">
        <v>52</v>
      </c>
      <c r="K297" s="9" t="str">
        <f t="shared" si="21"/>
        <v>Mexico4</v>
      </c>
      <c r="L297" s="9">
        <v>4</v>
      </c>
      <c r="M297" s="9">
        <v>0.31969899000000002</v>
      </c>
      <c r="N297" s="9">
        <v>0.48516998</v>
      </c>
      <c r="O297" s="9">
        <v>0.45570737</v>
      </c>
    </row>
    <row r="298" spans="2:15" ht="1" customHeight="1">
      <c r="B298" s="9" t="s">
        <v>54</v>
      </c>
      <c r="C298" s="9" t="str">
        <f t="shared" si="23"/>
        <v>Panama2011</v>
      </c>
      <c r="D298" s="9">
        <v>2011</v>
      </c>
      <c r="E298" s="9">
        <v>0.64842964000000003</v>
      </c>
      <c r="F298" s="9">
        <v>0.69129715999999997</v>
      </c>
      <c r="J298" s="9" t="s">
        <v>52</v>
      </c>
      <c r="K298" s="9" t="str">
        <f t="shared" si="21"/>
        <v>Mexico5</v>
      </c>
      <c r="L298" s="9">
        <v>5</v>
      </c>
      <c r="M298" s="9">
        <v>0.51242224000000003</v>
      </c>
      <c r="N298" s="9">
        <v>0.44741436000000001</v>
      </c>
      <c r="O298" s="9">
        <v>0.49490693000000002</v>
      </c>
    </row>
    <row r="299" spans="2:15" ht="1" customHeight="1">
      <c r="B299" s="9" t="s">
        <v>54</v>
      </c>
      <c r="C299" s="9" t="str">
        <f t="shared" si="23"/>
        <v>Panama2012</v>
      </c>
      <c r="D299" s="9">
        <v>2012</v>
      </c>
      <c r="E299" s="9">
        <v>0.6708404</v>
      </c>
      <c r="F299" s="9">
        <v>0.73506488000000003</v>
      </c>
      <c r="J299" s="9" t="s">
        <v>52</v>
      </c>
      <c r="K299" s="9" t="str">
        <f t="shared" si="21"/>
        <v>Mexico6</v>
      </c>
      <c r="L299" s="9">
        <v>6</v>
      </c>
      <c r="M299" s="9">
        <v>0.64825529999999998</v>
      </c>
      <c r="N299" s="9">
        <v>0.67564762</v>
      </c>
      <c r="O299" s="9">
        <v>0.65679326999999998</v>
      </c>
    </row>
    <row r="300" spans="2:15" ht="1" customHeight="1">
      <c r="B300" s="9" t="s">
        <v>54</v>
      </c>
      <c r="C300" s="9" t="str">
        <f t="shared" si="23"/>
        <v>Panama2013</v>
      </c>
      <c r="D300" s="9">
        <v>2013</v>
      </c>
      <c r="E300" s="9">
        <v>0.70107790999999997</v>
      </c>
      <c r="F300" s="9">
        <v>0.72859569999999996</v>
      </c>
      <c r="J300" s="9" t="s">
        <v>52</v>
      </c>
      <c r="K300" s="9" t="str">
        <f t="shared" si="21"/>
        <v>Mexico7</v>
      </c>
      <c r="L300" s="9">
        <v>7</v>
      </c>
      <c r="M300" s="9">
        <v>0.77104574000000003</v>
      </c>
      <c r="N300" s="9">
        <v>0.88493931999999997</v>
      </c>
      <c r="O300" s="9">
        <v>0.90923761999999997</v>
      </c>
    </row>
    <row r="301" spans="2:15" ht="1" customHeight="1">
      <c r="B301" s="9" t="s">
        <v>54</v>
      </c>
      <c r="C301" s="9" t="str">
        <f t="shared" si="23"/>
        <v>Panama2014</v>
      </c>
      <c r="D301" s="9">
        <v>2014</v>
      </c>
      <c r="E301" s="9">
        <v>0.66300791999999997</v>
      </c>
      <c r="F301" s="9">
        <v>0.69266079999999997</v>
      </c>
      <c r="J301" s="9" t="s">
        <v>52</v>
      </c>
      <c r="K301" s="9" t="str">
        <f t="shared" si="21"/>
        <v>Mexico8</v>
      </c>
      <c r="L301" s="9">
        <v>8</v>
      </c>
      <c r="M301" s="9">
        <v>0.89896295999999998</v>
      </c>
      <c r="N301" s="9">
        <v>0.87561652999999995</v>
      </c>
      <c r="O301" s="9">
        <v>0.91530336999999995</v>
      </c>
    </row>
    <row r="302" spans="2:15" ht="1" customHeight="1">
      <c r="B302" s="9" t="s">
        <v>56</v>
      </c>
      <c r="C302" s="9" t="str">
        <f>CONCATENATE(B302,D302)</f>
        <v>Peru1995</v>
      </c>
      <c r="D302" s="9">
        <v>1995</v>
      </c>
      <c r="E302" s="9">
        <v>0.58350427000000005</v>
      </c>
      <c r="F302" s="9">
        <v>0.84275369</v>
      </c>
      <c r="J302" s="9" t="s">
        <v>52</v>
      </c>
      <c r="K302" s="9" t="str">
        <f t="shared" si="21"/>
        <v>Mexico9</v>
      </c>
      <c r="L302" s="9">
        <v>9</v>
      </c>
      <c r="M302" s="9">
        <v>0.97915817999999999</v>
      </c>
      <c r="N302" s="9">
        <v>0.95877272999999996</v>
      </c>
      <c r="O302" s="9">
        <v>1.0078088000000001</v>
      </c>
    </row>
    <row r="303" spans="2:15" ht="1" customHeight="1">
      <c r="B303" s="9" t="s">
        <v>56</v>
      </c>
      <c r="C303" s="9" t="str">
        <f t="shared" ref="C303:C321" si="24">CONCATENATE(B303,D303)</f>
        <v>Peru1996</v>
      </c>
      <c r="D303" s="9">
        <v>1996</v>
      </c>
      <c r="E303" s="9">
        <v>0.58350427000000005</v>
      </c>
      <c r="F303" s="9">
        <v>0.84275369</v>
      </c>
      <c r="J303" s="9" t="s">
        <v>52</v>
      </c>
      <c r="K303" s="9" t="str">
        <f t="shared" si="21"/>
        <v>Mexico10</v>
      </c>
      <c r="L303" s="9">
        <v>10</v>
      </c>
      <c r="M303" s="9">
        <v>1.15113299</v>
      </c>
      <c r="N303" s="9">
        <v>0.91451563000000002</v>
      </c>
      <c r="O303" s="9">
        <v>1.0008368999999999</v>
      </c>
    </row>
    <row r="304" spans="2:15" ht="1" customHeight="1">
      <c r="B304" s="9" t="s">
        <v>56</v>
      </c>
      <c r="C304" s="9" t="str">
        <f t="shared" si="24"/>
        <v>Peru1997</v>
      </c>
      <c r="D304" s="9">
        <v>1997</v>
      </c>
      <c r="E304" s="9">
        <v>0.58350427000000005</v>
      </c>
      <c r="F304" s="9">
        <v>0.84275369</v>
      </c>
      <c r="J304" s="9" t="s">
        <v>52</v>
      </c>
      <c r="K304" s="9" t="str">
        <f t="shared" si="21"/>
        <v>Mexico11</v>
      </c>
      <c r="L304" s="9">
        <v>11</v>
      </c>
      <c r="M304" s="9">
        <v>1.7231078</v>
      </c>
      <c r="N304" s="9">
        <v>1.1012401999999999</v>
      </c>
      <c r="O304" s="9">
        <v>1.2584538999999999</v>
      </c>
    </row>
    <row r="305" spans="2:15" ht="1" customHeight="1">
      <c r="B305" s="9" t="s">
        <v>56</v>
      </c>
      <c r="C305" s="9" t="str">
        <f t="shared" si="24"/>
        <v>Peru1998</v>
      </c>
      <c r="D305" s="9">
        <v>1998</v>
      </c>
      <c r="E305" s="9">
        <v>0.59624460000000001</v>
      </c>
      <c r="F305" s="9">
        <v>0.86048060000000004</v>
      </c>
      <c r="J305" s="9" t="s">
        <v>52</v>
      </c>
      <c r="K305" s="9" t="str">
        <f t="shared" si="21"/>
        <v>Mexico12</v>
      </c>
      <c r="L305" s="9">
        <v>12</v>
      </c>
      <c r="M305" s="9">
        <v>1.3720722000000001</v>
      </c>
      <c r="N305" s="9">
        <v>1.2714236999999999</v>
      </c>
      <c r="O305" s="9">
        <v>1.3378547000000001</v>
      </c>
    </row>
    <row r="306" spans="2:15" ht="1" customHeight="1">
      <c r="B306" s="9" t="s">
        <v>56</v>
      </c>
      <c r="C306" s="9" t="str">
        <f t="shared" si="24"/>
        <v>Peru1999</v>
      </c>
      <c r="D306" s="9">
        <v>1999</v>
      </c>
      <c r="E306" s="9">
        <v>0.73655369999999998</v>
      </c>
      <c r="F306" s="9">
        <v>0.88199565000000002</v>
      </c>
      <c r="J306" s="9" t="s">
        <v>52</v>
      </c>
      <c r="K306" s="9" t="str">
        <f t="shared" si="21"/>
        <v>Mexico13</v>
      </c>
      <c r="L306" s="9">
        <v>13</v>
      </c>
      <c r="M306" s="9">
        <v>1.4769108499999999</v>
      </c>
      <c r="N306" s="9">
        <v>1.3981669999999999</v>
      </c>
      <c r="O306" s="9">
        <v>1.4250792000000001</v>
      </c>
    </row>
    <row r="307" spans="2:15" ht="1" customHeight="1">
      <c r="B307" s="9" t="s">
        <v>56</v>
      </c>
      <c r="C307" s="9" t="str">
        <f t="shared" si="24"/>
        <v>Peru2000</v>
      </c>
      <c r="D307" s="9">
        <v>2000</v>
      </c>
      <c r="E307" s="9">
        <v>0.33822879</v>
      </c>
      <c r="F307" s="9">
        <v>0.82926018000000001</v>
      </c>
      <c r="J307" s="9" t="s">
        <v>52</v>
      </c>
      <c r="K307" s="9" t="str">
        <f t="shared" si="21"/>
        <v>Mexico14</v>
      </c>
      <c r="L307" s="9">
        <v>14</v>
      </c>
      <c r="M307" s="9">
        <v>1.5817494999999999</v>
      </c>
      <c r="N307" s="9">
        <v>1.3443830999999999</v>
      </c>
      <c r="O307" s="9">
        <v>1.7301029000000001</v>
      </c>
    </row>
    <row r="308" spans="2:15" ht="1" customHeight="1">
      <c r="B308" s="9" t="s">
        <v>56</v>
      </c>
      <c r="C308" s="9" t="str">
        <f t="shared" si="24"/>
        <v>Peru2001</v>
      </c>
      <c r="D308" s="9">
        <v>2001</v>
      </c>
      <c r="E308" s="9">
        <v>0.71522618000000004</v>
      </c>
      <c r="F308" s="9">
        <v>0.77504686</v>
      </c>
      <c r="J308" s="9" t="s">
        <v>52</v>
      </c>
      <c r="K308" s="9" t="str">
        <f t="shared" si="21"/>
        <v>Mexico15</v>
      </c>
      <c r="L308" s="9">
        <v>15</v>
      </c>
      <c r="M308" s="9">
        <v>1.4621858000000001</v>
      </c>
      <c r="N308" s="9">
        <v>1.3951857999999999</v>
      </c>
      <c r="O308" s="9">
        <v>1.6114329999999999</v>
      </c>
    </row>
    <row r="309" spans="2:15" ht="1" customHeight="1">
      <c r="B309" s="9" t="s">
        <v>56</v>
      </c>
      <c r="C309" s="9" t="str">
        <f t="shared" si="24"/>
        <v>Peru2002</v>
      </c>
      <c r="D309" s="9">
        <v>2002</v>
      </c>
      <c r="E309" s="9">
        <v>0.67025338999999995</v>
      </c>
      <c r="F309" s="9">
        <v>0.76300431999999996</v>
      </c>
      <c r="J309" s="9" t="s">
        <v>52</v>
      </c>
      <c r="K309" s="9" t="str">
        <f t="shared" si="21"/>
        <v>Mexico16</v>
      </c>
      <c r="L309" s="9">
        <v>16</v>
      </c>
      <c r="M309" s="9">
        <v>1.6862619000000001</v>
      </c>
      <c r="N309" s="9">
        <v>1.7515219</v>
      </c>
      <c r="O309" s="9">
        <v>1.9148632999999999</v>
      </c>
    </row>
    <row r="310" spans="2:15" ht="1" customHeight="1">
      <c r="B310" s="9" t="s">
        <v>56</v>
      </c>
      <c r="C310" s="9" t="str">
        <f t="shared" si="24"/>
        <v>Peru2003</v>
      </c>
      <c r="D310" s="9">
        <v>2003</v>
      </c>
      <c r="E310" s="9">
        <v>0.66351024000000003</v>
      </c>
      <c r="F310" s="9">
        <v>0.79294779999999998</v>
      </c>
      <c r="J310" s="9" t="s">
        <v>52</v>
      </c>
      <c r="K310" s="9" t="str">
        <f t="shared" si="21"/>
        <v>Mexico17</v>
      </c>
      <c r="L310" s="9">
        <v>17</v>
      </c>
      <c r="M310" s="9">
        <v>1.9103380000000001</v>
      </c>
      <c r="N310" s="9">
        <v>1.9162125000000001</v>
      </c>
      <c r="O310" s="9">
        <v>1.9491946</v>
      </c>
    </row>
    <row r="311" spans="2:15" ht="1" customHeight="1">
      <c r="B311" s="9" t="s">
        <v>56</v>
      </c>
      <c r="C311" s="9" t="str">
        <f t="shared" si="24"/>
        <v>Peru2004</v>
      </c>
      <c r="D311" s="9">
        <v>2004</v>
      </c>
      <c r="E311" s="9">
        <v>0.60610072000000004</v>
      </c>
      <c r="F311" s="9">
        <v>0.64950222000000002</v>
      </c>
      <c r="J311" s="9" t="s">
        <v>52</v>
      </c>
      <c r="K311" s="9" t="str">
        <f t="shared" si="21"/>
        <v>Mexico18</v>
      </c>
      <c r="L311" s="9">
        <v>18</v>
      </c>
      <c r="M311" s="9">
        <v>2.0596706500000002</v>
      </c>
      <c r="N311" s="9">
        <v>2.3553573000000001</v>
      </c>
      <c r="O311" s="9">
        <v>2.4270268000000002</v>
      </c>
    </row>
    <row r="312" spans="2:15" ht="1" customHeight="1">
      <c r="B312" s="9" t="s">
        <v>56</v>
      </c>
      <c r="C312" s="9" t="str">
        <f t="shared" si="24"/>
        <v>Peru2005</v>
      </c>
      <c r="D312" s="9">
        <v>2005</v>
      </c>
      <c r="E312" s="9">
        <v>0.53921772000000001</v>
      </c>
      <c r="F312" s="9">
        <v>0.62998350000000003</v>
      </c>
      <c r="J312" s="9" t="s">
        <v>52</v>
      </c>
      <c r="K312" s="9" t="str">
        <f t="shared" si="21"/>
        <v>Mexico19</v>
      </c>
      <c r="L312" s="9">
        <v>19</v>
      </c>
      <c r="M312" s="9">
        <v>2.2090033</v>
      </c>
      <c r="N312" s="9">
        <v>2.3218329999999998</v>
      </c>
      <c r="O312" s="9">
        <v>2.2673426000000001</v>
      </c>
    </row>
    <row r="313" spans="2:15" ht="1" customHeight="1">
      <c r="B313" s="9" t="s">
        <v>56</v>
      </c>
      <c r="C313" s="9" t="str">
        <f t="shared" si="24"/>
        <v>Peru2006</v>
      </c>
      <c r="D313" s="9">
        <v>2006</v>
      </c>
      <c r="E313" s="9">
        <v>0.69000967000000002</v>
      </c>
      <c r="F313" s="9">
        <v>0.62763259000000005</v>
      </c>
      <c r="J313" s="9" t="s">
        <v>52</v>
      </c>
      <c r="K313" s="9" t="str">
        <f t="shared" si="21"/>
        <v>Mexico20</v>
      </c>
      <c r="L313" s="9">
        <v>20</v>
      </c>
      <c r="M313" s="9">
        <v>1.9371735999999999</v>
      </c>
      <c r="N313" s="9">
        <v>2.6984363</v>
      </c>
      <c r="O313" s="9">
        <v>2.7307591000000002</v>
      </c>
    </row>
    <row r="314" spans="2:15" ht="1" customHeight="1">
      <c r="B314" s="9" t="s">
        <v>56</v>
      </c>
      <c r="C314" s="9" t="str">
        <f t="shared" si="24"/>
        <v>Peru2007</v>
      </c>
      <c r="D314" s="9">
        <v>2007</v>
      </c>
      <c r="E314" s="9">
        <v>0.69860493000000001</v>
      </c>
      <c r="F314" s="9">
        <v>0.68137391999999997</v>
      </c>
      <c r="J314" s="9" t="s">
        <v>54</v>
      </c>
      <c r="K314" s="9" t="str">
        <f t="shared" si="21"/>
        <v>Panama0</v>
      </c>
      <c r="L314" s="9">
        <v>0</v>
      </c>
      <c r="M314" s="9">
        <v>0</v>
      </c>
      <c r="N314" s="9">
        <v>0</v>
      </c>
      <c r="O314" s="9">
        <v>0</v>
      </c>
    </row>
    <row r="315" spans="2:15" ht="1" customHeight="1">
      <c r="B315" s="9" t="s">
        <v>56</v>
      </c>
      <c r="C315" s="9" t="str">
        <f t="shared" si="24"/>
        <v>Peru2008</v>
      </c>
      <c r="D315" s="9">
        <v>2008</v>
      </c>
      <c r="E315" s="9">
        <v>0.67206489999999997</v>
      </c>
      <c r="F315" s="9">
        <v>0.66563260000000002</v>
      </c>
      <c r="J315" s="9" t="s">
        <v>54</v>
      </c>
      <c r="K315" s="9" t="str">
        <f t="shared" si="21"/>
        <v>Panama1</v>
      </c>
      <c r="L315" s="9">
        <v>1</v>
      </c>
      <c r="M315" s="9">
        <v>4.9562549999999997E-2</v>
      </c>
      <c r="N315" s="9">
        <v>0.19586925999999999</v>
      </c>
      <c r="O315" s="9">
        <v>0.13941761999999999</v>
      </c>
    </row>
    <row r="316" spans="2:15" ht="1" customHeight="1">
      <c r="B316" s="9" t="s">
        <v>56</v>
      </c>
      <c r="C316" s="9" t="str">
        <f t="shared" si="24"/>
        <v>Peru2009</v>
      </c>
      <c r="D316" s="9">
        <v>2009</v>
      </c>
      <c r="E316" s="9">
        <v>0.68466399</v>
      </c>
      <c r="F316" s="9">
        <v>0.61471560000000003</v>
      </c>
      <c r="J316" s="9" t="s">
        <v>54</v>
      </c>
      <c r="K316" s="9" t="str">
        <f t="shared" si="21"/>
        <v>Panama2</v>
      </c>
      <c r="L316" s="9">
        <v>2</v>
      </c>
      <c r="M316" s="9">
        <v>0.19565852</v>
      </c>
      <c r="N316" s="9">
        <v>0.17263054999999999</v>
      </c>
      <c r="O316" s="9">
        <v>0.26619439</v>
      </c>
    </row>
    <row r="317" spans="2:15" ht="1" customHeight="1">
      <c r="B317" s="9" t="s">
        <v>56</v>
      </c>
      <c r="C317" s="9" t="str">
        <f t="shared" si="24"/>
        <v>Peru2010</v>
      </c>
      <c r="D317" s="9">
        <v>2010</v>
      </c>
      <c r="E317" s="9">
        <v>0.57248041000000005</v>
      </c>
      <c r="F317" s="9">
        <v>0.60754830999999998</v>
      </c>
      <c r="J317" s="9" t="s">
        <v>54</v>
      </c>
      <c r="K317" s="9" t="str">
        <f t="shared" si="21"/>
        <v>Panama3</v>
      </c>
      <c r="L317" s="9">
        <v>3</v>
      </c>
      <c r="M317" s="9">
        <v>0.17258407000000001</v>
      </c>
      <c r="N317" s="9">
        <v>0.37044292000000001</v>
      </c>
      <c r="O317" s="9">
        <v>0.44732265999999998</v>
      </c>
    </row>
    <row r="318" spans="2:15" ht="1" customHeight="1">
      <c r="B318" s="9" t="s">
        <v>56</v>
      </c>
      <c r="C318" s="9" t="str">
        <f t="shared" si="24"/>
        <v>Peru2011</v>
      </c>
      <c r="D318" s="9">
        <v>2011</v>
      </c>
      <c r="E318" s="9">
        <v>0.55368518</v>
      </c>
      <c r="F318" s="9">
        <v>0.59996819999999995</v>
      </c>
      <c r="J318" s="9" t="s">
        <v>54</v>
      </c>
      <c r="K318" s="9" t="str">
        <f t="shared" si="21"/>
        <v>Panama4</v>
      </c>
      <c r="L318" s="9">
        <v>4</v>
      </c>
      <c r="M318" s="9">
        <v>0.22223378999999999</v>
      </c>
      <c r="N318" s="9">
        <v>0.41166276000000002</v>
      </c>
      <c r="O318" s="9">
        <v>0.50881317000000004</v>
      </c>
    </row>
    <row r="319" spans="2:15" ht="1" customHeight="1">
      <c r="B319" s="9" t="s">
        <v>56</v>
      </c>
      <c r="C319" s="9" t="str">
        <f t="shared" si="24"/>
        <v>Peru2012</v>
      </c>
      <c r="D319" s="9">
        <v>2012</v>
      </c>
      <c r="E319" s="9">
        <v>0.59443813999999995</v>
      </c>
      <c r="F319" s="9">
        <v>0.56999648000000003</v>
      </c>
      <c r="J319" s="9" t="s">
        <v>54</v>
      </c>
      <c r="K319" s="9" t="str">
        <f t="shared" ref="K319:K382" si="25">CONCATENATE(J319,L319)</f>
        <v>Panama5</v>
      </c>
      <c r="L319" s="9">
        <v>5</v>
      </c>
      <c r="M319" s="9">
        <v>0.30348776</v>
      </c>
      <c r="N319" s="9">
        <v>0.46898747000000002</v>
      </c>
      <c r="O319" s="9">
        <v>0.43418119999999999</v>
      </c>
    </row>
    <row r="320" spans="2:15" ht="1" customHeight="1">
      <c r="B320" s="9" t="s">
        <v>56</v>
      </c>
      <c r="C320" s="9" t="str">
        <f t="shared" si="24"/>
        <v>Peru2013</v>
      </c>
      <c r="D320" s="9">
        <v>2013</v>
      </c>
      <c r="E320" s="9">
        <v>0.61871730999999996</v>
      </c>
      <c r="F320" s="9">
        <v>0.65375201999999999</v>
      </c>
      <c r="J320" s="9" t="s">
        <v>54</v>
      </c>
      <c r="K320" s="9" t="str">
        <f t="shared" si="25"/>
        <v>Panama6</v>
      </c>
      <c r="L320" s="9">
        <v>6</v>
      </c>
      <c r="M320" s="9">
        <v>0.45128096000000001</v>
      </c>
      <c r="N320" s="9">
        <v>0.72394312000000005</v>
      </c>
      <c r="O320" s="9">
        <v>0.60692385000000004</v>
      </c>
    </row>
    <row r="321" spans="2:15" ht="1" customHeight="1">
      <c r="B321" s="9" t="s">
        <v>56</v>
      </c>
      <c r="C321" s="9" t="str">
        <f t="shared" si="24"/>
        <v>Peru2014</v>
      </c>
      <c r="D321" s="9">
        <v>2014</v>
      </c>
      <c r="E321" s="9">
        <v>0.63341150999999996</v>
      </c>
      <c r="F321" s="9">
        <v>0.68017753000000003</v>
      </c>
      <c r="J321" s="9" t="s">
        <v>54</v>
      </c>
      <c r="K321" s="9" t="str">
        <f t="shared" si="25"/>
        <v>Panama7</v>
      </c>
      <c r="L321" s="9">
        <v>7</v>
      </c>
      <c r="M321" s="9">
        <v>0.59170058999999997</v>
      </c>
      <c r="N321" s="9">
        <v>0.91406659999999995</v>
      </c>
      <c r="O321" s="9">
        <v>0.83944406999999999</v>
      </c>
    </row>
    <row r="322" spans="2:15" ht="1" customHeight="1">
      <c r="B322" s="9" t="s">
        <v>55</v>
      </c>
      <c r="C322" s="9" t="str">
        <f>CONCATENATE(B322,D322)</f>
        <v>Paraguay1995</v>
      </c>
      <c r="D322" s="9">
        <v>1995</v>
      </c>
      <c r="E322" s="9">
        <v>0.77164231999999999</v>
      </c>
      <c r="F322" s="9">
        <v>0.67223661999999995</v>
      </c>
      <c r="J322" s="9" t="s">
        <v>54</v>
      </c>
      <c r="K322" s="9" t="str">
        <f t="shared" si="25"/>
        <v>Panama8</v>
      </c>
      <c r="L322" s="9">
        <v>8</v>
      </c>
      <c r="M322" s="9">
        <v>0.72525452999999995</v>
      </c>
      <c r="N322" s="9">
        <v>1.0569042</v>
      </c>
      <c r="O322" s="9">
        <v>0.87596784999999999</v>
      </c>
    </row>
    <row r="323" spans="2:15" ht="1" customHeight="1">
      <c r="B323" s="9" t="s">
        <v>55</v>
      </c>
      <c r="C323" s="9" t="str">
        <f t="shared" ref="C323:C341" si="26">CONCATENATE(B323,D323)</f>
        <v>Paraguay1996</v>
      </c>
      <c r="D323" s="9">
        <v>1996</v>
      </c>
      <c r="E323" s="9">
        <v>0.57781059000000001</v>
      </c>
      <c r="F323" s="9">
        <v>0.52484748000000003</v>
      </c>
      <c r="J323" s="9" t="s">
        <v>54</v>
      </c>
      <c r="K323" s="9" t="str">
        <f t="shared" si="25"/>
        <v>Panama9</v>
      </c>
      <c r="L323" s="9">
        <v>9</v>
      </c>
      <c r="M323" s="9">
        <v>0.75849116999999999</v>
      </c>
      <c r="N323" s="9">
        <v>1.1525458</v>
      </c>
      <c r="O323" s="9">
        <v>1.0696715000000001</v>
      </c>
    </row>
    <row r="324" spans="2:15" ht="1" customHeight="1">
      <c r="B324" s="9" t="s">
        <v>55</v>
      </c>
      <c r="C324" s="9" t="str">
        <f t="shared" si="26"/>
        <v>Paraguay1997</v>
      </c>
      <c r="D324" s="9">
        <v>1997</v>
      </c>
      <c r="E324" s="9">
        <v>0.83952210999999999</v>
      </c>
      <c r="F324" s="9">
        <v>0.51872974999999999</v>
      </c>
      <c r="J324" s="9" t="s">
        <v>54</v>
      </c>
      <c r="K324" s="9" t="str">
        <f t="shared" si="25"/>
        <v>Panama10</v>
      </c>
      <c r="L324" s="9">
        <v>10</v>
      </c>
      <c r="M324" s="9">
        <v>0.79363446999999998</v>
      </c>
      <c r="N324" s="9">
        <v>1.0433956</v>
      </c>
      <c r="O324" s="9">
        <v>1.0226252</v>
      </c>
    </row>
    <row r="325" spans="2:15" ht="1" customHeight="1">
      <c r="B325" s="9" t="s">
        <v>55</v>
      </c>
      <c r="C325" s="9" t="str">
        <f t="shared" si="26"/>
        <v>Paraguay1998</v>
      </c>
      <c r="D325" s="9">
        <v>1998</v>
      </c>
      <c r="E325" s="9">
        <v>0.83952210999999999</v>
      </c>
      <c r="F325" s="9">
        <v>0.51872974999999999</v>
      </c>
      <c r="J325" s="9" t="s">
        <v>54</v>
      </c>
      <c r="K325" s="9" t="str">
        <f t="shared" si="25"/>
        <v>Panama11</v>
      </c>
      <c r="L325" s="9">
        <v>11</v>
      </c>
      <c r="M325" s="9">
        <v>0.87534080000000003</v>
      </c>
      <c r="N325" s="9">
        <v>1.2322447000000001</v>
      </c>
      <c r="O325" s="9">
        <v>1.0665899000000001</v>
      </c>
    </row>
    <row r="326" spans="2:15" ht="1" customHeight="1">
      <c r="B326" s="9" t="s">
        <v>55</v>
      </c>
      <c r="C326" s="9" t="str">
        <f t="shared" si="26"/>
        <v>Paraguay1999</v>
      </c>
      <c r="D326" s="9">
        <v>1999</v>
      </c>
      <c r="E326" s="9">
        <v>0.75868179000000002</v>
      </c>
      <c r="F326" s="9">
        <v>0.52050708999999995</v>
      </c>
      <c r="J326" s="9" t="s">
        <v>54</v>
      </c>
      <c r="K326" s="9" t="str">
        <f t="shared" si="25"/>
        <v>Panama12</v>
      </c>
      <c r="L326" s="9">
        <v>12</v>
      </c>
      <c r="M326" s="9">
        <v>1.1205628999999999</v>
      </c>
      <c r="N326" s="9">
        <v>1.5169948</v>
      </c>
      <c r="O326" s="9">
        <v>1.3331298</v>
      </c>
    </row>
    <row r="327" spans="2:15" ht="1" customHeight="1">
      <c r="B327" s="9" t="s">
        <v>55</v>
      </c>
      <c r="C327" s="9" t="str">
        <f t="shared" si="26"/>
        <v>Paraguay2000</v>
      </c>
      <c r="D327" s="9">
        <v>2000</v>
      </c>
      <c r="E327" s="9">
        <v>0.79699651000000005</v>
      </c>
      <c r="F327" s="9">
        <v>0.55179677000000005</v>
      </c>
      <c r="J327" s="9" t="s">
        <v>54</v>
      </c>
      <c r="K327" s="9" t="str">
        <f t="shared" si="25"/>
        <v>Panama13</v>
      </c>
      <c r="L327" s="9">
        <v>13</v>
      </c>
      <c r="M327" s="9">
        <v>1.2499726</v>
      </c>
      <c r="N327" s="9">
        <v>1.7173518000000001</v>
      </c>
      <c r="O327" s="9">
        <v>1.4887102000000001</v>
      </c>
    </row>
    <row r="328" spans="2:15" ht="1" customHeight="1">
      <c r="B328" s="9" t="s">
        <v>55</v>
      </c>
      <c r="C328" s="9" t="str">
        <f t="shared" si="26"/>
        <v>Paraguay2001</v>
      </c>
      <c r="D328" s="9">
        <v>2001</v>
      </c>
      <c r="E328" s="9">
        <v>0.79699651000000005</v>
      </c>
      <c r="F328" s="9">
        <v>0.55179677000000005</v>
      </c>
      <c r="J328" s="9" t="s">
        <v>54</v>
      </c>
      <c r="K328" s="9" t="str">
        <f t="shared" si="25"/>
        <v>Panama14</v>
      </c>
      <c r="L328" s="9">
        <v>14</v>
      </c>
      <c r="M328" s="9">
        <v>1.3591575</v>
      </c>
      <c r="N328" s="9">
        <v>1.8249523000000001</v>
      </c>
      <c r="O328" s="9">
        <v>1.5423617999999999</v>
      </c>
    </row>
    <row r="329" spans="2:15" ht="1" customHeight="1">
      <c r="B329" s="9" t="s">
        <v>55</v>
      </c>
      <c r="C329" s="9" t="str">
        <f t="shared" si="26"/>
        <v>Paraguay2002</v>
      </c>
      <c r="D329" s="9">
        <v>2002</v>
      </c>
      <c r="E329" s="9">
        <v>0.81597240000000004</v>
      </c>
      <c r="F329" s="9">
        <v>0.55364917999999996</v>
      </c>
      <c r="J329" s="9" t="s">
        <v>54</v>
      </c>
      <c r="K329" s="9" t="str">
        <f t="shared" si="25"/>
        <v>Panama15</v>
      </c>
      <c r="L329" s="9">
        <v>15</v>
      </c>
      <c r="M329" s="9">
        <v>1.4876486</v>
      </c>
      <c r="N329" s="9">
        <v>1.903618</v>
      </c>
      <c r="O329" s="9">
        <v>1.6250169999999999</v>
      </c>
    </row>
    <row r="330" spans="2:15" ht="1" customHeight="1">
      <c r="B330" s="9" t="s">
        <v>55</v>
      </c>
      <c r="C330" s="9" t="str">
        <f t="shared" si="26"/>
        <v>Paraguay2003</v>
      </c>
      <c r="D330" s="9">
        <v>2003</v>
      </c>
      <c r="E330" s="9">
        <v>0.83262221000000003</v>
      </c>
      <c r="F330" s="9">
        <v>0.53273415000000002</v>
      </c>
      <c r="J330" s="9" t="s">
        <v>54</v>
      </c>
      <c r="K330" s="9" t="str">
        <f t="shared" si="25"/>
        <v>Panama16</v>
      </c>
      <c r="L330" s="9">
        <v>16</v>
      </c>
      <c r="M330" s="9">
        <v>1.7260386999999999</v>
      </c>
      <c r="N330" s="9">
        <v>2.0159981999999999</v>
      </c>
      <c r="O330" s="9">
        <v>1.7063675</v>
      </c>
    </row>
    <row r="331" spans="2:15" ht="1" customHeight="1">
      <c r="B331" s="9" t="s">
        <v>55</v>
      </c>
      <c r="C331" s="9" t="str">
        <f t="shared" si="26"/>
        <v>Paraguay2004</v>
      </c>
      <c r="D331" s="9">
        <v>2004</v>
      </c>
      <c r="E331" s="9">
        <v>0.66467324999999999</v>
      </c>
      <c r="F331" s="9">
        <v>0.60321455999999996</v>
      </c>
      <c r="J331" s="9" t="s">
        <v>54</v>
      </c>
      <c r="K331" s="9" t="str">
        <f t="shared" si="25"/>
        <v>Panama17</v>
      </c>
      <c r="L331" s="9">
        <v>17</v>
      </c>
      <c r="M331" s="9">
        <v>1.8127726</v>
      </c>
      <c r="N331" s="9">
        <v>2.2979433999999999</v>
      </c>
      <c r="O331" s="9">
        <v>1.9407922</v>
      </c>
    </row>
    <row r="332" spans="2:15" ht="1" customHeight="1">
      <c r="B332" s="9" t="s">
        <v>55</v>
      </c>
      <c r="C332" s="9" t="str">
        <f t="shared" si="26"/>
        <v>Paraguay2005</v>
      </c>
      <c r="D332" s="9">
        <v>2005</v>
      </c>
      <c r="E332" s="9">
        <v>0.64213989000000005</v>
      </c>
      <c r="F332" s="9">
        <v>0.62871025000000003</v>
      </c>
      <c r="J332" s="9" t="s">
        <v>54</v>
      </c>
      <c r="K332" s="9" t="str">
        <f t="shared" si="25"/>
        <v>Panama18</v>
      </c>
      <c r="L332" s="9">
        <v>18</v>
      </c>
      <c r="M332" s="9">
        <v>1.8425594999999999</v>
      </c>
      <c r="N332" s="9">
        <v>2.3716727999999998</v>
      </c>
      <c r="O332" s="9">
        <v>2.1630649000000002</v>
      </c>
    </row>
    <row r="333" spans="2:15" ht="1" customHeight="1">
      <c r="B333" s="9" t="s">
        <v>55</v>
      </c>
      <c r="C333" s="9" t="str">
        <f t="shared" si="26"/>
        <v>Paraguay2006</v>
      </c>
      <c r="D333" s="9">
        <v>2006</v>
      </c>
      <c r="E333" s="9">
        <v>0.62618278999999999</v>
      </c>
      <c r="F333" s="9">
        <v>0.59795503999999999</v>
      </c>
      <c r="J333" s="9" t="s">
        <v>54</v>
      </c>
      <c r="K333" s="9" t="str">
        <f t="shared" si="25"/>
        <v>Panama19</v>
      </c>
      <c r="L333" s="9">
        <v>19</v>
      </c>
      <c r="M333" s="9">
        <v>2.1488656000000002</v>
      </c>
      <c r="N333" s="9">
        <v>2.6063139999999998</v>
      </c>
      <c r="O333" s="9">
        <v>2.4466204999999999</v>
      </c>
    </row>
    <row r="334" spans="2:15" ht="1" customHeight="1">
      <c r="B334" s="9" t="s">
        <v>55</v>
      </c>
      <c r="C334" s="9" t="str">
        <f t="shared" si="26"/>
        <v>Paraguay2007</v>
      </c>
      <c r="D334" s="9">
        <v>2007</v>
      </c>
      <c r="E334" s="9">
        <v>0.61746235000000005</v>
      </c>
      <c r="F334" s="9">
        <v>0.59402783000000003</v>
      </c>
      <c r="J334" s="9" t="s">
        <v>54</v>
      </c>
      <c r="K334" s="9" t="str">
        <f t="shared" si="25"/>
        <v>Panama20</v>
      </c>
      <c r="L334" s="9">
        <v>20</v>
      </c>
      <c r="M334" s="9">
        <v>1.9464892</v>
      </c>
      <c r="N334" s="9">
        <v>2.6952972000000002</v>
      </c>
      <c r="O334" s="9">
        <v>2.9782787000000002</v>
      </c>
    </row>
    <row r="335" spans="2:15" ht="1" customHeight="1">
      <c r="B335" s="9" t="s">
        <v>55</v>
      </c>
      <c r="C335" s="9" t="str">
        <f t="shared" si="26"/>
        <v>Paraguay2008</v>
      </c>
      <c r="D335" s="9">
        <v>2008</v>
      </c>
      <c r="E335" s="9">
        <v>0.59744578000000004</v>
      </c>
      <c r="F335" s="9">
        <v>0.52497110000000002</v>
      </c>
      <c r="J335" s="9" t="s">
        <v>56</v>
      </c>
      <c r="K335" s="9" t="str">
        <f t="shared" si="25"/>
        <v>Peru0</v>
      </c>
      <c r="L335" s="9">
        <v>0</v>
      </c>
      <c r="M335" s="9">
        <v>0</v>
      </c>
      <c r="N335" s="9">
        <v>0</v>
      </c>
      <c r="O335" s="9">
        <v>0</v>
      </c>
    </row>
    <row r="336" spans="2:15" ht="1" customHeight="1">
      <c r="B336" s="9" t="s">
        <v>55</v>
      </c>
      <c r="C336" s="9" t="str">
        <f t="shared" si="26"/>
        <v>Paraguay2009</v>
      </c>
      <c r="D336" s="9">
        <v>2009</v>
      </c>
      <c r="E336" s="9">
        <v>0.64432822000000001</v>
      </c>
      <c r="F336" s="9">
        <v>0.62868743000000005</v>
      </c>
      <c r="J336" s="9" t="s">
        <v>56</v>
      </c>
      <c r="K336" s="9" t="str">
        <f t="shared" si="25"/>
        <v>Peru1</v>
      </c>
      <c r="L336" s="9">
        <v>1</v>
      </c>
      <c r="M336" s="9">
        <v>0.27347460000000001</v>
      </c>
      <c r="N336" s="9">
        <v>0.36221374000000001</v>
      </c>
      <c r="O336" s="9">
        <v>0.25256638999999997</v>
      </c>
    </row>
    <row r="337" spans="2:15" ht="1" customHeight="1">
      <c r="B337" s="9" t="s">
        <v>55</v>
      </c>
      <c r="C337" s="9" t="str">
        <f t="shared" si="26"/>
        <v>Paraguay2010</v>
      </c>
      <c r="D337" s="9">
        <v>2010</v>
      </c>
      <c r="E337" s="9">
        <v>0.62759430999999999</v>
      </c>
      <c r="F337" s="9">
        <v>0.53820643999999995</v>
      </c>
      <c r="J337" s="9" t="s">
        <v>56</v>
      </c>
      <c r="K337" s="9" t="str">
        <f t="shared" si="25"/>
        <v>Peru2</v>
      </c>
      <c r="L337" s="9">
        <v>2</v>
      </c>
      <c r="M337" s="9">
        <v>3.8521689999999997E-2</v>
      </c>
      <c r="N337" s="9">
        <v>0.22620090000000001</v>
      </c>
      <c r="O337" s="9">
        <v>0.24806194000000001</v>
      </c>
    </row>
    <row r="338" spans="2:15" ht="1" customHeight="1">
      <c r="B338" s="9" t="s">
        <v>55</v>
      </c>
      <c r="C338" s="9" t="str">
        <f t="shared" si="26"/>
        <v>Paraguay2011</v>
      </c>
      <c r="D338" s="9">
        <v>2011</v>
      </c>
      <c r="E338" s="9">
        <v>0.64809247000000003</v>
      </c>
      <c r="F338" s="9">
        <v>0.53011195</v>
      </c>
      <c r="J338" s="9" t="s">
        <v>56</v>
      </c>
      <c r="K338" s="9" t="str">
        <f t="shared" si="25"/>
        <v>Peru3</v>
      </c>
      <c r="L338" s="9">
        <v>3</v>
      </c>
      <c r="M338" s="9">
        <v>0.25165089000000002</v>
      </c>
      <c r="N338" s="9">
        <v>0.36037253000000002</v>
      </c>
      <c r="O338" s="9">
        <v>0.26049169999999999</v>
      </c>
    </row>
    <row r="339" spans="2:15" ht="1" customHeight="1">
      <c r="B339" s="9" t="s">
        <v>55</v>
      </c>
      <c r="C339" s="9" t="str">
        <f t="shared" si="26"/>
        <v>Paraguay2012</v>
      </c>
      <c r="D339" s="9">
        <v>2012</v>
      </c>
      <c r="E339" s="9">
        <v>0.56982635000000004</v>
      </c>
      <c r="F339" s="9">
        <v>0.63757156000000004</v>
      </c>
      <c r="J339" s="9" t="s">
        <v>56</v>
      </c>
      <c r="K339" s="9" t="str">
        <f t="shared" si="25"/>
        <v>Peru4</v>
      </c>
      <c r="L339" s="9">
        <v>4</v>
      </c>
      <c r="M339" s="9">
        <v>0.38488587000000002</v>
      </c>
      <c r="N339" s="9">
        <v>0.50902924000000005</v>
      </c>
      <c r="O339" s="9">
        <v>0.42272516999999998</v>
      </c>
    </row>
    <row r="340" spans="2:15" ht="1" customHeight="1">
      <c r="B340" s="9" t="s">
        <v>55</v>
      </c>
      <c r="C340" s="9" t="str">
        <f t="shared" si="26"/>
        <v>Paraguay2013</v>
      </c>
      <c r="D340" s="9">
        <v>2013</v>
      </c>
      <c r="E340" s="9">
        <v>0.63352054000000002</v>
      </c>
      <c r="F340" s="9">
        <v>0.47455605000000001</v>
      </c>
      <c r="J340" s="9" t="s">
        <v>56</v>
      </c>
      <c r="K340" s="9" t="str">
        <f t="shared" si="25"/>
        <v>Peru5</v>
      </c>
      <c r="L340" s="9">
        <v>5</v>
      </c>
      <c r="M340" s="9">
        <v>0.48441960000000001</v>
      </c>
      <c r="N340" s="9">
        <v>0.52520546000000001</v>
      </c>
      <c r="O340" s="9">
        <v>0.52689567999999998</v>
      </c>
    </row>
    <row r="341" spans="2:15" ht="1" customHeight="1">
      <c r="B341" s="9" t="s">
        <v>55</v>
      </c>
      <c r="C341" s="9" t="str">
        <f t="shared" si="26"/>
        <v>Paraguay2014</v>
      </c>
      <c r="D341" s="9">
        <v>2014</v>
      </c>
      <c r="E341" s="9">
        <v>0.53424989000000001</v>
      </c>
      <c r="F341" s="9">
        <v>0.43643019</v>
      </c>
      <c r="J341" s="9" t="s">
        <v>56</v>
      </c>
      <c r="K341" s="9" t="str">
        <f t="shared" si="25"/>
        <v>Peru6</v>
      </c>
      <c r="L341" s="9">
        <v>6</v>
      </c>
      <c r="M341" s="9">
        <v>0.74847573999999994</v>
      </c>
      <c r="N341" s="9">
        <v>0.69979533000000005</v>
      </c>
      <c r="O341" s="9">
        <v>0.57168732</v>
      </c>
    </row>
    <row r="342" spans="2:15" ht="1" customHeight="1">
      <c r="B342" s="9" t="s">
        <v>46</v>
      </c>
      <c r="C342" s="9" t="str">
        <f>CONCATENATE(B342,D342)</f>
        <v>El Salvador1995</v>
      </c>
      <c r="D342" s="9">
        <v>1995</v>
      </c>
      <c r="E342" s="9">
        <v>0.65338905999999997</v>
      </c>
      <c r="F342" s="9">
        <v>0.54110744</v>
      </c>
      <c r="J342" s="9" t="s">
        <v>56</v>
      </c>
      <c r="K342" s="9" t="str">
        <f t="shared" si="25"/>
        <v>Peru7</v>
      </c>
      <c r="L342" s="9">
        <v>7</v>
      </c>
      <c r="M342" s="9">
        <v>1.1850045</v>
      </c>
      <c r="N342" s="9">
        <v>0.92393683999999998</v>
      </c>
      <c r="O342" s="9">
        <v>0.81774161999999995</v>
      </c>
    </row>
    <row r="343" spans="2:15" ht="1" customHeight="1">
      <c r="B343" s="9" t="s">
        <v>46</v>
      </c>
      <c r="C343" s="9" t="str">
        <f t="shared" ref="C343:C361" si="27">CONCATENATE(B343,D343)</f>
        <v>El Salvador1996</v>
      </c>
      <c r="D343" s="9">
        <v>1996</v>
      </c>
      <c r="E343" s="9">
        <v>0.61900677999999998</v>
      </c>
      <c r="F343" s="9">
        <v>0.50844915000000002</v>
      </c>
      <c r="J343" s="9" t="s">
        <v>56</v>
      </c>
      <c r="K343" s="9" t="str">
        <f t="shared" si="25"/>
        <v>Peru8</v>
      </c>
      <c r="L343" s="9">
        <v>8</v>
      </c>
      <c r="M343" s="9">
        <v>1.2049190999999999</v>
      </c>
      <c r="N343" s="9">
        <v>1.0142013999999999</v>
      </c>
      <c r="O343" s="9">
        <v>0.90066415</v>
      </c>
    </row>
    <row r="344" spans="2:15" ht="1" customHeight="1">
      <c r="B344" s="9" t="s">
        <v>46</v>
      </c>
      <c r="C344" s="9" t="str">
        <f t="shared" si="27"/>
        <v>El Salvador1997</v>
      </c>
      <c r="D344" s="9">
        <v>1997</v>
      </c>
      <c r="E344" s="9">
        <v>0.59606004999999995</v>
      </c>
      <c r="F344" s="9">
        <v>0.59394692999999998</v>
      </c>
      <c r="J344" s="9" t="s">
        <v>56</v>
      </c>
      <c r="K344" s="9" t="str">
        <f t="shared" si="25"/>
        <v>Peru9</v>
      </c>
      <c r="L344" s="9">
        <v>9</v>
      </c>
      <c r="M344" s="9">
        <v>1.2203653999999999</v>
      </c>
      <c r="N344" s="9">
        <v>1.1562665000000001</v>
      </c>
      <c r="O344" s="9">
        <v>0.95198590999999999</v>
      </c>
    </row>
    <row r="345" spans="2:15" ht="1" customHeight="1">
      <c r="B345" s="9" t="s">
        <v>46</v>
      </c>
      <c r="C345" s="9" t="str">
        <f t="shared" si="27"/>
        <v>El Salvador1998</v>
      </c>
      <c r="D345" s="9">
        <v>1998</v>
      </c>
      <c r="E345" s="9">
        <v>0.54505890000000001</v>
      </c>
      <c r="F345" s="9">
        <v>0.48410727999999997</v>
      </c>
      <c r="J345" s="9" t="s">
        <v>56</v>
      </c>
      <c r="K345" s="9" t="str">
        <f t="shared" si="25"/>
        <v>Peru10</v>
      </c>
      <c r="L345" s="9">
        <v>10</v>
      </c>
      <c r="M345" s="9">
        <v>1.2646660999999999</v>
      </c>
      <c r="N345" s="9">
        <v>0.99750050999999995</v>
      </c>
      <c r="O345" s="9">
        <v>0.88587833000000005</v>
      </c>
    </row>
    <row r="346" spans="2:15" ht="1" customHeight="1">
      <c r="B346" s="9" t="s">
        <v>46</v>
      </c>
      <c r="C346" s="9" t="str">
        <f t="shared" si="27"/>
        <v>El Salvador1999</v>
      </c>
      <c r="D346" s="9">
        <v>1999</v>
      </c>
      <c r="E346" s="9">
        <v>0.66325548999999995</v>
      </c>
      <c r="F346" s="9">
        <v>0.52060598999999996</v>
      </c>
      <c r="J346" s="9" t="s">
        <v>56</v>
      </c>
      <c r="K346" s="9" t="str">
        <f t="shared" si="25"/>
        <v>Peru11</v>
      </c>
      <c r="L346" s="9">
        <v>11</v>
      </c>
      <c r="M346" s="9">
        <v>1.5955459999999999</v>
      </c>
      <c r="N346" s="9">
        <v>1.3503818000000001</v>
      </c>
      <c r="O346" s="9">
        <v>1.2232803000000001</v>
      </c>
    </row>
    <row r="347" spans="2:15" ht="1" customHeight="1">
      <c r="B347" s="9" t="s">
        <v>46</v>
      </c>
      <c r="C347" s="9" t="str">
        <f t="shared" si="27"/>
        <v>El Salvador2000</v>
      </c>
      <c r="D347" s="9">
        <v>2000</v>
      </c>
      <c r="E347" s="9">
        <v>0.66987459000000005</v>
      </c>
      <c r="F347" s="9">
        <v>0.45420783999999997</v>
      </c>
      <c r="J347" s="9" t="s">
        <v>56</v>
      </c>
      <c r="K347" s="9" t="str">
        <f t="shared" si="25"/>
        <v>Peru12</v>
      </c>
      <c r="L347" s="9">
        <v>12</v>
      </c>
      <c r="M347" s="9">
        <v>1.5940913000000001</v>
      </c>
      <c r="N347" s="9">
        <v>1.3305205</v>
      </c>
      <c r="O347" s="9">
        <v>1.2885099</v>
      </c>
    </row>
    <row r="348" spans="2:15" ht="1" customHeight="1">
      <c r="B348" s="9" t="s">
        <v>46</v>
      </c>
      <c r="C348" s="9" t="str">
        <f t="shared" si="27"/>
        <v>El Salvador2001</v>
      </c>
      <c r="D348" s="9">
        <v>2001</v>
      </c>
      <c r="E348" s="9">
        <v>0.77906375999999999</v>
      </c>
      <c r="F348" s="9">
        <v>0.45228119999999999</v>
      </c>
      <c r="J348" s="9" t="s">
        <v>56</v>
      </c>
      <c r="K348" s="9" t="str">
        <f t="shared" si="25"/>
        <v>Peru13</v>
      </c>
      <c r="L348" s="9">
        <v>13</v>
      </c>
      <c r="M348" s="9">
        <v>1.7226532000000001</v>
      </c>
      <c r="N348" s="9">
        <v>1.5630736999999999</v>
      </c>
      <c r="O348" s="9">
        <v>1.3523346000000001</v>
      </c>
    </row>
    <row r="349" spans="2:15" ht="1" customHeight="1">
      <c r="B349" s="9" t="s">
        <v>46</v>
      </c>
      <c r="C349" s="9" t="str">
        <f t="shared" si="27"/>
        <v>El Salvador2002</v>
      </c>
      <c r="D349" s="9">
        <v>2002</v>
      </c>
      <c r="E349" s="9">
        <v>0.68396281999999997</v>
      </c>
      <c r="F349" s="9">
        <v>0.46359955000000003</v>
      </c>
      <c r="J349" s="9" t="s">
        <v>56</v>
      </c>
      <c r="K349" s="9" t="str">
        <f t="shared" si="25"/>
        <v>Peru14</v>
      </c>
      <c r="L349" s="9">
        <v>14</v>
      </c>
      <c r="M349" s="9">
        <v>1.8283745</v>
      </c>
      <c r="N349" s="9">
        <v>1.6677137</v>
      </c>
      <c r="O349" s="9">
        <v>1.5284781000000001</v>
      </c>
    </row>
    <row r="350" spans="2:15" ht="1" customHeight="1">
      <c r="B350" s="9" t="s">
        <v>46</v>
      </c>
      <c r="C350" s="9" t="str">
        <f t="shared" si="27"/>
        <v>El Salvador2003</v>
      </c>
      <c r="D350" s="9">
        <v>2003</v>
      </c>
      <c r="E350" s="9">
        <v>0.76902862000000005</v>
      </c>
      <c r="F350" s="9">
        <v>0.37730470999999999</v>
      </c>
      <c r="J350" s="9" t="s">
        <v>56</v>
      </c>
      <c r="K350" s="9" t="str">
        <f t="shared" si="25"/>
        <v>Peru15</v>
      </c>
      <c r="L350" s="9">
        <v>15</v>
      </c>
      <c r="M350" s="9">
        <v>1.9835917999999999</v>
      </c>
      <c r="N350" s="9">
        <v>1.5485302999999999</v>
      </c>
      <c r="O350" s="9">
        <v>1.4638076</v>
      </c>
    </row>
    <row r="351" spans="2:15" ht="1" customHeight="1">
      <c r="B351" s="9" t="s">
        <v>46</v>
      </c>
      <c r="C351" s="9" t="str">
        <f t="shared" si="27"/>
        <v>El Salvador2004</v>
      </c>
      <c r="D351" s="9">
        <v>2004</v>
      </c>
      <c r="E351" s="9">
        <v>0.73659538999999996</v>
      </c>
      <c r="F351" s="9">
        <v>0.33137510999999997</v>
      </c>
      <c r="J351" s="9" t="s">
        <v>56</v>
      </c>
      <c r="K351" s="9" t="str">
        <f t="shared" si="25"/>
        <v>Peru16</v>
      </c>
      <c r="L351" s="9">
        <v>16</v>
      </c>
      <c r="M351" s="9">
        <v>2.1949470999999998</v>
      </c>
      <c r="N351" s="9">
        <v>1.9618042</v>
      </c>
      <c r="O351" s="9">
        <v>1.8304510000000001</v>
      </c>
    </row>
    <row r="352" spans="2:15" ht="1" customHeight="1">
      <c r="B352" s="9" t="s">
        <v>46</v>
      </c>
      <c r="C352" s="9" t="str">
        <f t="shared" si="27"/>
        <v>El Salvador2005</v>
      </c>
      <c r="D352" s="9">
        <v>2005</v>
      </c>
      <c r="E352" s="9">
        <v>0.66123290999999995</v>
      </c>
      <c r="F352" s="9">
        <v>0.48808089999999998</v>
      </c>
      <c r="J352" s="9" t="s">
        <v>56</v>
      </c>
      <c r="K352" s="9" t="str">
        <f t="shared" si="25"/>
        <v>Peru17</v>
      </c>
      <c r="L352" s="9">
        <v>17</v>
      </c>
      <c r="M352" s="9">
        <v>2.3926554000000002</v>
      </c>
      <c r="N352" s="9">
        <v>2.1031707000000002</v>
      </c>
      <c r="O352" s="9">
        <v>1.7724173000000001</v>
      </c>
    </row>
    <row r="353" spans="2:15" ht="1" customHeight="1">
      <c r="B353" s="9" t="s">
        <v>46</v>
      </c>
      <c r="C353" s="9" t="str">
        <f t="shared" si="27"/>
        <v>El Salvador2006</v>
      </c>
      <c r="D353" s="9">
        <v>2006</v>
      </c>
      <c r="E353" s="9">
        <v>0.68317362999999998</v>
      </c>
      <c r="F353" s="9">
        <v>0.41043635000000001</v>
      </c>
      <c r="J353" s="9" t="s">
        <v>56</v>
      </c>
      <c r="K353" s="9" t="str">
        <f t="shared" si="25"/>
        <v>Peru18</v>
      </c>
      <c r="L353" s="9">
        <v>18</v>
      </c>
      <c r="M353" s="9">
        <v>2.7106216999999999</v>
      </c>
      <c r="N353" s="9">
        <v>2.5630951</v>
      </c>
      <c r="O353" s="9">
        <v>2.56908</v>
      </c>
    </row>
    <row r="354" spans="2:15" ht="1" customHeight="1">
      <c r="B354" s="9" t="s">
        <v>46</v>
      </c>
      <c r="C354" s="9" t="str">
        <f t="shared" si="27"/>
        <v>El Salvador2007</v>
      </c>
      <c r="D354" s="9">
        <v>2007</v>
      </c>
      <c r="E354" s="9">
        <v>0.74646157000000002</v>
      </c>
      <c r="F354" s="9">
        <v>0.39243751999999998</v>
      </c>
      <c r="J354" s="9" t="s">
        <v>56</v>
      </c>
      <c r="K354" s="9" t="str">
        <f t="shared" si="25"/>
        <v>Peru19</v>
      </c>
      <c r="L354" s="9">
        <v>19</v>
      </c>
      <c r="N354" s="9">
        <v>2.4778880999999999</v>
      </c>
      <c r="O354" s="9">
        <v>2.1308072</v>
      </c>
    </row>
    <row r="355" spans="2:15" ht="1" customHeight="1">
      <c r="B355" s="9" t="s">
        <v>46</v>
      </c>
      <c r="C355" s="9" t="str">
        <f t="shared" si="27"/>
        <v>El Salvador2008</v>
      </c>
      <c r="D355" s="9">
        <v>2008</v>
      </c>
      <c r="E355" s="9">
        <v>0.77646546999999999</v>
      </c>
      <c r="F355" s="9">
        <v>0.40480054999999998</v>
      </c>
      <c r="J355" s="9" t="s">
        <v>56</v>
      </c>
      <c r="K355" s="9" t="str">
        <f t="shared" si="25"/>
        <v>Peru20</v>
      </c>
      <c r="L355" s="9">
        <v>20</v>
      </c>
      <c r="N355" s="9">
        <v>2.5293508999999998</v>
      </c>
      <c r="O355" s="9">
        <v>2.2831138000000002</v>
      </c>
    </row>
    <row r="356" spans="2:15" ht="1" customHeight="1">
      <c r="B356" s="9" t="s">
        <v>46</v>
      </c>
      <c r="C356" s="9" t="str">
        <f t="shared" si="27"/>
        <v>El Salvador2009</v>
      </c>
      <c r="D356" s="9">
        <v>2009</v>
      </c>
      <c r="E356" s="9">
        <v>0.78570125000000002</v>
      </c>
      <c r="F356" s="9">
        <v>0.39960904000000003</v>
      </c>
      <c r="J356" s="9" t="s">
        <v>55</v>
      </c>
      <c r="K356" s="9" t="str">
        <f t="shared" si="25"/>
        <v>Paraguay0</v>
      </c>
      <c r="L356" s="9">
        <v>0</v>
      </c>
      <c r="M356" s="9">
        <v>0</v>
      </c>
      <c r="N356" s="9">
        <v>0</v>
      </c>
      <c r="O356" s="9">
        <v>0</v>
      </c>
    </row>
    <row r="357" spans="2:15" ht="1" customHeight="1">
      <c r="B357" s="9" t="s">
        <v>46</v>
      </c>
      <c r="C357" s="9" t="str">
        <f t="shared" si="27"/>
        <v>El Salvador2010</v>
      </c>
      <c r="D357" s="9">
        <v>2010</v>
      </c>
      <c r="E357" s="9">
        <v>0.70864132000000002</v>
      </c>
      <c r="F357" s="9">
        <v>0.38163428999999999</v>
      </c>
      <c r="J357" s="9" t="s">
        <v>55</v>
      </c>
      <c r="K357" s="9" t="str">
        <f t="shared" si="25"/>
        <v>Paraguay1</v>
      </c>
      <c r="L357" s="9">
        <v>1</v>
      </c>
      <c r="M357" s="9">
        <v>0.14793951</v>
      </c>
      <c r="N357" s="9">
        <v>0.14415584000000001</v>
      </c>
      <c r="O357" s="9">
        <v>0.43483297999999998</v>
      </c>
    </row>
    <row r="358" spans="2:15" ht="1" customHeight="1">
      <c r="B358" s="9" t="s">
        <v>46</v>
      </c>
      <c r="C358" s="9" t="str">
        <f t="shared" si="27"/>
        <v>El Salvador2011</v>
      </c>
      <c r="D358" s="9">
        <v>2011</v>
      </c>
      <c r="E358" s="9">
        <v>0.64295283000000003</v>
      </c>
      <c r="F358" s="9">
        <v>0.35778311000000002</v>
      </c>
      <c r="J358" s="9" t="s">
        <v>55</v>
      </c>
      <c r="K358" s="9" t="str">
        <f t="shared" si="25"/>
        <v>Paraguay2</v>
      </c>
      <c r="L358" s="9">
        <v>2</v>
      </c>
      <c r="M358" s="9">
        <v>0.16149448999999999</v>
      </c>
      <c r="N358" s="9">
        <v>0.22384323</v>
      </c>
      <c r="O358" s="9">
        <v>0.38439470999999997</v>
      </c>
    </row>
    <row r="359" spans="2:15" ht="1" customHeight="1">
      <c r="B359" s="9" t="s">
        <v>46</v>
      </c>
      <c r="C359" s="9" t="str">
        <f t="shared" si="27"/>
        <v>El Salvador2012</v>
      </c>
      <c r="D359" s="9">
        <v>2012</v>
      </c>
      <c r="E359" s="9">
        <v>0.68272252</v>
      </c>
      <c r="F359" s="9">
        <v>0.38205919999999999</v>
      </c>
      <c r="J359" s="9" t="s">
        <v>55</v>
      </c>
      <c r="K359" s="9" t="str">
        <f t="shared" si="25"/>
        <v>Paraguay3</v>
      </c>
      <c r="L359" s="9">
        <v>3</v>
      </c>
      <c r="M359" s="9">
        <v>0.24443075</v>
      </c>
      <c r="N359" s="9">
        <v>0.22753962999999999</v>
      </c>
      <c r="O359" s="9">
        <v>0.4907552</v>
      </c>
    </row>
    <row r="360" spans="2:15" ht="1" customHeight="1">
      <c r="B360" s="9" t="s">
        <v>46</v>
      </c>
      <c r="C360" s="9" t="str">
        <f t="shared" si="27"/>
        <v>El Salvador2013</v>
      </c>
      <c r="D360" s="9">
        <v>2013</v>
      </c>
      <c r="E360" s="9">
        <v>0.65433344000000004</v>
      </c>
      <c r="F360" s="9">
        <v>0.34552557</v>
      </c>
      <c r="J360" s="9" t="s">
        <v>55</v>
      </c>
      <c r="K360" s="9" t="str">
        <f t="shared" si="25"/>
        <v>Paraguay4</v>
      </c>
      <c r="L360" s="9">
        <v>4</v>
      </c>
      <c r="M360" s="9">
        <v>0.24093971</v>
      </c>
      <c r="N360" s="9">
        <v>0.27824146</v>
      </c>
      <c r="O360" s="9">
        <v>0.58879101</v>
      </c>
    </row>
    <row r="361" spans="2:15" ht="1" customHeight="1">
      <c r="B361" s="9" t="s">
        <v>46</v>
      </c>
      <c r="C361" s="9" t="str">
        <f t="shared" si="27"/>
        <v>El Salvador2014</v>
      </c>
      <c r="D361" s="9">
        <v>2014</v>
      </c>
      <c r="E361" s="9">
        <v>0.65433344000000004</v>
      </c>
      <c r="F361" s="9">
        <v>0.34552557</v>
      </c>
      <c r="J361" s="9" t="s">
        <v>55</v>
      </c>
      <c r="K361" s="9" t="str">
        <f t="shared" si="25"/>
        <v>Paraguay5</v>
      </c>
      <c r="L361" s="9">
        <v>5</v>
      </c>
      <c r="M361" s="9">
        <v>0.28056985000000001</v>
      </c>
      <c r="N361" s="9">
        <v>0.43969153999999999</v>
      </c>
      <c r="O361" s="9">
        <v>0.57414814000000003</v>
      </c>
    </row>
    <row r="362" spans="2:15" ht="1" customHeight="1">
      <c r="B362" s="9" t="s">
        <v>58</v>
      </c>
      <c r="C362" s="9" t="str">
        <f>CONCATENATE(B362,D362)</f>
        <v>Uruguay1995</v>
      </c>
      <c r="D362" s="9">
        <v>1995</v>
      </c>
      <c r="E362" s="9">
        <v>0.4934692</v>
      </c>
      <c r="F362" s="9">
        <v>0.54105106000000003</v>
      </c>
      <c r="J362" s="9" t="s">
        <v>55</v>
      </c>
      <c r="K362" s="9" t="str">
        <f t="shared" si="25"/>
        <v>Paraguay6</v>
      </c>
      <c r="L362" s="9">
        <v>6</v>
      </c>
      <c r="M362" s="9">
        <v>0.59814003000000004</v>
      </c>
      <c r="N362" s="9">
        <v>0.47969816999999998</v>
      </c>
      <c r="O362" s="9">
        <v>0.80589467999999997</v>
      </c>
    </row>
    <row r="363" spans="2:15" ht="1" customHeight="1">
      <c r="B363" s="9" t="s">
        <v>58</v>
      </c>
      <c r="C363" s="9" t="str">
        <f t="shared" ref="C363:C381" si="28">CONCATENATE(B363,D363)</f>
        <v>Uruguay1996</v>
      </c>
      <c r="D363" s="9">
        <v>1996</v>
      </c>
      <c r="E363" s="9">
        <v>0.53208058999999996</v>
      </c>
      <c r="F363" s="9">
        <v>0.50132027999999995</v>
      </c>
      <c r="J363" s="9" t="s">
        <v>55</v>
      </c>
      <c r="K363" s="9" t="str">
        <f t="shared" si="25"/>
        <v>Paraguay7</v>
      </c>
      <c r="L363" s="9">
        <v>7</v>
      </c>
      <c r="M363" s="9">
        <v>0.74437677000000002</v>
      </c>
      <c r="N363" s="9">
        <v>0.64163378999999998</v>
      </c>
      <c r="O363" s="9">
        <v>0.86695833</v>
      </c>
    </row>
    <row r="364" spans="2:15" ht="1" customHeight="1">
      <c r="B364" s="9" t="s">
        <v>58</v>
      </c>
      <c r="C364" s="9" t="str">
        <f t="shared" si="28"/>
        <v>Uruguay1997</v>
      </c>
      <c r="D364" s="9">
        <v>1997</v>
      </c>
      <c r="E364" s="9">
        <v>0.58878028999999998</v>
      </c>
      <c r="F364" s="9">
        <v>0.51741862000000005</v>
      </c>
      <c r="J364" s="9" t="s">
        <v>55</v>
      </c>
      <c r="K364" s="9" t="str">
        <f t="shared" si="25"/>
        <v>Paraguay8</v>
      </c>
      <c r="L364" s="9">
        <v>8</v>
      </c>
      <c r="M364" s="9">
        <v>0.92176906000000003</v>
      </c>
      <c r="N364" s="9">
        <v>0.63977786999999997</v>
      </c>
      <c r="O364" s="9">
        <v>0.87037982999999997</v>
      </c>
    </row>
    <row r="365" spans="2:15" ht="1" customHeight="1">
      <c r="B365" s="9" t="s">
        <v>58</v>
      </c>
      <c r="C365" s="9" t="str">
        <f t="shared" si="28"/>
        <v>Uruguay1998</v>
      </c>
      <c r="D365" s="9">
        <v>1998</v>
      </c>
      <c r="E365" s="9">
        <v>0.56891760999999996</v>
      </c>
      <c r="F365" s="9">
        <v>0.50094044999999998</v>
      </c>
      <c r="J365" s="9" t="s">
        <v>55</v>
      </c>
      <c r="K365" s="9" t="str">
        <f t="shared" si="25"/>
        <v>Paraguay9</v>
      </c>
      <c r="L365" s="9">
        <v>9</v>
      </c>
      <c r="M365" s="9">
        <v>0.98063142999999997</v>
      </c>
      <c r="N365" s="9">
        <v>0.79230261000000002</v>
      </c>
      <c r="O365" s="9">
        <v>1.0463294000000001</v>
      </c>
    </row>
    <row r="366" spans="2:15" ht="1" customHeight="1">
      <c r="B366" s="9" t="s">
        <v>58</v>
      </c>
      <c r="C366" s="9" t="str">
        <f t="shared" si="28"/>
        <v>Uruguay1999</v>
      </c>
      <c r="D366" s="9">
        <v>1999</v>
      </c>
      <c r="E366" s="9">
        <v>0.59257196000000001</v>
      </c>
      <c r="F366" s="9">
        <v>0.54096244999999998</v>
      </c>
      <c r="J366" s="9" t="s">
        <v>55</v>
      </c>
      <c r="K366" s="9" t="str">
        <f t="shared" si="25"/>
        <v>Paraguay10</v>
      </c>
      <c r="L366" s="9">
        <v>10</v>
      </c>
      <c r="M366" s="9">
        <v>1.0443715</v>
      </c>
      <c r="N366" s="9">
        <v>0.76817316999999996</v>
      </c>
      <c r="O366" s="9">
        <v>1.0981211</v>
      </c>
    </row>
    <row r="367" spans="2:15" ht="1" customHeight="1">
      <c r="B367" s="9" t="s">
        <v>58</v>
      </c>
      <c r="C367" s="9" t="str">
        <f t="shared" si="28"/>
        <v>Uruguay2000</v>
      </c>
      <c r="D367" s="9">
        <v>2000</v>
      </c>
      <c r="E367" s="9">
        <v>0.58825225000000003</v>
      </c>
      <c r="F367" s="9">
        <v>0.54613524999999996</v>
      </c>
      <c r="J367" s="9" t="s">
        <v>55</v>
      </c>
      <c r="K367" s="9" t="str">
        <f t="shared" si="25"/>
        <v>Paraguay11</v>
      </c>
      <c r="L367" s="9">
        <v>11</v>
      </c>
      <c r="M367" s="9">
        <v>0.92653797999999998</v>
      </c>
      <c r="N367" s="9">
        <v>0.77500747999999997</v>
      </c>
      <c r="O367" s="9">
        <v>1.1577096</v>
      </c>
    </row>
    <row r="368" spans="2:15" ht="1" customHeight="1">
      <c r="B368" s="9" t="s">
        <v>58</v>
      </c>
      <c r="C368" s="9" t="str">
        <f t="shared" si="28"/>
        <v>Uruguay2001</v>
      </c>
      <c r="D368" s="9">
        <v>2001</v>
      </c>
      <c r="E368" s="9">
        <v>0.53129137999999998</v>
      </c>
      <c r="F368" s="9">
        <v>0.67886787000000004</v>
      </c>
      <c r="J368" s="9" t="s">
        <v>55</v>
      </c>
      <c r="K368" s="9" t="str">
        <f t="shared" si="25"/>
        <v>Paraguay12</v>
      </c>
      <c r="L368" s="9">
        <v>12</v>
      </c>
      <c r="M368" s="9">
        <v>1.3252337999999999</v>
      </c>
      <c r="N368" s="9">
        <v>1.0657662999999999</v>
      </c>
      <c r="O368" s="9">
        <v>1.2793931999999999</v>
      </c>
    </row>
    <row r="369" spans="2:15" ht="1" customHeight="1">
      <c r="B369" s="9" t="s">
        <v>58</v>
      </c>
      <c r="C369" s="9" t="str">
        <f t="shared" si="28"/>
        <v>Uruguay2002</v>
      </c>
      <c r="D369" s="9">
        <v>2002</v>
      </c>
      <c r="E369" s="9">
        <v>0.51884180999999996</v>
      </c>
      <c r="F369" s="9">
        <v>0.70665339999999999</v>
      </c>
      <c r="J369" s="9" t="s">
        <v>55</v>
      </c>
      <c r="K369" s="9" t="str">
        <f t="shared" si="25"/>
        <v>Paraguay13</v>
      </c>
      <c r="L369" s="9">
        <v>13</v>
      </c>
      <c r="M369" s="9">
        <v>1.5619801</v>
      </c>
      <c r="N369" s="9">
        <v>1.2465824000000001</v>
      </c>
      <c r="O369" s="9">
        <v>1.3242138999999999</v>
      </c>
    </row>
    <row r="370" spans="2:15" ht="1" customHeight="1">
      <c r="B370" s="9" t="s">
        <v>58</v>
      </c>
      <c r="C370" s="9" t="str">
        <f t="shared" si="28"/>
        <v>Uruguay2003</v>
      </c>
      <c r="D370" s="9">
        <v>2003</v>
      </c>
      <c r="E370" s="9">
        <v>0.53254387999999997</v>
      </c>
      <c r="F370" s="9">
        <v>0.73166028999999999</v>
      </c>
      <c r="J370" s="9" t="s">
        <v>55</v>
      </c>
      <c r="K370" s="9" t="str">
        <f t="shared" si="25"/>
        <v>Paraguay14</v>
      </c>
      <c r="L370" s="9">
        <v>14</v>
      </c>
      <c r="M370" s="9">
        <v>1.4690634</v>
      </c>
      <c r="N370" s="9">
        <v>1.2097648000000001</v>
      </c>
      <c r="O370" s="9">
        <v>1.4712144</v>
      </c>
    </row>
    <row r="371" spans="2:15" ht="1" customHeight="1">
      <c r="B371" s="9" t="s">
        <v>58</v>
      </c>
      <c r="C371" s="9" t="str">
        <f t="shared" si="28"/>
        <v>Uruguay2004</v>
      </c>
      <c r="D371" s="9">
        <v>2004</v>
      </c>
      <c r="E371" s="9">
        <v>0.57107346999999997</v>
      </c>
      <c r="F371" s="9">
        <v>0.73750802000000004</v>
      </c>
      <c r="J371" s="9" t="s">
        <v>55</v>
      </c>
      <c r="K371" s="9" t="str">
        <f t="shared" si="25"/>
        <v>Paraguay15</v>
      </c>
      <c r="L371" s="9">
        <v>15</v>
      </c>
      <c r="M371" s="9">
        <v>1.6091415</v>
      </c>
      <c r="N371" s="9">
        <v>1.2958649</v>
      </c>
      <c r="O371" s="9">
        <v>1.5248808</v>
      </c>
    </row>
    <row r="372" spans="2:15" ht="1" customHeight="1">
      <c r="B372" s="9" t="s">
        <v>58</v>
      </c>
      <c r="C372" s="9" t="str">
        <f t="shared" si="28"/>
        <v>Uruguay2005</v>
      </c>
      <c r="D372" s="9">
        <v>2005</v>
      </c>
      <c r="E372" s="9">
        <v>0.58606040999999998</v>
      </c>
      <c r="F372" s="9">
        <v>0.77782024999999999</v>
      </c>
      <c r="J372" s="9" t="s">
        <v>55</v>
      </c>
      <c r="K372" s="9" t="str">
        <f t="shared" si="25"/>
        <v>Paraguay16</v>
      </c>
      <c r="L372" s="9">
        <v>16</v>
      </c>
      <c r="M372" s="9">
        <v>1.8715428000000001</v>
      </c>
      <c r="N372" s="9">
        <v>1.492551</v>
      </c>
      <c r="O372" s="9">
        <v>1.7400945000000001</v>
      </c>
    </row>
    <row r="373" spans="2:15" ht="1" customHeight="1">
      <c r="B373" s="9" t="s">
        <v>58</v>
      </c>
      <c r="C373" s="9" t="str">
        <f t="shared" si="28"/>
        <v>Uruguay2006</v>
      </c>
      <c r="D373" s="9">
        <v>2006</v>
      </c>
      <c r="E373" s="9">
        <v>0.42436582</v>
      </c>
      <c r="F373" s="9">
        <v>0.70280469000000001</v>
      </c>
      <c r="J373" s="9" t="s">
        <v>55</v>
      </c>
      <c r="K373" s="9" t="str">
        <f t="shared" si="25"/>
        <v>Paraguay17</v>
      </c>
      <c r="L373" s="9">
        <v>17</v>
      </c>
      <c r="M373" s="9">
        <v>1.7438138999999999</v>
      </c>
      <c r="N373" s="9">
        <v>1.6370559</v>
      </c>
      <c r="O373" s="9">
        <v>1.9394323</v>
      </c>
    </row>
    <row r="374" spans="2:15" ht="1" customHeight="1">
      <c r="B374" s="9" t="s">
        <v>58</v>
      </c>
      <c r="C374" s="9" t="str">
        <f t="shared" si="28"/>
        <v>Uruguay2007</v>
      </c>
      <c r="D374" s="9">
        <v>2007</v>
      </c>
      <c r="E374" s="9">
        <v>0.60199245999999995</v>
      </c>
      <c r="F374" s="9">
        <v>0.78581639000000003</v>
      </c>
      <c r="J374" s="9" t="s">
        <v>55</v>
      </c>
      <c r="K374" s="9" t="str">
        <f t="shared" si="25"/>
        <v>Paraguay18</v>
      </c>
      <c r="L374" s="9">
        <v>18</v>
      </c>
      <c r="M374" s="9">
        <v>2.0450620000000002</v>
      </c>
      <c r="N374" s="9">
        <v>1.8781478</v>
      </c>
      <c r="O374" s="9">
        <v>1.9841458999999999</v>
      </c>
    </row>
    <row r="375" spans="2:15" ht="1" customHeight="1">
      <c r="B375" s="9" t="s">
        <v>58</v>
      </c>
      <c r="C375" s="9" t="str">
        <f t="shared" si="28"/>
        <v>Uruguay2008</v>
      </c>
      <c r="D375" s="9">
        <v>2008</v>
      </c>
      <c r="E375" s="9">
        <v>0.60499307999999996</v>
      </c>
      <c r="F375" s="9">
        <v>0.74518656999999999</v>
      </c>
      <c r="J375" s="9" t="s">
        <v>55</v>
      </c>
      <c r="K375" s="9" t="str">
        <f t="shared" si="25"/>
        <v>Paraguay19</v>
      </c>
      <c r="L375" s="9">
        <v>19</v>
      </c>
      <c r="O375" s="9">
        <v>2.5245128000000001</v>
      </c>
    </row>
    <row r="376" spans="2:15" ht="1" customHeight="1">
      <c r="B376" s="9" t="s">
        <v>58</v>
      </c>
      <c r="C376" s="9" t="str">
        <f t="shared" si="28"/>
        <v>Uruguay2009</v>
      </c>
      <c r="D376" s="9">
        <v>2009</v>
      </c>
      <c r="E376" s="9">
        <v>0.62654790999999999</v>
      </c>
      <c r="F376" s="9">
        <v>0.73189700999999996</v>
      </c>
      <c r="J376" s="9" t="s">
        <v>55</v>
      </c>
      <c r="K376" s="9" t="str">
        <f t="shared" si="25"/>
        <v>Paraguay20</v>
      </c>
      <c r="L376" s="9">
        <v>20</v>
      </c>
      <c r="O376" s="9">
        <v>2.2675412000000001</v>
      </c>
    </row>
    <row r="377" spans="2:15" ht="1" customHeight="1">
      <c r="B377" s="9" t="s">
        <v>58</v>
      </c>
      <c r="C377" s="9" t="str">
        <f t="shared" si="28"/>
        <v>Uruguay2010</v>
      </c>
      <c r="D377" s="9">
        <v>2010</v>
      </c>
      <c r="E377" s="9">
        <v>0.60336467000000005</v>
      </c>
      <c r="F377" s="9">
        <v>0.70907558000000004</v>
      </c>
      <c r="J377" s="9" t="s">
        <v>46</v>
      </c>
      <c r="K377" s="9" t="str">
        <f t="shared" si="25"/>
        <v>El Salvador0</v>
      </c>
      <c r="L377" s="9">
        <v>0</v>
      </c>
      <c r="M377" s="9">
        <v>0</v>
      </c>
      <c r="N377" s="9">
        <v>0</v>
      </c>
      <c r="O377" s="9">
        <v>0</v>
      </c>
    </row>
    <row r="378" spans="2:15" ht="1" customHeight="1">
      <c r="B378" s="9" t="s">
        <v>58</v>
      </c>
      <c r="C378" s="9" t="str">
        <f t="shared" si="28"/>
        <v>Uruguay2011</v>
      </c>
      <c r="D378" s="9">
        <v>2011</v>
      </c>
      <c r="E378" s="9">
        <v>0.54505932000000001</v>
      </c>
      <c r="F378" s="9">
        <v>0.67578601000000005</v>
      </c>
      <c r="J378" s="9" t="s">
        <v>46</v>
      </c>
      <c r="K378" s="9" t="str">
        <f t="shared" si="25"/>
        <v>El Salvador1</v>
      </c>
      <c r="L378" s="9">
        <v>1</v>
      </c>
      <c r="M378" s="9">
        <v>0.16331296000000001</v>
      </c>
      <c r="N378" s="9">
        <v>8.6628709999999998E-2</v>
      </c>
      <c r="O378" s="9">
        <v>8.0302059999999995E-2</v>
      </c>
    </row>
    <row r="379" spans="2:15" ht="1" customHeight="1">
      <c r="B379" s="9" t="s">
        <v>58</v>
      </c>
      <c r="C379" s="9" t="str">
        <f t="shared" si="28"/>
        <v>Uruguay2012</v>
      </c>
      <c r="D379" s="9">
        <v>2012</v>
      </c>
      <c r="E379" s="9">
        <v>0.52726636999999998</v>
      </c>
      <c r="F379" s="9">
        <v>0.63808798</v>
      </c>
      <c r="J379" s="9" t="s">
        <v>46</v>
      </c>
      <c r="K379" s="9" t="str">
        <f t="shared" si="25"/>
        <v>El Salvador2</v>
      </c>
      <c r="L379" s="9">
        <v>2</v>
      </c>
      <c r="M379" s="9">
        <v>0.24599789999999999</v>
      </c>
      <c r="N379" s="9">
        <v>0.13576986999999999</v>
      </c>
      <c r="O379" s="9">
        <v>0.17571396</v>
      </c>
    </row>
    <row r="380" spans="2:15" ht="1" customHeight="1">
      <c r="B380" s="9" t="s">
        <v>58</v>
      </c>
      <c r="C380" s="9" t="str">
        <f t="shared" si="28"/>
        <v>Uruguay2013</v>
      </c>
      <c r="D380" s="9">
        <v>2013</v>
      </c>
      <c r="E380" s="9">
        <v>0.48924340999999999</v>
      </c>
      <c r="F380" s="9">
        <v>0.66154778999999997</v>
      </c>
      <c r="J380" s="9" t="s">
        <v>46</v>
      </c>
      <c r="K380" s="9" t="str">
        <f t="shared" si="25"/>
        <v>El Salvador3</v>
      </c>
      <c r="L380" s="9">
        <v>3</v>
      </c>
      <c r="M380" s="9">
        <v>0.28440470000000001</v>
      </c>
      <c r="N380" s="9">
        <v>0.21933796999999999</v>
      </c>
      <c r="O380" s="9">
        <v>0.15008415</v>
      </c>
    </row>
    <row r="381" spans="2:15" ht="1" customHeight="1">
      <c r="B381" s="9" t="s">
        <v>58</v>
      </c>
      <c r="C381" s="9" t="str">
        <f t="shared" si="28"/>
        <v>Uruguay2014</v>
      </c>
      <c r="D381" s="9">
        <v>2014</v>
      </c>
      <c r="E381" s="9">
        <v>0.50360589</v>
      </c>
      <c r="F381" s="9">
        <v>0.63124150000000001</v>
      </c>
      <c r="J381" s="9" t="s">
        <v>46</v>
      </c>
      <c r="K381" s="9" t="str">
        <f t="shared" si="25"/>
        <v>El Salvador4</v>
      </c>
      <c r="L381" s="9">
        <v>4</v>
      </c>
      <c r="M381" s="9">
        <v>0.35286258999999998</v>
      </c>
      <c r="N381" s="9">
        <v>0.21364562000000001</v>
      </c>
      <c r="O381" s="9">
        <v>0.20903223000000001</v>
      </c>
    </row>
    <row r="382" spans="2:15" ht="1" customHeight="1">
      <c r="B382" s="9" t="s">
        <v>59</v>
      </c>
      <c r="C382" s="9" t="str">
        <f>CONCATENATE(B382,D382)</f>
        <v>Venezuela1995</v>
      </c>
      <c r="D382" s="9">
        <v>1995</v>
      </c>
      <c r="E382" s="9">
        <v>0.61651729</v>
      </c>
      <c r="F382" s="9">
        <v>0.37274077999999999</v>
      </c>
      <c r="J382" s="9" t="s">
        <v>46</v>
      </c>
      <c r="K382" s="9" t="str">
        <f t="shared" si="25"/>
        <v>El Salvador5</v>
      </c>
      <c r="L382" s="9">
        <v>5</v>
      </c>
      <c r="M382" s="9">
        <v>0.32707549000000002</v>
      </c>
      <c r="N382" s="9">
        <v>0.27776875000000001</v>
      </c>
      <c r="O382" s="9">
        <v>0.24429649000000001</v>
      </c>
    </row>
    <row r="383" spans="2:15" ht="1" customHeight="1">
      <c r="B383" s="9" t="s">
        <v>59</v>
      </c>
      <c r="C383" s="9" t="str">
        <f t="shared" ref="C383:C401" si="29">CONCATENATE(B383,D383)</f>
        <v>Venezuela1996</v>
      </c>
      <c r="D383" s="9">
        <v>1996</v>
      </c>
      <c r="E383" s="9">
        <v>0.41398633000000001</v>
      </c>
      <c r="F383" s="9">
        <v>0.34958502000000002</v>
      </c>
      <c r="J383" s="9" t="s">
        <v>46</v>
      </c>
      <c r="K383" s="9" t="str">
        <f t="shared" ref="K383:K439" si="30">CONCATENATE(J383,L383)</f>
        <v>El Salvador6</v>
      </c>
      <c r="L383" s="9">
        <v>6</v>
      </c>
      <c r="M383" s="9">
        <v>0.48242426999999999</v>
      </c>
      <c r="N383" s="9">
        <v>0.34958386000000002</v>
      </c>
      <c r="O383" s="9">
        <v>0.27909191</v>
      </c>
    </row>
    <row r="384" spans="2:15" ht="1" customHeight="1">
      <c r="B384" s="9" t="s">
        <v>59</v>
      </c>
      <c r="C384" s="9" t="str">
        <f t="shared" si="29"/>
        <v>Venezuela1997</v>
      </c>
      <c r="D384" s="9">
        <v>1997</v>
      </c>
      <c r="E384" s="9">
        <v>0.75739707000000001</v>
      </c>
      <c r="F384" s="9">
        <v>0.33476804999999998</v>
      </c>
      <c r="J384" s="9" t="s">
        <v>46</v>
      </c>
      <c r="K384" s="9" t="str">
        <f t="shared" si="30"/>
        <v>El Salvador7</v>
      </c>
      <c r="L384" s="9">
        <v>7</v>
      </c>
      <c r="M384" s="9">
        <v>0.53574959</v>
      </c>
      <c r="N384" s="9">
        <v>0.37723866</v>
      </c>
      <c r="O384" s="9">
        <v>0.36870260999999999</v>
      </c>
    </row>
    <row r="385" spans="2:15" ht="1" customHeight="1">
      <c r="B385" s="9" t="s">
        <v>59</v>
      </c>
      <c r="C385" s="9" t="str">
        <f t="shared" si="29"/>
        <v>Venezuela1998</v>
      </c>
      <c r="D385" s="9">
        <v>1998</v>
      </c>
      <c r="E385" s="9">
        <v>0.67253598999999997</v>
      </c>
      <c r="F385" s="9">
        <v>0.34955178999999997</v>
      </c>
      <c r="J385" s="9" t="s">
        <v>46</v>
      </c>
      <c r="K385" s="9" t="str">
        <f t="shared" si="30"/>
        <v>El Salvador8</v>
      </c>
      <c r="L385" s="9">
        <v>8</v>
      </c>
      <c r="M385" s="9">
        <v>0.54269999000000002</v>
      </c>
      <c r="N385" s="9">
        <v>0.45413333</v>
      </c>
      <c r="O385" s="9">
        <v>0.30730956999999998</v>
      </c>
    </row>
    <row r="386" spans="2:15" ht="1" customHeight="1">
      <c r="B386" s="9" t="s">
        <v>59</v>
      </c>
      <c r="C386" s="9" t="str">
        <f t="shared" si="29"/>
        <v>Venezuela1999</v>
      </c>
      <c r="D386" s="9">
        <v>1999</v>
      </c>
      <c r="E386" s="9">
        <v>0.73087064999999996</v>
      </c>
      <c r="F386" s="9">
        <v>0.31371948</v>
      </c>
      <c r="J386" s="9" t="s">
        <v>46</v>
      </c>
      <c r="K386" s="9" t="str">
        <f t="shared" si="30"/>
        <v>El Salvador9</v>
      </c>
      <c r="L386" s="9">
        <v>9</v>
      </c>
      <c r="M386" s="9">
        <v>0.66482686000000002</v>
      </c>
      <c r="N386" s="9">
        <v>0.44717411000000001</v>
      </c>
      <c r="O386" s="9">
        <v>0.40249375999999998</v>
      </c>
    </row>
    <row r="387" spans="2:15" ht="1" customHeight="1">
      <c r="B387" s="9" t="s">
        <v>59</v>
      </c>
      <c r="C387" s="9" t="str">
        <f t="shared" si="29"/>
        <v>Venezuela2000</v>
      </c>
      <c r="D387" s="9">
        <v>2000</v>
      </c>
      <c r="E387" s="9">
        <v>0.50099439000000001</v>
      </c>
      <c r="F387" s="9">
        <v>0.35202874000000001</v>
      </c>
      <c r="J387" s="9" t="s">
        <v>46</v>
      </c>
      <c r="K387" s="9" t="str">
        <f t="shared" si="30"/>
        <v>El Salvador10</v>
      </c>
      <c r="L387" s="9">
        <v>10</v>
      </c>
      <c r="M387" s="9">
        <v>0.75531702000000001</v>
      </c>
      <c r="N387" s="9">
        <v>0.52672719000000001</v>
      </c>
      <c r="O387" s="9">
        <v>0.40049001000000001</v>
      </c>
    </row>
    <row r="388" spans="2:15" ht="1" customHeight="1">
      <c r="B388" s="9" t="s">
        <v>59</v>
      </c>
      <c r="C388" s="9" t="str">
        <f t="shared" si="29"/>
        <v>Venezuela2001</v>
      </c>
      <c r="D388" s="9">
        <v>2001</v>
      </c>
      <c r="E388" s="9">
        <v>0.85605403999999996</v>
      </c>
      <c r="F388" s="9">
        <v>0.29854372000000001</v>
      </c>
      <c r="J388" s="9" t="s">
        <v>46</v>
      </c>
      <c r="K388" s="9" t="str">
        <f t="shared" si="30"/>
        <v>El Salvador11</v>
      </c>
      <c r="L388" s="9">
        <v>11</v>
      </c>
      <c r="M388" s="9">
        <v>0.77923065000000002</v>
      </c>
      <c r="N388" s="9">
        <v>0.56272498999999998</v>
      </c>
      <c r="O388" s="9">
        <v>0.51803935000000001</v>
      </c>
    </row>
    <row r="389" spans="2:15" ht="1" customHeight="1">
      <c r="B389" s="9" t="s">
        <v>59</v>
      </c>
      <c r="C389" s="9" t="str">
        <f t="shared" si="29"/>
        <v>Venezuela2002</v>
      </c>
      <c r="D389" s="9">
        <v>2002</v>
      </c>
      <c r="E389" s="9">
        <v>0.89699815000000005</v>
      </c>
      <c r="F389" s="9">
        <v>0.28225865999999999</v>
      </c>
      <c r="J389" s="9" t="s">
        <v>46</v>
      </c>
      <c r="K389" s="9" t="str">
        <f t="shared" si="30"/>
        <v>El Salvador12</v>
      </c>
      <c r="L389" s="9">
        <v>12</v>
      </c>
      <c r="M389" s="9">
        <v>1.0274987</v>
      </c>
      <c r="N389" s="9">
        <v>0.68318791000000001</v>
      </c>
      <c r="O389" s="9">
        <v>0.62592420999999998</v>
      </c>
    </row>
    <row r="390" spans="2:15" ht="1" customHeight="1">
      <c r="B390" s="9" t="s">
        <v>59</v>
      </c>
      <c r="C390" s="9" t="str">
        <f t="shared" si="29"/>
        <v>Venezuela2003</v>
      </c>
      <c r="D390" s="9">
        <v>2003</v>
      </c>
      <c r="E390" s="9">
        <v>0.82901270999999999</v>
      </c>
      <c r="F390" s="9">
        <v>0.29263808000000002</v>
      </c>
      <c r="J390" s="9" t="s">
        <v>46</v>
      </c>
      <c r="K390" s="9" t="str">
        <f t="shared" si="30"/>
        <v>El Salvador13</v>
      </c>
      <c r="L390" s="9">
        <v>13</v>
      </c>
      <c r="M390" s="9">
        <v>1.0855579</v>
      </c>
      <c r="N390" s="9">
        <v>0.78117658000000001</v>
      </c>
      <c r="O390" s="9">
        <v>0.77413202999999997</v>
      </c>
    </row>
    <row r="391" spans="2:15" ht="1" customHeight="1">
      <c r="B391" s="9" t="s">
        <v>59</v>
      </c>
      <c r="C391" s="9" t="str">
        <f t="shared" si="29"/>
        <v>Venezuela2004</v>
      </c>
      <c r="D391" s="9">
        <v>2004</v>
      </c>
      <c r="E391" s="9">
        <v>0.58742678000000004</v>
      </c>
      <c r="F391" s="9">
        <v>0.35529054999999998</v>
      </c>
      <c r="J391" s="9" t="s">
        <v>46</v>
      </c>
      <c r="K391" s="9" t="str">
        <f t="shared" si="30"/>
        <v>El Salvador14</v>
      </c>
      <c r="L391" s="9">
        <v>14</v>
      </c>
      <c r="M391" s="9">
        <v>1.2167250000000001</v>
      </c>
      <c r="N391" s="9">
        <v>0.89044354000000003</v>
      </c>
      <c r="O391" s="9">
        <v>0.90149484000000002</v>
      </c>
    </row>
    <row r="392" spans="2:15" ht="1" customHeight="1">
      <c r="B392" s="9" t="s">
        <v>59</v>
      </c>
      <c r="C392" s="9" t="str">
        <f t="shared" si="29"/>
        <v>Venezuela2005</v>
      </c>
      <c r="D392" s="9">
        <v>2005</v>
      </c>
      <c r="E392" s="9">
        <v>0.58514012999999998</v>
      </c>
      <c r="F392" s="9">
        <v>0.34621705000000003</v>
      </c>
      <c r="J392" s="9" t="s">
        <v>46</v>
      </c>
      <c r="K392" s="9" t="str">
        <f t="shared" si="30"/>
        <v>El Salvador15</v>
      </c>
      <c r="L392" s="9">
        <v>15</v>
      </c>
      <c r="M392" s="9">
        <v>1.3371478999999999</v>
      </c>
      <c r="N392" s="9">
        <v>1.1802929</v>
      </c>
      <c r="O392" s="9">
        <v>1.1634785000000001</v>
      </c>
    </row>
    <row r="393" spans="2:15" ht="1" customHeight="1">
      <c r="B393" s="9" t="s">
        <v>59</v>
      </c>
      <c r="C393" s="9" t="str">
        <f t="shared" si="29"/>
        <v>Venezuela2006</v>
      </c>
      <c r="D393" s="9">
        <v>2006</v>
      </c>
      <c r="E393" s="9">
        <v>0.60462760999999998</v>
      </c>
      <c r="F393" s="9">
        <v>0.30032902</v>
      </c>
      <c r="J393" s="9" t="s">
        <v>46</v>
      </c>
      <c r="K393" s="9" t="str">
        <f t="shared" si="30"/>
        <v>El Salvador16</v>
      </c>
      <c r="L393" s="9">
        <v>16</v>
      </c>
      <c r="M393" s="9">
        <v>1.5132776999999999</v>
      </c>
      <c r="N393" s="9">
        <v>1.0660057000000001</v>
      </c>
      <c r="O393" s="9">
        <v>0.95204241000000001</v>
      </c>
    </row>
    <row r="394" spans="2:15" ht="1" customHeight="1">
      <c r="B394" s="9" t="s">
        <v>59</v>
      </c>
      <c r="C394" s="9" t="str">
        <f t="shared" si="29"/>
        <v>Venezuela2007</v>
      </c>
      <c r="D394" s="9">
        <v>2007</v>
      </c>
      <c r="E394" s="9">
        <v>0.57474510999999995</v>
      </c>
      <c r="F394" s="9">
        <v>0.25970675999999998</v>
      </c>
      <c r="J394" s="9" t="s">
        <v>46</v>
      </c>
      <c r="K394" s="9" t="str">
        <f t="shared" si="30"/>
        <v>El Salvador17</v>
      </c>
      <c r="L394" s="9">
        <v>17</v>
      </c>
      <c r="M394" s="9">
        <v>1.6278440000000001</v>
      </c>
      <c r="N394" s="9">
        <v>1.4543102000000001</v>
      </c>
      <c r="O394" s="9">
        <v>1.3078373999999999</v>
      </c>
    </row>
    <row r="395" spans="2:15" ht="1" customHeight="1">
      <c r="B395" s="9" t="s">
        <v>59</v>
      </c>
      <c r="C395" s="9" t="str">
        <f t="shared" si="29"/>
        <v>Venezuela2008</v>
      </c>
      <c r="D395" s="9">
        <v>2008</v>
      </c>
      <c r="E395" s="9">
        <v>0.51108450000000005</v>
      </c>
      <c r="F395" s="9">
        <v>0.24864769</v>
      </c>
      <c r="J395" s="9" t="s">
        <v>46</v>
      </c>
      <c r="K395" s="9" t="str">
        <f t="shared" si="30"/>
        <v>El Salvador18</v>
      </c>
      <c r="L395" s="9">
        <v>18</v>
      </c>
      <c r="M395" s="9">
        <v>0.99531734999999999</v>
      </c>
      <c r="N395" s="9">
        <v>0.67648615999999995</v>
      </c>
      <c r="O395" s="9">
        <v>1.4553058000000001</v>
      </c>
    </row>
    <row r="396" spans="2:15" ht="1" customHeight="1">
      <c r="B396" s="9" t="s">
        <v>59</v>
      </c>
      <c r="C396" s="9" t="str">
        <f t="shared" si="29"/>
        <v>Venezuela2009</v>
      </c>
      <c r="D396" s="9">
        <v>2009</v>
      </c>
      <c r="E396" s="9">
        <v>0.44111705000000001</v>
      </c>
      <c r="F396" s="9">
        <v>0.22920621999999999</v>
      </c>
      <c r="J396" s="9" t="s">
        <v>46</v>
      </c>
      <c r="K396" s="9" t="str">
        <f t="shared" si="30"/>
        <v>El Salvador19</v>
      </c>
      <c r="L396" s="9">
        <v>19</v>
      </c>
      <c r="M396" s="9">
        <v>0.55469696999999996</v>
      </c>
      <c r="N396" s="9">
        <v>1.4568691</v>
      </c>
      <c r="O396" s="9">
        <v>1.5208542</v>
      </c>
    </row>
    <row r="397" spans="2:15" ht="1" customHeight="1">
      <c r="B397" s="9" t="s">
        <v>59</v>
      </c>
      <c r="C397" s="9" t="str">
        <f t="shared" si="29"/>
        <v>Venezuela2010</v>
      </c>
      <c r="D397" s="9">
        <v>2010</v>
      </c>
      <c r="E397" s="9">
        <v>0.41320414</v>
      </c>
      <c r="F397" s="9">
        <v>0.21989173000000001</v>
      </c>
      <c r="J397" s="9" t="s">
        <v>46</v>
      </c>
      <c r="K397" s="9" t="str">
        <f t="shared" si="30"/>
        <v>El Salvador20</v>
      </c>
      <c r="L397" s="9">
        <v>20</v>
      </c>
      <c r="M397" s="9">
        <v>1.4181048999999999</v>
      </c>
      <c r="N397" s="9">
        <v>1.7218134</v>
      </c>
      <c r="O397" s="9">
        <v>1.1188092000000001</v>
      </c>
    </row>
    <row r="398" spans="2:15" ht="1" customHeight="1">
      <c r="B398" s="9" t="s">
        <v>59</v>
      </c>
      <c r="C398" s="9" t="str">
        <f t="shared" si="29"/>
        <v>Venezuela2011</v>
      </c>
      <c r="D398" s="9">
        <v>2011</v>
      </c>
      <c r="E398" s="9">
        <v>0.41428443999999998</v>
      </c>
      <c r="F398" s="9">
        <v>0.22219800000000001</v>
      </c>
      <c r="J398" s="9" t="s">
        <v>58</v>
      </c>
      <c r="K398" s="9" t="str">
        <f t="shared" si="30"/>
        <v>Uruguay0</v>
      </c>
      <c r="L398" s="9">
        <v>0</v>
      </c>
      <c r="M398" s="9">
        <v>0</v>
      </c>
      <c r="N398" s="9">
        <v>0</v>
      </c>
      <c r="O398" s="9">
        <v>0</v>
      </c>
    </row>
    <row r="399" spans="2:15" ht="1" customHeight="1">
      <c r="B399" s="9" t="s">
        <v>59</v>
      </c>
      <c r="C399" s="9" t="str">
        <f t="shared" si="29"/>
        <v>Venezuela2012</v>
      </c>
      <c r="D399" s="9">
        <v>2012</v>
      </c>
      <c r="E399" s="9">
        <v>0.36944380999999998</v>
      </c>
      <c r="F399" s="9">
        <v>0.22226713000000001</v>
      </c>
      <c r="J399" s="9" t="s">
        <v>58</v>
      </c>
      <c r="K399" s="9" t="str">
        <f t="shared" si="30"/>
        <v>Uruguay1</v>
      </c>
      <c r="L399" s="9">
        <v>1</v>
      </c>
      <c r="M399" s="9">
        <v>0.17598247</v>
      </c>
      <c r="N399" s="9">
        <v>-0.21557018</v>
      </c>
      <c r="O399" s="9">
        <v>7.7098630000000001E-2</v>
      </c>
    </row>
    <row r="400" spans="2:15" ht="1" customHeight="1">
      <c r="B400" s="9" t="s">
        <v>59</v>
      </c>
      <c r="C400" s="9" t="str">
        <f t="shared" si="29"/>
        <v>Venezuela2013</v>
      </c>
      <c r="D400" s="9">
        <v>2013</v>
      </c>
      <c r="E400" s="9">
        <v>0.32170087000000003</v>
      </c>
      <c r="F400" s="9">
        <v>0.21011563</v>
      </c>
      <c r="J400" s="9" t="s">
        <v>58</v>
      </c>
      <c r="K400" s="9" t="str">
        <f t="shared" si="30"/>
        <v>Uruguay2</v>
      </c>
      <c r="L400" s="9">
        <v>2</v>
      </c>
      <c r="M400" s="9">
        <v>8.2590120000000003E-2</v>
      </c>
      <c r="N400" s="9">
        <v>-2.2404239999999999E-2</v>
      </c>
      <c r="O400" s="9">
        <v>0.26873789999999997</v>
      </c>
    </row>
    <row r="401" spans="2:15" ht="1" customHeight="1">
      <c r="B401" s="9" t="s">
        <v>59</v>
      </c>
      <c r="C401" s="9" t="str">
        <f t="shared" si="29"/>
        <v>Venezuela2014</v>
      </c>
      <c r="D401" s="9">
        <v>2014</v>
      </c>
      <c r="E401" s="9">
        <v>0.32170087000000003</v>
      </c>
      <c r="F401" s="9">
        <v>0.21011563</v>
      </c>
      <c r="J401" s="9" t="s">
        <v>58</v>
      </c>
      <c r="K401" s="9" t="str">
        <f t="shared" si="30"/>
        <v>Uruguay3</v>
      </c>
      <c r="L401" s="9">
        <v>3</v>
      </c>
      <c r="M401" s="9">
        <v>0.14883795</v>
      </c>
      <c r="N401" s="9">
        <v>3.0757139999999999E-2</v>
      </c>
      <c r="O401" s="9">
        <v>0.28780924000000002</v>
      </c>
    </row>
    <row r="402" spans="2:15" ht="1" customHeight="1">
      <c r="J402" s="9" t="s">
        <v>58</v>
      </c>
      <c r="K402" s="9" t="str">
        <f t="shared" si="30"/>
        <v>Uruguay4</v>
      </c>
      <c r="L402" s="9">
        <v>4</v>
      </c>
      <c r="M402" s="9">
        <v>0.19777302999999999</v>
      </c>
      <c r="N402" s="9">
        <v>-3.6779970000000002E-2</v>
      </c>
      <c r="O402" s="9">
        <v>0.40615398000000003</v>
      </c>
    </row>
    <row r="403" spans="2:15" ht="1" customHeight="1">
      <c r="J403" s="9" t="s">
        <v>58</v>
      </c>
      <c r="K403" s="9" t="str">
        <f t="shared" si="30"/>
        <v>Uruguay5</v>
      </c>
      <c r="L403" s="9">
        <v>5</v>
      </c>
      <c r="M403" s="9">
        <v>0.23053599999999999</v>
      </c>
      <c r="N403" s="9">
        <v>0.10695733</v>
      </c>
      <c r="O403" s="9">
        <v>0.42201758</v>
      </c>
    </row>
    <row r="404" spans="2:15" ht="1" customHeight="1">
      <c r="J404" s="9" t="s">
        <v>58</v>
      </c>
      <c r="K404" s="9" t="str">
        <f t="shared" si="30"/>
        <v>Uruguay6</v>
      </c>
      <c r="L404" s="9">
        <v>6</v>
      </c>
      <c r="M404" s="9">
        <v>0.46576600000000001</v>
      </c>
      <c r="N404" s="9">
        <v>0.34203093000000001</v>
      </c>
      <c r="O404" s="9">
        <v>0.62729668999999999</v>
      </c>
    </row>
    <row r="405" spans="2:15" ht="1" customHeight="1">
      <c r="J405" s="9" t="s">
        <v>58</v>
      </c>
      <c r="K405" s="9" t="str">
        <f t="shared" si="30"/>
        <v>Uruguay7</v>
      </c>
      <c r="L405" s="9">
        <v>7</v>
      </c>
      <c r="M405" s="9">
        <v>0.60163838000000003</v>
      </c>
      <c r="N405" s="9">
        <v>0.42946322999999997</v>
      </c>
      <c r="O405" s="9">
        <v>0.75269737000000003</v>
      </c>
    </row>
    <row r="406" spans="2:15" ht="1" customHeight="1">
      <c r="J406" s="9" t="s">
        <v>58</v>
      </c>
      <c r="K406" s="9" t="str">
        <f t="shared" si="30"/>
        <v>Uruguay8</v>
      </c>
      <c r="L406" s="9">
        <v>8</v>
      </c>
      <c r="M406" s="9">
        <v>0.70958812999999998</v>
      </c>
      <c r="N406" s="9">
        <v>0.52141161999999996</v>
      </c>
      <c r="O406" s="9">
        <v>0.79975008000000003</v>
      </c>
    </row>
    <row r="407" spans="2:15" ht="1" customHeight="1">
      <c r="J407" s="9" t="s">
        <v>58</v>
      </c>
      <c r="K407" s="9" t="str">
        <f t="shared" si="30"/>
        <v>Uruguay9</v>
      </c>
      <c r="L407" s="9">
        <v>9</v>
      </c>
      <c r="M407" s="9">
        <v>0.76382680999999997</v>
      </c>
      <c r="N407" s="9">
        <v>0.66278314999999999</v>
      </c>
      <c r="O407" s="9">
        <v>0.92456037000000002</v>
      </c>
    </row>
    <row r="408" spans="2:15" ht="1" customHeight="1">
      <c r="J408" s="9" t="s">
        <v>58</v>
      </c>
      <c r="K408" s="9" t="str">
        <f t="shared" si="30"/>
        <v>Uruguay10</v>
      </c>
      <c r="L408" s="9">
        <v>10</v>
      </c>
      <c r="M408" s="9">
        <v>0.92504112000000005</v>
      </c>
      <c r="N408" s="9">
        <v>0.80658158000000002</v>
      </c>
      <c r="O408" s="9">
        <v>1.0476363</v>
      </c>
    </row>
    <row r="409" spans="2:15" ht="1" customHeight="1">
      <c r="J409" s="9" t="s">
        <v>58</v>
      </c>
      <c r="K409" s="9" t="str">
        <f t="shared" si="30"/>
        <v>Uruguay11</v>
      </c>
      <c r="L409" s="9">
        <v>11</v>
      </c>
      <c r="M409" s="9">
        <v>0.83080352999999996</v>
      </c>
      <c r="N409" s="9">
        <v>0.88895316999999996</v>
      </c>
      <c r="O409" s="9">
        <v>1.1175009</v>
      </c>
    </row>
    <row r="410" spans="2:15" ht="1" customHeight="1">
      <c r="J410" s="9" t="s">
        <v>58</v>
      </c>
      <c r="K410" s="9" t="str">
        <f t="shared" si="30"/>
        <v>Uruguay12</v>
      </c>
      <c r="L410" s="9">
        <v>12</v>
      </c>
      <c r="M410" s="9">
        <v>1.0058159</v>
      </c>
      <c r="N410" s="9">
        <v>1.0803901</v>
      </c>
      <c r="O410" s="9">
        <v>1.2888062</v>
      </c>
    </row>
    <row r="411" spans="2:15" ht="1" customHeight="1">
      <c r="J411" s="9" t="s">
        <v>58</v>
      </c>
      <c r="K411" s="9" t="str">
        <f t="shared" si="30"/>
        <v>Uruguay13</v>
      </c>
      <c r="L411" s="9">
        <v>13</v>
      </c>
      <c r="M411" s="9">
        <v>1.0207491</v>
      </c>
      <c r="N411" s="9">
        <v>1.0598169</v>
      </c>
      <c r="O411" s="9">
        <v>1.3245472</v>
      </c>
    </row>
    <row r="412" spans="2:15" ht="1" customHeight="1">
      <c r="J412" s="9" t="s">
        <v>58</v>
      </c>
      <c r="K412" s="9" t="str">
        <f t="shared" si="30"/>
        <v>Uruguay14</v>
      </c>
      <c r="L412" s="9">
        <v>14</v>
      </c>
      <c r="M412" s="9">
        <v>1.1530446000000001</v>
      </c>
      <c r="N412" s="9">
        <v>1.2669035</v>
      </c>
      <c r="O412" s="9">
        <v>1.3257726999999999</v>
      </c>
    </row>
    <row r="413" spans="2:15" ht="1" customHeight="1">
      <c r="J413" s="9" t="s">
        <v>58</v>
      </c>
      <c r="K413" s="9" t="str">
        <f t="shared" si="30"/>
        <v>Uruguay15</v>
      </c>
      <c r="L413" s="9">
        <v>15</v>
      </c>
      <c r="M413" s="9">
        <v>1.1965504</v>
      </c>
      <c r="N413" s="9">
        <v>1.3229298</v>
      </c>
      <c r="O413" s="9">
        <v>1.4629626</v>
      </c>
    </row>
    <row r="414" spans="2:15" ht="1" customHeight="1">
      <c r="J414" s="9" t="s">
        <v>58</v>
      </c>
      <c r="K414" s="9" t="str">
        <f t="shared" si="30"/>
        <v>Uruguay16</v>
      </c>
      <c r="L414" s="9">
        <v>16</v>
      </c>
      <c r="M414" s="9">
        <v>1.2926538000000001</v>
      </c>
      <c r="N414" s="9">
        <v>1.4916509</v>
      </c>
      <c r="O414" s="9">
        <v>1.6636918000000001</v>
      </c>
    </row>
    <row r="415" spans="2:15" ht="1" customHeight="1">
      <c r="J415" s="9" t="s">
        <v>58</v>
      </c>
      <c r="K415" s="9" t="str">
        <f t="shared" si="30"/>
        <v>Uruguay17</v>
      </c>
      <c r="L415" s="9">
        <v>17</v>
      </c>
      <c r="M415" s="9">
        <v>1.6114579</v>
      </c>
      <c r="N415" s="9">
        <v>1.7617898999999999</v>
      </c>
      <c r="O415" s="9">
        <v>1.8028713000000001</v>
      </c>
    </row>
    <row r="416" spans="2:15" ht="1" customHeight="1">
      <c r="J416" s="9" t="s">
        <v>58</v>
      </c>
      <c r="K416" s="9" t="str">
        <f t="shared" si="30"/>
        <v>Uruguay18</v>
      </c>
      <c r="L416" s="9">
        <v>18</v>
      </c>
      <c r="M416" s="9">
        <v>1.7700007</v>
      </c>
      <c r="N416" s="9">
        <v>1.8097684999999999</v>
      </c>
      <c r="O416" s="9">
        <v>1.7877425</v>
      </c>
    </row>
    <row r="417" spans="10:15" ht="1" customHeight="1">
      <c r="J417" s="9" t="s">
        <v>58</v>
      </c>
      <c r="K417" s="9" t="str">
        <f t="shared" si="30"/>
        <v>Uruguay19</v>
      </c>
      <c r="L417" s="9">
        <v>19</v>
      </c>
      <c r="M417" s="9">
        <v>1.6161551000000001</v>
      </c>
      <c r="N417" s="9">
        <v>1.6789457999999999</v>
      </c>
      <c r="O417" s="9">
        <v>1.8774805000000001</v>
      </c>
    </row>
    <row r="418" spans="10:15" ht="1" customHeight="1">
      <c r="J418" s="9" t="s">
        <v>58</v>
      </c>
      <c r="K418" s="9" t="str">
        <f t="shared" si="30"/>
        <v>Uruguay20</v>
      </c>
      <c r="L418" s="9">
        <v>20</v>
      </c>
      <c r="M418" s="9">
        <v>2.0180319999999998</v>
      </c>
      <c r="N418" s="9">
        <v>1.9524949</v>
      </c>
      <c r="O418" s="9">
        <v>1.9511457000000001</v>
      </c>
    </row>
    <row r="419" spans="10:15" ht="1" customHeight="1">
      <c r="J419" s="9" t="s">
        <v>59</v>
      </c>
      <c r="K419" s="9" t="str">
        <f t="shared" si="30"/>
        <v>Venezuela0</v>
      </c>
      <c r="L419" s="9">
        <v>0</v>
      </c>
      <c r="M419" s="9">
        <v>0</v>
      </c>
      <c r="N419" s="9">
        <v>0</v>
      </c>
      <c r="O419" s="9">
        <v>0</v>
      </c>
    </row>
    <row r="420" spans="10:15" ht="1" customHeight="1">
      <c r="J420" s="9" t="s">
        <v>59</v>
      </c>
      <c r="K420" s="9" t="str">
        <f t="shared" si="30"/>
        <v>Venezuela1</v>
      </c>
      <c r="L420" s="9">
        <v>1</v>
      </c>
      <c r="M420" s="9">
        <v>0.22330336000000001</v>
      </c>
      <c r="N420" s="9">
        <v>0.15022838999999999</v>
      </c>
      <c r="O420" s="9">
        <v>0.14535076999999999</v>
      </c>
    </row>
    <row r="421" spans="10:15" ht="1" customHeight="1">
      <c r="J421" s="9" t="s">
        <v>59</v>
      </c>
      <c r="K421" s="9" t="str">
        <f t="shared" si="30"/>
        <v>Venezuela2</v>
      </c>
      <c r="L421" s="9">
        <v>2</v>
      </c>
      <c r="M421" s="9">
        <v>0.22966344999999999</v>
      </c>
      <c r="N421" s="9">
        <v>0.23790823999999999</v>
      </c>
      <c r="O421" s="9">
        <v>0.15248695000000001</v>
      </c>
    </row>
    <row r="422" spans="10:15" ht="1" customHeight="1">
      <c r="J422" s="9" t="s">
        <v>59</v>
      </c>
      <c r="K422" s="9" t="str">
        <f t="shared" si="30"/>
        <v>Venezuela3</v>
      </c>
      <c r="L422" s="9">
        <v>3</v>
      </c>
      <c r="M422" s="9">
        <v>0.27562877000000002</v>
      </c>
      <c r="N422" s="9">
        <v>0.23646236000000001</v>
      </c>
      <c r="O422" s="9">
        <v>0.12264013</v>
      </c>
    </row>
    <row r="423" spans="10:15" ht="1" customHeight="1">
      <c r="J423" s="9" t="s">
        <v>59</v>
      </c>
      <c r="K423" s="9" t="str">
        <f t="shared" si="30"/>
        <v>Venezuela4</v>
      </c>
      <c r="L423" s="9">
        <v>4</v>
      </c>
      <c r="M423" s="9">
        <v>0.31057671999999997</v>
      </c>
      <c r="N423" s="9">
        <v>0.2903271</v>
      </c>
      <c r="O423" s="9">
        <v>0.20611317000000001</v>
      </c>
    </row>
    <row r="424" spans="10:15" ht="1" customHeight="1">
      <c r="J424" s="9" t="s">
        <v>59</v>
      </c>
      <c r="K424" s="9" t="str">
        <f t="shared" si="30"/>
        <v>Venezuela5</v>
      </c>
      <c r="L424" s="9">
        <v>5</v>
      </c>
      <c r="M424" s="9">
        <v>0.36905100000000002</v>
      </c>
      <c r="N424" s="9">
        <v>0.33725159999999998</v>
      </c>
      <c r="O424" s="9">
        <v>0.19060961000000001</v>
      </c>
    </row>
    <row r="425" spans="10:15" ht="1" customHeight="1">
      <c r="J425" s="9" t="s">
        <v>59</v>
      </c>
      <c r="K425" s="9" t="str">
        <f t="shared" si="30"/>
        <v>Venezuela6</v>
      </c>
      <c r="L425" s="9">
        <v>6</v>
      </c>
      <c r="M425" s="9">
        <v>0.44371787000000001</v>
      </c>
      <c r="N425" s="9">
        <v>0.48453679999999999</v>
      </c>
      <c r="O425" s="9">
        <v>0.26219516999999998</v>
      </c>
    </row>
    <row r="426" spans="10:15" ht="1" customHeight="1">
      <c r="J426" s="9" t="s">
        <v>59</v>
      </c>
      <c r="K426" s="9" t="str">
        <f t="shared" si="30"/>
        <v>Venezuela7</v>
      </c>
      <c r="L426" s="9">
        <v>7</v>
      </c>
      <c r="M426" s="9">
        <v>0.51290968999999997</v>
      </c>
      <c r="N426" s="9">
        <v>0.53285097999999997</v>
      </c>
      <c r="O426" s="9">
        <v>0.30807182</v>
      </c>
    </row>
    <row r="427" spans="10:15" ht="1" customHeight="1">
      <c r="J427" s="9" t="s">
        <v>59</v>
      </c>
      <c r="K427" s="9" t="str">
        <f t="shared" si="30"/>
        <v>Venezuela8</v>
      </c>
      <c r="L427" s="9">
        <v>8</v>
      </c>
      <c r="M427" s="9">
        <v>0.55285587999999997</v>
      </c>
      <c r="N427" s="9">
        <v>0.56700938999999995</v>
      </c>
      <c r="O427" s="9">
        <v>0.33698895000000001</v>
      </c>
    </row>
    <row r="428" spans="10:15" ht="1" customHeight="1">
      <c r="J428" s="9" t="s">
        <v>59</v>
      </c>
      <c r="K428" s="9" t="str">
        <f t="shared" si="30"/>
        <v>Venezuela9</v>
      </c>
      <c r="L428" s="9">
        <v>9</v>
      </c>
      <c r="M428" s="9">
        <v>0.63642750999999997</v>
      </c>
      <c r="N428" s="9">
        <v>0.67013796000000003</v>
      </c>
      <c r="O428" s="9">
        <v>0.37907785999999999</v>
      </c>
    </row>
    <row r="429" spans="10:15" ht="1" customHeight="1">
      <c r="J429" s="9" t="s">
        <v>59</v>
      </c>
      <c r="K429" s="9" t="str">
        <f t="shared" si="30"/>
        <v>Venezuela10</v>
      </c>
      <c r="L429" s="9">
        <v>10</v>
      </c>
      <c r="M429" s="9">
        <v>0.6928628</v>
      </c>
      <c r="N429" s="9">
        <v>0.63723580000000002</v>
      </c>
      <c r="O429" s="9">
        <v>0.35573007000000001</v>
      </c>
    </row>
    <row r="430" spans="10:15" ht="1" customHeight="1">
      <c r="J430" s="9" t="s">
        <v>59</v>
      </c>
      <c r="K430" s="9" t="str">
        <f t="shared" si="30"/>
        <v>Venezuela11</v>
      </c>
      <c r="L430" s="9">
        <v>11</v>
      </c>
      <c r="M430" s="9">
        <v>0.81555759000000005</v>
      </c>
      <c r="N430" s="9">
        <v>0.83939817000000005</v>
      </c>
      <c r="O430" s="9">
        <v>0.47066269999999999</v>
      </c>
    </row>
    <row r="431" spans="10:15" ht="1" customHeight="1">
      <c r="J431" s="9" t="s">
        <v>59</v>
      </c>
      <c r="K431" s="9" t="str">
        <f t="shared" si="30"/>
        <v>Venezuela12</v>
      </c>
      <c r="L431" s="9">
        <v>12</v>
      </c>
      <c r="M431" s="9">
        <v>0.89378343000000005</v>
      </c>
      <c r="N431" s="9">
        <v>0.89122155000000003</v>
      </c>
      <c r="O431" s="9">
        <v>0.47804713999999998</v>
      </c>
    </row>
    <row r="432" spans="10:15" ht="1" customHeight="1">
      <c r="J432" s="9" t="s">
        <v>59</v>
      </c>
      <c r="K432" s="9" t="str">
        <f t="shared" si="30"/>
        <v>Venezuela13</v>
      </c>
      <c r="L432" s="9">
        <v>13</v>
      </c>
      <c r="M432" s="9">
        <v>0.85854017999999999</v>
      </c>
      <c r="N432" s="9">
        <v>0.91541536999999995</v>
      </c>
      <c r="O432" s="9">
        <v>0.53798235999999999</v>
      </c>
    </row>
    <row r="433" spans="10:15" ht="1" customHeight="1">
      <c r="J433" s="9" t="s">
        <v>59</v>
      </c>
      <c r="K433" s="9" t="str">
        <f t="shared" si="30"/>
        <v>Venezuela14</v>
      </c>
      <c r="L433" s="9">
        <v>14</v>
      </c>
      <c r="M433" s="9">
        <v>1.0908323</v>
      </c>
      <c r="N433" s="9">
        <v>1.1918493999999999</v>
      </c>
      <c r="O433" s="9">
        <v>0.63511552999999998</v>
      </c>
    </row>
    <row r="434" spans="10:15" ht="1" customHeight="1">
      <c r="J434" s="9" t="s">
        <v>59</v>
      </c>
      <c r="K434" s="9" t="str">
        <f t="shared" si="30"/>
        <v>Venezuela15</v>
      </c>
      <c r="L434" s="9">
        <v>15</v>
      </c>
      <c r="M434" s="9">
        <v>0.86444540999999997</v>
      </c>
      <c r="N434" s="9">
        <v>1.0193885</v>
      </c>
      <c r="O434" s="9">
        <v>0.50722378000000001</v>
      </c>
    </row>
    <row r="435" spans="10:15" ht="1" customHeight="1">
      <c r="J435" s="9" t="s">
        <v>59</v>
      </c>
      <c r="K435" s="9" t="str">
        <f t="shared" si="30"/>
        <v>Venezuela16</v>
      </c>
      <c r="L435" s="9">
        <v>16</v>
      </c>
      <c r="M435" s="9">
        <v>1.3621405</v>
      </c>
      <c r="N435" s="9">
        <v>1.4812968</v>
      </c>
      <c r="O435" s="9">
        <v>0.82433981999999995</v>
      </c>
    </row>
    <row r="436" spans="10:15" ht="1" customHeight="1">
      <c r="J436" s="9" t="s">
        <v>59</v>
      </c>
      <c r="K436" s="9" t="str">
        <f t="shared" si="30"/>
        <v>Venezuela17</v>
      </c>
      <c r="L436" s="9">
        <v>17</v>
      </c>
      <c r="M436" s="9">
        <v>1.5334669000000001</v>
      </c>
      <c r="N436" s="9">
        <v>0.97562696999999998</v>
      </c>
      <c r="O436" s="9">
        <v>0.77226991</v>
      </c>
    </row>
    <row r="437" spans="10:15" ht="1" customHeight="1">
      <c r="J437" s="9" t="s">
        <v>59</v>
      </c>
      <c r="K437" s="9" t="str">
        <f t="shared" si="30"/>
        <v>Venezuela18</v>
      </c>
      <c r="L437" s="9">
        <v>18</v>
      </c>
      <c r="M437" s="9">
        <v>1.2373628999999999</v>
      </c>
      <c r="N437" s="9">
        <v>1.4523003000000001</v>
      </c>
      <c r="O437" s="9">
        <v>1.3706453999999999</v>
      </c>
    </row>
    <row r="438" spans="10:15" ht="1" customHeight="1">
      <c r="J438" s="9" t="s">
        <v>59</v>
      </c>
      <c r="K438" s="9" t="str">
        <f t="shared" si="30"/>
        <v>Venezuela19</v>
      </c>
      <c r="L438" s="9">
        <v>19</v>
      </c>
    </row>
    <row r="439" spans="10:15" ht="1" customHeight="1">
      <c r="J439" s="9" t="s">
        <v>59</v>
      </c>
      <c r="K439" s="9" t="str">
        <f t="shared" si="30"/>
        <v>Venezuela20</v>
      </c>
      <c r="L439" s="9">
        <v>20</v>
      </c>
    </row>
  </sheetData>
  <mergeCells count="6">
    <mergeCell ref="B24:Q24"/>
    <mergeCell ref="D33:F33"/>
    <mergeCell ref="G33:J33"/>
    <mergeCell ref="F26:G26"/>
    <mergeCell ref="H26:I26"/>
    <mergeCell ref="J26:K26"/>
  </mergeCells>
  <pageMargins left="0.7" right="0.7" top="0.75" bottom="0.75" header="0.3" footer="0.3"/>
  <pageSetup scale="5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1"/>
  <sheetViews>
    <sheetView zoomScaleNormal="100" zoomScaleSheetLayoutView="100" workbookViewId="0"/>
  </sheetViews>
  <sheetFormatPr defaultColWidth="9.1796875" defaultRowHeight="14.5"/>
  <cols>
    <col min="1" max="1" width="3.7265625" style="9" customWidth="1"/>
    <col min="2" max="17" width="9.1796875" style="9"/>
    <col min="18" max="18" width="3.7265625" style="9" customWidth="1"/>
    <col min="19" max="16384" width="9.1796875" style="9"/>
  </cols>
  <sheetData>
    <row r="1" spans="1:20">
      <c r="A1" s="1"/>
      <c r="B1" s="1"/>
      <c r="C1" s="1"/>
      <c r="D1" s="1"/>
      <c r="E1" s="1"/>
      <c r="F1" s="1"/>
      <c r="G1" s="1"/>
      <c r="H1" s="1"/>
      <c r="I1" s="1"/>
      <c r="J1" s="1"/>
      <c r="K1" s="1"/>
      <c r="L1" s="1"/>
      <c r="M1" s="1"/>
      <c r="N1" s="1"/>
      <c r="O1" s="1"/>
      <c r="P1" s="1"/>
      <c r="Q1" s="1"/>
      <c r="R1" s="1"/>
    </row>
    <row r="2" spans="1:20" ht="17.5">
      <c r="A2" s="1"/>
      <c r="B2" s="132" t="s">
        <v>262</v>
      </c>
      <c r="C2" s="1"/>
      <c r="D2" s="1"/>
      <c r="E2" s="1"/>
      <c r="F2" s="1"/>
      <c r="G2" s="1"/>
      <c r="H2" s="1"/>
      <c r="I2" s="1"/>
      <c r="J2" s="1"/>
      <c r="K2" s="1"/>
      <c r="L2" s="1"/>
      <c r="M2" s="1"/>
      <c r="N2" s="1"/>
      <c r="O2" s="1"/>
      <c r="P2" s="1"/>
      <c r="Q2" s="1"/>
      <c r="R2" s="1"/>
    </row>
    <row r="3" spans="1:20">
      <c r="A3" s="1"/>
      <c r="B3" s="1"/>
      <c r="C3" s="1"/>
      <c r="D3" s="1"/>
      <c r="E3" s="1"/>
      <c r="F3" s="1"/>
      <c r="G3" s="1"/>
      <c r="H3" s="1"/>
      <c r="I3" s="1"/>
      <c r="J3" s="1"/>
      <c r="K3" s="1"/>
      <c r="L3" s="1"/>
      <c r="M3" s="1"/>
      <c r="N3" s="1"/>
      <c r="O3" s="1"/>
      <c r="P3" s="1"/>
      <c r="Q3" s="1"/>
      <c r="R3" s="1"/>
    </row>
    <row r="4" spans="1:20">
      <c r="A4" s="1"/>
      <c r="B4" s="1"/>
      <c r="C4" s="1"/>
      <c r="D4" s="1"/>
      <c r="E4" s="1"/>
      <c r="F4" s="1"/>
      <c r="G4" s="1"/>
      <c r="H4" s="1"/>
      <c r="I4" s="1"/>
      <c r="J4" s="1"/>
      <c r="K4" s="1"/>
      <c r="L4" s="1"/>
      <c r="M4" s="1"/>
      <c r="N4" s="1"/>
      <c r="O4" s="1"/>
      <c r="P4" s="1"/>
      <c r="Q4" s="1"/>
      <c r="R4" s="1"/>
    </row>
    <row r="5" spans="1:20">
      <c r="A5" s="1"/>
      <c r="B5" s="1"/>
      <c r="C5" s="1"/>
      <c r="D5" s="1"/>
      <c r="E5" s="1"/>
      <c r="F5" s="1"/>
      <c r="G5" s="1"/>
      <c r="H5" s="1"/>
      <c r="I5" s="1"/>
      <c r="J5" s="1"/>
      <c r="K5" s="1"/>
      <c r="L5" s="1"/>
      <c r="M5" s="1"/>
      <c r="N5" s="1"/>
      <c r="O5" s="1"/>
      <c r="P5" s="1"/>
      <c r="Q5" s="1"/>
      <c r="R5" s="1"/>
    </row>
    <row r="6" spans="1:20">
      <c r="A6" s="1"/>
      <c r="B6" s="1"/>
      <c r="C6" s="1"/>
      <c r="D6" s="1"/>
      <c r="E6" s="1"/>
      <c r="F6" s="1"/>
      <c r="G6" s="1"/>
      <c r="H6" s="1"/>
      <c r="I6" s="1"/>
      <c r="J6" s="1"/>
      <c r="K6" s="1"/>
      <c r="L6" s="1"/>
      <c r="M6" s="1"/>
      <c r="N6" s="1"/>
      <c r="O6" s="1"/>
      <c r="P6" s="1"/>
      <c r="Q6" s="1"/>
      <c r="R6" s="1"/>
    </row>
    <row r="7" spans="1:20">
      <c r="A7" s="1"/>
      <c r="B7" s="1"/>
      <c r="C7" s="1"/>
      <c r="D7" s="1"/>
      <c r="E7" s="1"/>
      <c r="F7" s="1"/>
      <c r="G7" s="1"/>
      <c r="H7" s="1"/>
      <c r="I7" s="1"/>
      <c r="J7" s="1"/>
      <c r="K7" s="1"/>
      <c r="L7" s="1"/>
      <c r="M7" s="1"/>
      <c r="N7" s="1"/>
      <c r="O7" s="1"/>
      <c r="P7" s="1"/>
      <c r="Q7" s="1"/>
      <c r="R7" s="1"/>
    </row>
    <row r="8" spans="1:20">
      <c r="A8" s="1"/>
      <c r="B8" s="1"/>
      <c r="C8" s="1"/>
      <c r="D8" s="1"/>
      <c r="E8" s="1"/>
      <c r="F8" s="1"/>
      <c r="G8" s="1"/>
      <c r="H8" s="1"/>
      <c r="I8" s="1"/>
      <c r="J8" s="1"/>
      <c r="K8" s="1"/>
      <c r="L8" s="1"/>
      <c r="M8" s="1"/>
      <c r="N8" s="1"/>
      <c r="O8" s="1"/>
      <c r="P8" s="1"/>
      <c r="Q8" s="1"/>
      <c r="R8" s="1"/>
      <c r="T8" s="9" t="s">
        <v>1</v>
      </c>
    </row>
    <row r="9" spans="1:20">
      <c r="A9" s="1"/>
      <c r="B9" s="1"/>
      <c r="C9" s="1"/>
      <c r="D9" s="1"/>
      <c r="E9" s="1"/>
      <c r="F9" s="1"/>
      <c r="G9" s="1"/>
      <c r="H9" s="1"/>
      <c r="I9" s="1"/>
      <c r="J9" s="1"/>
      <c r="K9" s="1"/>
      <c r="L9" s="1"/>
      <c r="M9" s="1"/>
      <c r="N9" s="1"/>
      <c r="O9" s="1"/>
      <c r="P9" s="1"/>
      <c r="Q9" s="1"/>
      <c r="R9" s="1"/>
    </row>
    <row r="10" spans="1:20">
      <c r="A10" s="1"/>
      <c r="B10" s="1"/>
      <c r="C10" s="1"/>
      <c r="D10" s="1"/>
      <c r="E10" s="1"/>
      <c r="F10" s="1"/>
      <c r="G10" s="1"/>
      <c r="H10" s="1"/>
      <c r="I10" s="1"/>
      <c r="J10" s="1"/>
      <c r="K10" s="1"/>
      <c r="L10" s="1"/>
      <c r="M10" s="1"/>
      <c r="N10" s="1"/>
      <c r="O10" s="1"/>
      <c r="P10" s="1"/>
      <c r="Q10" s="1"/>
      <c r="R10" s="1"/>
    </row>
    <row r="11" spans="1:20">
      <c r="A11" s="1"/>
      <c r="B11" s="1"/>
      <c r="C11" s="1"/>
      <c r="D11" s="1"/>
      <c r="E11" s="1"/>
      <c r="F11" s="1"/>
      <c r="G11" s="1"/>
      <c r="H11" s="1"/>
      <c r="I11" s="1"/>
      <c r="J11" s="1"/>
      <c r="K11" s="1"/>
      <c r="L11" s="1"/>
      <c r="M11" s="1"/>
      <c r="N11" s="1"/>
      <c r="O11" s="1"/>
      <c r="P11" s="1"/>
      <c r="Q11" s="1"/>
      <c r="R11" s="1"/>
    </row>
    <row r="12" spans="1:20">
      <c r="A12" s="1"/>
      <c r="B12" s="1"/>
      <c r="C12" s="1"/>
      <c r="D12" s="1"/>
      <c r="E12" s="1"/>
      <c r="F12" s="1"/>
      <c r="G12" s="1"/>
      <c r="H12" s="1"/>
      <c r="I12" s="1"/>
      <c r="J12" s="1"/>
      <c r="K12" s="1"/>
      <c r="L12" s="1"/>
      <c r="M12" s="1"/>
      <c r="N12" s="1"/>
      <c r="O12" s="1"/>
      <c r="P12" s="1"/>
      <c r="Q12" s="1"/>
      <c r="R12" s="1"/>
    </row>
    <row r="13" spans="1:20">
      <c r="A13" s="1"/>
      <c r="B13" s="1"/>
      <c r="C13" s="1"/>
      <c r="D13" s="1"/>
      <c r="E13" s="1"/>
      <c r="F13" s="1"/>
      <c r="G13" s="1"/>
      <c r="H13" s="1"/>
      <c r="I13" s="1"/>
      <c r="J13" s="1"/>
      <c r="K13" s="1"/>
      <c r="L13" s="1"/>
      <c r="M13" s="1"/>
      <c r="N13" s="1"/>
      <c r="O13" s="1"/>
      <c r="P13" s="1"/>
      <c r="Q13" s="1"/>
      <c r="R13" s="1"/>
    </row>
    <row r="14" spans="1:20">
      <c r="A14" s="1"/>
      <c r="B14" s="1"/>
      <c r="C14" s="1"/>
      <c r="D14" s="1"/>
      <c r="E14" s="1"/>
      <c r="F14" s="1"/>
      <c r="G14" s="1"/>
      <c r="H14" s="1"/>
      <c r="I14" s="1"/>
      <c r="J14" s="1"/>
      <c r="K14" s="1"/>
      <c r="L14" s="1"/>
      <c r="M14" s="1"/>
      <c r="N14" s="1"/>
      <c r="O14" s="1"/>
      <c r="P14" s="1"/>
      <c r="Q14" s="1"/>
      <c r="R14" s="1"/>
    </row>
    <row r="15" spans="1:20">
      <c r="A15" s="1"/>
      <c r="B15" s="1"/>
      <c r="C15" s="1"/>
      <c r="D15" s="1"/>
      <c r="E15" s="1"/>
      <c r="F15" s="1"/>
      <c r="G15" s="1"/>
      <c r="H15" s="1"/>
      <c r="I15" s="1"/>
      <c r="J15" s="1"/>
      <c r="K15" s="1"/>
      <c r="L15" s="1"/>
      <c r="M15" s="1"/>
      <c r="N15" s="1"/>
      <c r="O15" s="1"/>
      <c r="P15" s="1"/>
      <c r="Q15" s="1"/>
      <c r="R15" s="1"/>
    </row>
    <row r="16" spans="1:20">
      <c r="A16" s="1"/>
      <c r="B16" s="1"/>
      <c r="C16" s="1"/>
      <c r="D16" s="1"/>
      <c r="E16" s="1"/>
      <c r="F16" s="1"/>
      <c r="G16" s="1"/>
      <c r="H16" s="1"/>
      <c r="I16" s="1"/>
      <c r="J16" s="1"/>
      <c r="K16" s="1"/>
      <c r="L16" s="1"/>
      <c r="M16" s="1"/>
      <c r="N16" s="1"/>
      <c r="O16" s="1"/>
      <c r="P16" s="1"/>
      <c r="Q16" s="1"/>
      <c r="R16" s="1"/>
    </row>
    <row r="17" spans="1:18">
      <c r="A17" s="1"/>
      <c r="B17" s="1"/>
      <c r="C17" s="1"/>
      <c r="D17" s="1"/>
      <c r="E17" s="1"/>
      <c r="F17" s="1"/>
      <c r="G17" s="1"/>
      <c r="H17" s="1"/>
      <c r="I17" s="1"/>
      <c r="J17" s="1"/>
      <c r="K17" s="1"/>
      <c r="L17" s="1"/>
      <c r="M17" s="1"/>
      <c r="N17" s="1"/>
      <c r="O17" s="1"/>
      <c r="P17" s="1"/>
      <c r="Q17" s="1"/>
      <c r="R17" s="1"/>
    </row>
    <row r="18" spans="1:18">
      <c r="A18" s="1"/>
      <c r="B18" s="1"/>
      <c r="C18" s="1"/>
      <c r="D18" s="1"/>
      <c r="E18" s="1"/>
      <c r="F18" s="1"/>
      <c r="G18" s="1"/>
      <c r="H18" s="1"/>
      <c r="I18" s="1"/>
      <c r="J18" s="1"/>
      <c r="K18" s="1"/>
      <c r="L18" s="1"/>
      <c r="M18" s="1"/>
      <c r="N18" s="1"/>
      <c r="O18" s="1"/>
      <c r="P18" s="1"/>
      <c r="Q18" s="1"/>
      <c r="R18" s="1"/>
    </row>
    <row r="19" spans="1:18">
      <c r="A19" s="1"/>
      <c r="B19" s="1"/>
      <c r="C19" s="1"/>
      <c r="D19" s="1"/>
      <c r="E19" s="1"/>
      <c r="F19" s="1"/>
      <c r="G19" s="1"/>
      <c r="H19" s="1"/>
      <c r="I19" s="1"/>
      <c r="J19" s="1"/>
      <c r="K19" s="1"/>
      <c r="L19" s="1"/>
      <c r="M19" s="1"/>
      <c r="N19" s="1"/>
      <c r="O19" s="1"/>
      <c r="P19" s="1"/>
      <c r="Q19" s="1"/>
      <c r="R19" s="1"/>
    </row>
    <row r="20" spans="1:18">
      <c r="A20" s="1"/>
      <c r="B20" s="1"/>
      <c r="C20" s="1"/>
      <c r="D20" s="1"/>
      <c r="E20" s="1"/>
      <c r="F20" s="1"/>
      <c r="G20" s="1"/>
      <c r="H20" s="1"/>
      <c r="I20" s="1"/>
      <c r="J20" s="1"/>
      <c r="K20" s="1"/>
      <c r="L20" s="1"/>
      <c r="M20" s="1"/>
      <c r="N20" s="1"/>
      <c r="O20" s="1"/>
      <c r="P20" s="1"/>
      <c r="Q20" s="1"/>
      <c r="R20" s="1"/>
    </row>
    <row r="21" spans="1:18">
      <c r="A21" s="1"/>
      <c r="B21" s="1"/>
      <c r="C21" s="1"/>
      <c r="D21" s="1"/>
      <c r="E21" s="1"/>
      <c r="F21" s="1"/>
      <c r="G21" s="1"/>
      <c r="H21" s="1"/>
      <c r="I21" s="1"/>
      <c r="J21" s="1"/>
      <c r="K21" s="1"/>
      <c r="L21" s="1"/>
      <c r="M21" s="1"/>
      <c r="N21" s="1"/>
      <c r="O21" s="1"/>
      <c r="P21" s="1"/>
      <c r="Q21" s="1"/>
      <c r="R21" s="1"/>
    </row>
    <row r="22" spans="1:18">
      <c r="A22" s="1"/>
      <c r="B22" s="1"/>
      <c r="C22" s="1"/>
      <c r="D22" s="1"/>
      <c r="E22" s="1"/>
      <c r="F22" s="1"/>
      <c r="G22" s="1"/>
      <c r="H22" s="1"/>
      <c r="I22" s="1"/>
      <c r="J22" s="1"/>
      <c r="K22" s="1"/>
      <c r="L22" s="1"/>
      <c r="M22" s="1"/>
      <c r="N22" s="1"/>
      <c r="O22" s="1"/>
      <c r="P22" s="1"/>
      <c r="Q22" s="1"/>
      <c r="R22" s="1"/>
    </row>
    <row r="23" spans="1:18">
      <c r="A23" s="1"/>
      <c r="B23" s="1"/>
      <c r="C23" s="1"/>
      <c r="D23" s="1"/>
      <c r="E23" s="1"/>
      <c r="F23" s="1"/>
      <c r="G23" s="1"/>
      <c r="H23" s="1"/>
      <c r="I23" s="1"/>
      <c r="J23" s="1"/>
      <c r="K23" s="1"/>
      <c r="L23" s="1"/>
      <c r="M23" s="1"/>
      <c r="N23" s="1"/>
      <c r="O23" s="1"/>
      <c r="P23" s="1"/>
      <c r="Q23" s="1"/>
      <c r="R23" s="1"/>
    </row>
    <row r="24" spans="1:18" ht="51" customHeight="1" thickBot="1">
      <c r="A24" s="84"/>
      <c r="B24" s="428" t="s">
        <v>263</v>
      </c>
      <c r="C24" s="428"/>
      <c r="D24" s="428"/>
      <c r="E24" s="428"/>
      <c r="F24" s="428"/>
      <c r="G24" s="428"/>
      <c r="H24" s="428"/>
      <c r="I24" s="428"/>
      <c r="J24" s="428"/>
      <c r="K24" s="428"/>
      <c r="L24" s="428"/>
      <c r="M24" s="428"/>
      <c r="N24" s="428"/>
      <c r="O24" s="428"/>
      <c r="P24" s="428"/>
      <c r="Q24" s="428"/>
      <c r="R24" s="84"/>
    </row>
    <row r="25" spans="1:18" ht="18.75" customHeight="1" thickTop="1">
      <c r="A25" s="1"/>
      <c r="B25" s="133"/>
      <c r="C25" s="133"/>
      <c r="D25" s="133"/>
      <c r="E25" s="133"/>
      <c r="F25" s="133"/>
      <c r="G25" s="133"/>
      <c r="H25" s="133"/>
      <c r="I25" s="133"/>
      <c r="J25" s="133"/>
      <c r="K25" s="133"/>
      <c r="L25" s="133"/>
      <c r="M25" s="133"/>
      <c r="N25" s="133"/>
      <c r="O25" s="133"/>
      <c r="P25" s="133"/>
      <c r="Q25" s="133"/>
      <c r="R25" s="1"/>
    </row>
    <row r="26" spans="1:18" ht="18.75" customHeight="1">
      <c r="A26" s="1"/>
      <c r="B26" s="133"/>
      <c r="C26" s="133"/>
      <c r="D26" s="133"/>
      <c r="E26" s="1"/>
      <c r="F26" s="1"/>
      <c r="G26" s="200"/>
      <c r="H26" s="200"/>
      <c r="I26" s="435" t="s">
        <v>404</v>
      </c>
      <c r="J26" s="435"/>
      <c r="K26" s="133"/>
      <c r="L26" s="133"/>
      <c r="M26" s="133"/>
      <c r="N26" s="133"/>
      <c r="O26" s="133"/>
      <c r="P26" s="133"/>
      <c r="Q26" s="133"/>
      <c r="R26" s="1"/>
    </row>
    <row r="27" spans="1:18" ht="33.75" customHeight="1">
      <c r="A27" s="1"/>
      <c r="B27" s="133"/>
      <c r="C27" s="133"/>
      <c r="D27" s="133"/>
      <c r="E27" s="1"/>
      <c r="F27" s="1"/>
      <c r="G27" s="199"/>
      <c r="H27" s="199"/>
      <c r="I27" s="123" t="s">
        <v>403</v>
      </c>
      <c r="J27" s="123" t="s">
        <v>16</v>
      </c>
      <c r="K27" s="133"/>
      <c r="L27" s="133"/>
      <c r="M27" s="133"/>
      <c r="N27" s="133"/>
      <c r="O27" s="133"/>
      <c r="P27" s="133"/>
      <c r="Q27" s="133"/>
      <c r="R27" s="1"/>
    </row>
    <row r="28" spans="1:18" ht="18.75" customHeight="1">
      <c r="A28" s="1"/>
      <c r="B28" s="133"/>
      <c r="C28" s="133"/>
      <c r="D28" s="133"/>
      <c r="E28" s="1"/>
      <c r="F28" s="1"/>
      <c r="G28" s="133" t="str">
        <f>G33</f>
        <v>Panama</v>
      </c>
      <c r="H28" s="133"/>
      <c r="I28" s="198">
        <f>C40</f>
        <v>10</v>
      </c>
      <c r="J28" s="190">
        <f>G40</f>
        <v>16.2</v>
      </c>
      <c r="K28" s="133"/>
      <c r="L28" s="133"/>
      <c r="M28" s="133"/>
      <c r="N28" s="133"/>
      <c r="O28" s="133"/>
      <c r="P28" s="133"/>
      <c r="Q28" s="133"/>
      <c r="R28" s="1"/>
    </row>
    <row r="29" spans="1:18" ht="18.75" customHeight="1">
      <c r="A29" s="1"/>
      <c r="B29" s="133"/>
      <c r="C29" s="133"/>
      <c r="D29" s="133"/>
      <c r="E29" s="1"/>
      <c r="F29" s="1"/>
      <c r="G29" s="199" t="s">
        <v>60</v>
      </c>
      <c r="H29" s="199"/>
      <c r="I29" s="123">
        <v>9.6</v>
      </c>
      <c r="J29" s="123">
        <v>16.600000000000001</v>
      </c>
      <c r="K29" s="133"/>
      <c r="L29" s="133"/>
      <c r="M29" s="133"/>
      <c r="N29" s="133"/>
      <c r="O29" s="133"/>
      <c r="P29" s="133"/>
      <c r="Q29" s="133"/>
      <c r="R29" s="1"/>
    </row>
    <row r="30" spans="1:18" ht="18.75" customHeight="1">
      <c r="A30" s="1"/>
      <c r="B30" s="133"/>
      <c r="C30" s="133"/>
      <c r="D30" s="133"/>
      <c r="E30" s="133"/>
      <c r="F30" s="133"/>
      <c r="G30" s="133"/>
      <c r="H30" s="133"/>
      <c r="I30" s="1"/>
      <c r="J30" s="1"/>
      <c r="K30" s="133"/>
      <c r="L30" s="133"/>
      <c r="M30" s="133"/>
      <c r="N30" s="133"/>
      <c r="O30" s="133"/>
      <c r="P30" s="133"/>
      <c r="Q30" s="133"/>
      <c r="R30" s="1"/>
    </row>
    <row r="31" spans="1:18">
      <c r="A31" s="1"/>
      <c r="B31" s="1"/>
      <c r="C31" s="1"/>
      <c r="D31" s="1"/>
      <c r="E31" s="1"/>
      <c r="F31" s="1"/>
      <c r="G31" s="1"/>
      <c r="H31" s="1"/>
      <c r="I31" s="1"/>
      <c r="J31" s="1"/>
      <c r="K31" s="1"/>
      <c r="L31" s="1"/>
      <c r="M31" s="1"/>
      <c r="N31" s="1"/>
      <c r="O31" s="1"/>
      <c r="P31" s="1"/>
      <c r="Q31" s="1"/>
      <c r="R31" s="1"/>
    </row>
    <row r="33" spans="2:14" hidden="1">
      <c r="D33" s="413" t="s">
        <v>73</v>
      </c>
      <c r="E33" s="413"/>
      <c r="F33" s="413"/>
      <c r="G33" s="413" t="str">
        <f>'Country Selection'!C5</f>
        <v>Panama</v>
      </c>
      <c r="H33" s="413"/>
      <c r="I33" s="413"/>
      <c r="J33" s="413"/>
    </row>
    <row r="35" spans="2:14" ht="0.5" customHeight="1">
      <c r="B35" s="9" t="s">
        <v>264</v>
      </c>
      <c r="C35" s="9" t="s">
        <v>265</v>
      </c>
      <c r="F35" s="9" t="s">
        <v>264</v>
      </c>
      <c r="G35" s="9" t="s">
        <v>266</v>
      </c>
    </row>
    <row r="36" spans="2:14" ht="0.5" customHeight="1">
      <c r="B36" s="9" t="s">
        <v>267</v>
      </c>
      <c r="C36" s="128">
        <v>6.2125000000000004</v>
      </c>
      <c r="F36" s="9" t="s">
        <v>267</v>
      </c>
      <c r="G36" s="9">
        <v>9.1</v>
      </c>
    </row>
    <row r="37" spans="2:14" ht="0.5" customHeight="1">
      <c r="B37" s="9" t="s">
        <v>268</v>
      </c>
      <c r="C37" s="128">
        <v>7.67143</v>
      </c>
      <c r="F37" s="9" t="s">
        <v>115</v>
      </c>
      <c r="G37" s="9">
        <v>10.8185</v>
      </c>
      <c r="H37" s="63"/>
      <c r="I37" s="63"/>
      <c r="J37" s="63"/>
      <c r="K37" s="414"/>
      <c r="L37" s="414"/>
      <c r="M37" s="414"/>
      <c r="N37" s="414"/>
    </row>
    <row r="38" spans="2:14" ht="0.5" customHeight="1">
      <c r="B38" s="9" t="s">
        <v>269</v>
      </c>
      <c r="C38" s="128">
        <v>8.3000000000000007</v>
      </c>
      <c r="F38" s="9" t="s">
        <v>269</v>
      </c>
      <c r="G38" s="63">
        <v>11.3188</v>
      </c>
    </row>
    <row r="39" spans="2:14" ht="0.5" customHeight="1">
      <c r="B39" s="9" t="s">
        <v>270</v>
      </c>
      <c r="C39" s="128">
        <v>9.4076900000000006</v>
      </c>
      <c r="F39" s="9" t="s">
        <v>270</v>
      </c>
      <c r="G39" s="9">
        <v>14.7583</v>
      </c>
    </row>
    <row r="40" spans="2:14" ht="0.5" customHeight="1">
      <c r="B40" s="9" t="str">
        <f>G33</f>
        <v>Panama</v>
      </c>
      <c r="C40" s="128">
        <f>IFERROR(VLOOKUP(B40,B48:C69,2,FALSE),"")</f>
        <v>10</v>
      </c>
      <c r="F40" s="9" t="str">
        <f>G33</f>
        <v>Panama</v>
      </c>
      <c r="G40" s="9">
        <f>IFERROR(VLOOKUP(F40,F48:G69,2,FALSE),"")</f>
        <v>16.2</v>
      </c>
    </row>
    <row r="41" spans="2:14" ht="0.5" customHeight="1">
      <c r="B41" s="9" t="s">
        <v>471</v>
      </c>
      <c r="C41" s="128">
        <v>9.6</v>
      </c>
      <c r="F41" s="9" t="s">
        <v>471</v>
      </c>
      <c r="G41" s="9">
        <f>J29</f>
        <v>16.600000000000001</v>
      </c>
    </row>
    <row r="42" spans="2:14" ht="0.5" customHeight="1">
      <c r="B42" s="9" t="s">
        <v>115</v>
      </c>
      <c r="C42" s="128">
        <v>9.7793100000000006</v>
      </c>
      <c r="F42" s="9" t="s">
        <v>268</v>
      </c>
      <c r="G42" s="9">
        <v>17.36</v>
      </c>
    </row>
    <row r="43" spans="2:14" ht="0.5" customHeight="1">
      <c r="B43" s="9" t="s">
        <v>272</v>
      </c>
      <c r="C43" s="128">
        <v>12.363</v>
      </c>
      <c r="F43" s="9" t="s">
        <v>272</v>
      </c>
      <c r="G43" s="9">
        <v>21.695699999999999</v>
      </c>
    </row>
    <row r="44" spans="2:14" ht="0.5" customHeight="1"/>
    <row r="45" spans="2:14" ht="0.5" customHeight="1"/>
    <row r="46" spans="2:14" ht="0.5" customHeight="1"/>
    <row r="47" spans="2:14" ht="0.5" customHeight="1">
      <c r="B47" s="9" t="s">
        <v>61</v>
      </c>
      <c r="C47" s="9" t="s">
        <v>265</v>
      </c>
      <c r="F47" s="9" t="s">
        <v>61</v>
      </c>
      <c r="G47" s="9" t="s">
        <v>266</v>
      </c>
    </row>
    <row r="48" spans="2:14" ht="0.5" customHeight="1">
      <c r="B48" s="9" t="s">
        <v>36</v>
      </c>
      <c r="C48" s="9">
        <v>8.8000000000000007</v>
      </c>
      <c r="F48" s="9" t="s">
        <v>36</v>
      </c>
      <c r="G48" s="9">
        <v>12</v>
      </c>
    </row>
    <row r="49" spans="2:7" ht="0.5" customHeight="1">
      <c r="B49" s="9" t="s">
        <v>39</v>
      </c>
      <c r="C49" s="9">
        <v>7.3</v>
      </c>
      <c r="F49" s="9" t="s">
        <v>39</v>
      </c>
      <c r="G49" s="9">
        <v>13.6</v>
      </c>
    </row>
    <row r="50" spans="2:7" ht="0.5" customHeight="1">
      <c r="B50" s="9" t="s">
        <v>40</v>
      </c>
      <c r="C50" s="9">
        <v>10.5</v>
      </c>
      <c r="F50" s="9" t="s">
        <v>40</v>
      </c>
      <c r="G50" s="9">
        <v>17.3</v>
      </c>
    </row>
    <row r="51" spans="2:7" ht="0.5" customHeight="1">
      <c r="B51" s="9" t="s">
        <v>41</v>
      </c>
      <c r="C51" s="9">
        <v>12.3</v>
      </c>
      <c r="F51" s="9" t="s">
        <v>41</v>
      </c>
      <c r="G51" s="9">
        <v>17.600000000000001</v>
      </c>
    </row>
    <row r="52" spans="2:7" ht="0.5" customHeight="1">
      <c r="B52" s="9" t="s">
        <v>42</v>
      </c>
      <c r="C52" s="9">
        <v>11</v>
      </c>
      <c r="F52" s="9" t="s">
        <v>42</v>
      </c>
      <c r="G52" s="9">
        <v>19.600000000000001</v>
      </c>
    </row>
    <row r="53" spans="2:7" ht="0.5" customHeight="1">
      <c r="B53" s="9" t="s">
        <v>43</v>
      </c>
      <c r="C53" s="9">
        <v>10.7</v>
      </c>
      <c r="F53" s="9" t="s">
        <v>43</v>
      </c>
      <c r="G53" s="9">
        <v>19.5</v>
      </c>
    </row>
    <row r="54" spans="2:7" ht="0.5" customHeight="1">
      <c r="B54" s="9" t="s">
        <v>113</v>
      </c>
      <c r="C54" s="9">
        <v>9.4</v>
      </c>
      <c r="F54" s="9" t="s">
        <v>113</v>
      </c>
      <c r="G54" s="9">
        <v>15.8</v>
      </c>
    </row>
    <row r="55" spans="2:7" ht="0.5" customHeight="1">
      <c r="B55" s="9" t="s">
        <v>45</v>
      </c>
      <c r="C55" s="9">
        <v>7.2</v>
      </c>
      <c r="F55" s="9" t="s">
        <v>45</v>
      </c>
      <c r="G55" s="9">
        <v>12.3</v>
      </c>
    </row>
    <row r="56" spans="2:7" ht="0.5" customHeight="1">
      <c r="B56" s="9" t="s">
        <v>46</v>
      </c>
      <c r="C56" s="9">
        <v>9.3000000000000007</v>
      </c>
      <c r="F56" s="9" t="s">
        <v>46</v>
      </c>
      <c r="G56" s="9">
        <v>18.8</v>
      </c>
    </row>
    <row r="57" spans="2:7" ht="0.5" customHeight="1">
      <c r="B57" s="9" t="s">
        <v>47</v>
      </c>
      <c r="C57" s="9">
        <v>10</v>
      </c>
      <c r="F57" s="9" t="s">
        <v>47</v>
      </c>
      <c r="G57" s="9">
        <v>19.5</v>
      </c>
    </row>
    <row r="58" spans="2:7" ht="0.5" customHeight="1">
      <c r="B58" s="9" t="s">
        <v>70</v>
      </c>
      <c r="C58" s="9">
        <v>8.3000000000000007</v>
      </c>
      <c r="F58" s="9" t="s">
        <v>70</v>
      </c>
      <c r="G58" s="9">
        <v>18.399999999999999</v>
      </c>
    </row>
    <row r="59" spans="2:7" ht="0.5" customHeight="1">
      <c r="B59" s="9" t="s">
        <v>50</v>
      </c>
      <c r="C59" s="9">
        <v>12.4</v>
      </c>
      <c r="F59" s="9" t="s">
        <v>50</v>
      </c>
      <c r="G59" s="9">
        <v>19.8</v>
      </c>
    </row>
    <row r="60" spans="2:7" ht="0.5" customHeight="1">
      <c r="B60" s="9" t="s">
        <v>71</v>
      </c>
      <c r="C60" s="9">
        <v>10.3</v>
      </c>
      <c r="F60" s="9" t="s">
        <v>71</v>
      </c>
      <c r="G60" s="9">
        <v>22</v>
      </c>
    </row>
    <row r="61" spans="2:7" ht="0.5" customHeight="1">
      <c r="B61" s="9" t="s">
        <v>52</v>
      </c>
      <c r="C61" s="9">
        <v>10.1</v>
      </c>
      <c r="F61" s="9" t="s">
        <v>52</v>
      </c>
      <c r="G61" s="9">
        <v>20.7</v>
      </c>
    </row>
    <row r="62" spans="2:7" ht="0.5" customHeight="1">
      <c r="B62" s="9" t="s">
        <v>53</v>
      </c>
      <c r="C62" s="9">
        <v>6</v>
      </c>
      <c r="F62" s="9" t="s">
        <v>53</v>
      </c>
      <c r="G62" s="9">
        <v>14.5</v>
      </c>
    </row>
    <row r="63" spans="2:7" ht="0.5" customHeight="1">
      <c r="B63" s="9" t="s">
        <v>54</v>
      </c>
      <c r="C63" s="9">
        <v>10</v>
      </c>
      <c r="F63" s="9" t="s">
        <v>54</v>
      </c>
      <c r="G63" s="9">
        <v>16.2</v>
      </c>
    </row>
    <row r="64" spans="2:7" ht="0.5" customHeight="1">
      <c r="B64" s="9" t="s">
        <v>55</v>
      </c>
      <c r="C64" s="9">
        <v>9.3000000000000007</v>
      </c>
      <c r="F64" s="9" t="s">
        <v>55</v>
      </c>
      <c r="G64" s="9">
        <v>16</v>
      </c>
    </row>
    <row r="65" spans="2:7" ht="0.5" customHeight="1">
      <c r="B65" s="9" t="s">
        <v>56</v>
      </c>
      <c r="C65" s="9">
        <v>8.1</v>
      </c>
      <c r="F65" s="9" t="s">
        <v>56</v>
      </c>
      <c r="G65" s="9">
        <v>10.4</v>
      </c>
    </row>
    <row r="66" spans="2:7" ht="0.5" customHeight="1">
      <c r="B66" s="9" t="s">
        <v>273</v>
      </c>
      <c r="C66" s="9">
        <v>12.6</v>
      </c>
      <c r="F66" s="9" t="s">
        <v>273</v>
      </c>
      <c r="G66" s="9">
        <v>16.3</v>
      </c>
    </row>
    <row r="67" spans="2:7" ht="0.5" customHeight="1">
      <c r="B67" s="9" t="s">
        <v>58</v>
      </c>
      <c r="C67" s="9">
        <v>9.8000000000000007</v>
      </c>
      <c r="F67" s="9" t="s">
        <v>58</v>
      </c>
      <c r="G67" s="9">
        <v>15.7</v>
      </c>
    </row>
    <row r="68" spans="2:7" ht="0.5" customHeight="1">
      <c r="B68" s="9" t="s">
        <v>274</v>
      </c>
      <c r="C68" s="9">
        <v>7.3</v>
      </c>
      <c r="F68" s="9" t="s">
        <v>274</v>
      </c>
      <c r="G68" s="9">
        <v>12.6</v>
      </c>
    </row>
    <row r="69" spans="2:7" ht="0.5" customHeight="1">
      <c r="B69" s="9" t="s">
        <v>271</v>
      </c>
      <c r="C69" s="128">
        <v>9.5571400000000004</v>
      </c>
      <c r="F69" s="9" t="s">
        <v>271</v>
      </c>
      <c r="G69" s="9">
        <v>16.600000000000001</v>
      </c>
    </row>
    <row r="70" spans="2:7" ht="0.5" customHeight="1"/>
    <row r="71" spans="2:7" ht="0.5" customHeight="1"/>
    <row r="72" spans="2:7" ht="0.5" customHeight="1"/>
    <row r="73" spans="2:7" ht="0.5" customHeight="1"/>
    <row r="74" spans="2:7" ht="0.5" customHeight="1"/>
    <row r="75" spans="2:7" ht="0.5" customHeight="1"/>
    <row r="76" spans="2:7" ht="0.5" customHeight="1"/>
    <row r="77" spans="2:7" ht="0.5" customHeight="1"/>
    <row r="78" spans="2:7" ht="0.5" customHeight="1"/>
    <row r="79" spans="2:7" ht="0.5" customHeight="1"/>
    <row r="80" spans="2:7" ht="0.5" customHeight="1"/>
    <row r="81" ht="0.5" customHeight="1"/>
    <row r="82" ht="0.5" customHeight="1"/>
    <row r="83" ht="0.5" customHeight="1"/>
    <row r="84" ht="0.5" customHeight="1"/>
    <row r="85" ht="0.5" customHeight="1"/>
    <row r="86" ht="0.5" customHeight="1"/>
    <row r="87" ht="0.5" customHeight="1"/>
    <row r="88" ht="0.5" customHeight="1"/>
    <row r="89" ht="0.5" customHeight="1"/>
    <row r="90" ht="0.5" customHeight="1"/>
    <row r="91" ht="0.5" customHeight="1"/>
    <row r="92" ht="0.5" customHeight="1"/>
    <row r="93" ht="0.5" customHeight="1"/>
    <row r="94" ht="0.5" customHeight="1"/>
    <row r="95" ht="0.5" customHeight="1"/>
    <row r="96" ht="0.5" customHeight="1"/>
    <row r="97" ht="0.5" customHeight="1"/>
    <row r="98" ht="0.5" customHeight="1"/>
    <row r="99" ht="0.5" customHeight="1"/>
    <row r="100" ht="0.5" customHeight="1"/>
    <row r="101" ht="0.5" customHeight="1"/>
    <row r="102" ht="0.5" customHeight="1"/>
    <row r="103" ht="0.5" customHeight="1"/>
    <row r="104" ht="0.5" customHeight="1"/>
    <row r="105" ht="0.5" customHeight="1"/>
    <row r="106" ht="0.5" customHeight="1"/>
    <row r="107" ht="0.5" customHeight="1"/>
    <row r="108" ht="0.5" customHeight="1"/>
    <row r="109" ht="0.5" customHeight="1"/>
    <row r="110" ht="0.5" customHeight="1"/>
    <row r="111" ht="0.5" customHeight="1"/>
    <row r="112" ht="0.5" customHeight="1"/>
    <row r="113" ht="0.5" customHeight="1"/>
    <row r="114" ht="0.5" customHeight="1"/>
    <row r="115" ht="0.5" customHeight="1"/>
    <row r="116" ht="0.5" customHeight="1"/>
    <row r="117" ht="0.5" customHeight="1"/>
    <row r="118" ht="0.5" customHeight="1"/>
    <row r="119" ht="0.5" customHeight="1"/>
    <row r="120" ht="0.5" customHeight="1"/>
    <row r="121" ht="0.5" customHeight="1"/>
    <row r="122" ht="0.5" customHeight="1"/>
    <row r="123" ht="0.5" customHeight="1"/>
    <row r="124" ht="0.5" customHeight="1"/>
    <row r="125" ht="0.5" customHeight="1"/>
    <row r="126" ht="0.5" customHeight="1"/>
    <row r="127" ht="0.5" customHeight="1"/>
    <row r="128" ht="0.5" customHeight="1"/>
    <row r="129" ht="0.5" customHeight="1"/>
    <row r="130" ht="0.5" customHeight="1"/>
    <row r="131" ht="0.5" customHeight="1"/>
    <row r="132" ht="0.5" customHeight="1"/>
    <row r="133" ht="0.5" customHeight="1"/>
    <row r="134" ht="0.5" customHeight="1"/>
    <row r="135" ht="0.5" customHeight="1"/>
    <row r="136" ht="0.5" customHeight="1"/>
    <row r="137" ht="0.5" customHeight="1"/>
    <row r="138" ht="0.5" customHeight="1"/>
    <row r="139" ht="0.5" customHeight="1"/>
    <row r="140" ht="0.5" customHeight="1"/>
    <row r="141" ht="0.5" customHeight="1"/>
    <row r="142" ht="0.5" customHeight="1"/>
    <row r="143" ht="0.5" customHeight="1"/>
    <row r="144" ht="0.5" customHeight="1"/>
    <row r="145" ht="0.5" customHeight="1"/>
    <row r="146" ht="0.5" customHeight="1"/>
    <row r="147" ht="0.5" customHeight="1"/>
    <row r="148" ht="0.5" customHeight="1"/>
    <row r="149" ht="0.5" customHeight="1"/>
    <row r="150" ht="0.5" customHeight="1"/>
    <row r="151" ht="0.5" customHeight="1"/>
    <row r="152" ht="0.5" customHeight="1"/>
    <row r="153" ht="0.5" customHeight="1"/>
    <row r="154" ht="0.5" customHeight="1"/>
    <row r="155" ht="0.5" customHeight="1"/>
    <row r="156" ht="0.5" customHeight="1"/>
    <row r="157" ht="0.5" customHeight="1"/>
    <row r="158" ht="0.5" customHeight="1"/>
    <row r="159" ht="0.5" customHeight="1"/>
    <row r="160" ht="0.5" customHeight="1"/>
    <row r="161" ht="0.5" customHeight="1"/>
    <row r="162" ht="0.5" customHeight="1"/>
    <row r="163" ht="0.5" customHeight="1"/>
    <row r="164" ht="0.5" customHeight="1"/>
    <row r="165" ht="0.5" customHeight="1"/>
    <row r="166" ht="0.5" customHeight="1"/>
    <row r="167" ht="0.5" customHeight="1"/>
    <row r="168" ht="0.5" customHeight="1"/>
    <row r="169" ht="0.5" customHeight="1"/>
    <row r="170" ht="0.5" customHeight="1"/>
    <row r="171" ht="0.5" customHeight="1"/>
    <row r="172" ht="0.5" customHeight="1"/>
    <row r="173" ht="0.5" customHeight="1"/>
    <row r="174" ht="0.5" customHeight="1"/>
    <row r="175" ht="0.5" customHeight="1"/>
    <row r="176" ht="0.5" customHeight="1"/>
    <row r="177" ht="0.5" customHeight="1"/>
    <row r="178" ht="0.5" customHeight="1"/>
    <row r="179" ht="0.5" customHeight="1"/>
    <row r="180" ht="0.5" customHeight="1"/>
    <row r="181" ht="0.5" customHeight="1"/>
    <row r="182" ht="0.5" customHeight="1"/>
    <row r="183" ht="0.5" customHeight="1"/>
    <row r="184" ht="0.5" customHeight="1"/>
    <row r="185" ht="0.5" customHeight="1"/>
    <row r="186" ht="0.5" customHeight="1"/>
    <row r="187" ht="0.5" customHeight="1"/>
    <row r="188" ht="0.5" customHeight="1"/>
    <row r="189" ht="0.5" customHeight="1"/>
    <row r="190" ht="0.5" customHeight="1"/>
    <row r="191" ht="0.5" customHeight="1"/>
    <row r="192" ht="0.5" customHeight="1"/>
    <row r="193" ht="0.5" customHeight="1"/>
    <row r="194" ht="0.5" customHeight="1"/>
    <row r="195" ht="0.5" customHeight="1"/>
    <row r="196" ht="0.5" customHeight="1"/>
    <row r="197" ht="0.5" customHeight="1"/>
    <row r="198" ht="0.5" customHeight="1"/>
    <row r="199" ht="0.5" customHeight="1"/>
    <row r="200" ht="0.5" customHeight="1"/>
    <row r="201" ht="0.5" customHeight="1"/>
    <row r="202" ht="0.5" customHeight="1"/>
    <row r="203" ht="0.5" customHeight="1"/>
    <row r="204" ht="0.5" customHeight="1"/>
    <row r="205" ht="0.5" customHeight="1"/>
    <row r="206" ht="0.5" customHeight="1"/>
    <row r="207" ht="0.5" customHeight="1"/>
    <row r="208" ht="0.5" customHeight="1"/>
    <row r="209" ht="0.5" customHeight="1"/>
    <row r="210" ht="0.5" customHeight="1"/>
    <row r="211" ht="0.5" customHeight="1"/>
    <row r="212" ht="0.5" customHeight="1"/>
    <row r="213" ht="0.5" customHeight="1"/>
    <row r="214" ht="0.5" customHeight="1"/>
    <row r="215" ht="0.5" customHeight="1"/>
    <row r="216" ht="0.5" customHeight="1"/>
    <row r="217" ht="0.5" customHeight="1"/>
    <row r="218" ht="0.5" customHeight="1"/>
    <row r="219" ht="0.5" customHeight="1"/>
    <row r="220" ht="0.5" customHeight="1"/>
    <row r="221" ht="0.5" customHeight="1"/>
    <row r="222" ht="0.5" customHeight="1"/>
    <row r="223" ht="0.5" customHeight="1"/>
    <row r="224" ht="0.5" customHeight="1"/>
    <row r="225" ht="0.5" customHeight="1"/>
    <row r="226" ht="0.5" customHeight="1"/>
    <row r="227" ht="0.5" customHeight="1"/>
    <row r="228" ht="0.5" customHeight="1"/>
    <row r="229" ht="0.5" customHeight="1"/>
    <row r="230" ht="0.5" customHeight="1"/>
    <row r="231" ht="0.5" customHeight="1"/>
    <row r="232" ht="0.5" customHeight="1"/>
    <row r="233" ht="0.5" customHeight="1"/>
    <row r="234" ht="0.5" customHeight="1"/>
    <row r="235" ht="0.5" customHeight="1"/>
    <row r="236" ht="0.5" customHeight="1"/>
    <row r="237" ht="0.5" customHeight="1"/>
    <row r="238" ht="0.5" customHeight="1"/>
    <row r="239" ht="0.5" customHeight="1"/>
    <row r="240" ht="0.5" customHeight="1"/>
    <row r="241" ht="0.5" customHeight="1"/>
    <row r="242" ht="0.5" customHeight="1"/>
    <row r="243" ht="0.5" customHeight="1"/>
    <row r="244" ht="0.5" customHeight="1"/>
    <row r="245" ht="0.5" customHeight="1"/>
    <row r="246" ht="0.5" customHeight="1"/>
    <row r="247" ht="0.5" customHeight="1"/>
    <row r="248" ht="0.5" customHeight="1"/>
    <row r="249" ht="0.5" customHeight="1"/>
    <row r="250" ht="0.5" customHeight="1"/>
    <row r="251" ht="0.5" customHeight="1"/>
    <row r="252" ht="0.5" customHeight="1"/>
    <row r="253" ht="0.5" customHeight="1"/>
    <row r="254" ht="0.5" customHeight="1"/>
    <row r="255" ht="0.5" customHeight="1"/>
    <row r="256" ht="0.5" customHeight="1"/>
    <row r="257" ht="0.5" customHeight="1"/>
    <row r="258" ht="0.5" customHeight="1"/>
    <row r="259" ht="0.5" customHeight="1"/>
    <row r="260" ht="0.5" customHeight="1"/>
    <row r="261" ht="0.5" customHeight="1"/>
    <row r="262" ht="0.5" customHeight="1"/>
    <row r="263" ht="0.5" customHeight="1"/>
    <row r="264" ht="0.5" customHeight="1"/>
    <row r="265" ht="0.5" customHeight="1"/>
    <row r="266" ht="0.5" customHeight="1"/>
    <row r="267" ht="0.5" customHeight="1"/>
    <row r="268" ht="0.5" customHeight="1"/>
    <row r="269" ht="0.5" customHeight="1"/>
    <row r="270" ht="0.5" customHeight="1"/>
    <row r="271" ht="0.5" customHeight="1"/>
    <row r="272" ht="0.5" customHeight="1"/>
    <row r="273" ht="0.5" customHeight="1"/>
    <row r="274" ht="0.5" customHeight="1"/>
    <row r="275" ht="0.5" customHeight="1"/>
    <row r="276" ht="0.5" customHeight="1"/>
    <row r="277" ht="0.5" customHeight="1"/>
    <row r="278" ht="0.5" customHeight="1"/>
    <row r="279" ht="0.5" customHeight="1"/>
    <row r="280" ht="0.5" customHeight="1"/>
    <row r="281" ht="0.5" customHeight="1"/>
    <row r="282" ht="0.5" customHeight="1"/>
    <row r="283" ht="0.5" customHeight="1"/>
    <row r="284" ht="0.5" customHeight="1"/>
    <row r="285" ht="0.5" customHeight="1"/>
    <row r="286" ht="0.5" customHeight="1"/>
    <row r="287" ht="0.5" customHeight="1"/>
    <row r="288" ht="0.5" customHeight="1"/>
    <row r="289" ht="0.5" customHeight="1"/>
    <row r="290" ht="0.5" customHeight="1"/>
    <row r="291" ht="0.5" customHeight="1"/>
    <row r="292" ht="0.5" customHeight="1"/>
    <row r="293" ht="0.5" customHeight="1"/>
    <row r="294" ht="0.5" customHeight="1"/>
    <row r="295" ht="0.5" customHeight="1"/>
    <row r="296" ht="0.5" customHeight="1"/>
    <row r="297" ht="0.5" customHeight="1"/>
    <row r="298" ht="0.5" customHeight="1"/>
    <row r="299" ht="0.5" customHeight="1"/>
    <row r="300" ht="0.5" customHeight="1"/>
    <row r="301" ht="0.5" customHeight="1"/>
    <row r="302" ht="0.5" customHeight="1"/>
    <row r="303" ht="0.5" customHeight="1"/>
    <row r="304" ht="0.5" customHeight="1"/>
    <row r="305" ht="0.5" customHeight="1"/>
    <row r="306" ht="0.5" customHeight="1"/>
    <row r="307" ht="0.5" customHeight="1"/>
    <row r="308" ht="0.5" customHeight="1"/>
    <row r="309" ht="0.5" customHeight="1"/>
    <row r="310" ht="0.5" customHeight="1"/>
    <row r="311" ht="0.5" customHeight="1"/>
    <row r="312" ht="0.5" customHeight="1"/>
    <row r="313" ht="0.5" customHeight="1"/>
    <row r="314" ht="0.5" customHeight="1"/>
    <row r="315" ht="0.5" customHeight="1"/>
    <row r="316" ht="0.5" customHeight="1"/>
    <row r="317" ht="0.5" customHeight="1"/>
    <row r="318" ht="0.5" customHeight="1"/>
    <row r="319" ht="0.5" customHeight="1"/>
    <row r="320" ht="0.5" customHeight="1"/>
    <row r="321" ht="0.5" customHeight="1"/>
    <row r="322" ht="0.5" customHeight="1"/>
    <row r="323" ht="0.5" customHeight="1"/>
    <row r="324" ht="0.5" customHeight="1"/>
    <row r="325" ht="0.5" customHeight="1"/>
    <row r="326" ht="0.5" customHeight="1"/>
    <row r="327" ht="0.5" customHeight="1"/>
    <row r="328" ht="0.5" customHeight="1"/>
    <row r="329" ht="0.5" customHeight="1"/>
    <row r="330" ht="0.5" customHeight="1"/>
    <row r="331" ht="0.5" customHeight="1"/>
  </sheetData>
  <mergeCells count="5">
    <mergeCell ref="B24:Q24"/>
    <mergeCell ref="K37:N37"/>
    <mergeCell ref="D33:F33"/>
    <mergeCell ref="G33:J33"/>
    <mergeCell ref="I26:J26"/>
  </mergeCells>
  <pageMargins left="0.7" right="0.7" top="0.75" bottom="0.75" header="0.3" footer="0.3"/>
  <pageSetup scale="5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7"/>
  <sheetViews>
    <sheetView view="pageBreakPreview" zoomScaleNormal="90" zoomScaleSheetLayoutView="100" workbookViewId="0"/>
  </sheetViews>
  <sheetFormatPr defaultColWidth="9.1796875" defaultRowHeight="14.5"/>
  <cols>
    <col min="1" max="1" width="3.7265625" style="2" customWidth="1"/>
    <col min="2" max="19" width="9.1796875" style="2"/>
    <col min="20" max="20" width="3.81640625" style="2" customWidth="1"/>
    <col min="21" max="16384" width="9.1796875" style="2"/>
  </cols>
  <sheetData>
    <row r="1" spans="1:20">
      <c r="A1" s="1"/>
      <c r="B1" s="1"/>
      <c r="C1" s="1"/>
      <c r="D1" s="1"/>
      <c r="E1" s="1"/>
      <c r="F1" s="1"/>
      <c r="G1" s="1"/>
      <c r="H1" s="1"/>
      <c r="I1" s="1"/>
      <c r="J1" s="1"/>
      <c r="K1" s="1"/>
      <c r="L1" s="1"/>
      <c r="M1" s="1"/>
      <c r="N1" s="1"/>
      <c r="O1" s="1"/>
      <c r="P1" s="1"/>
      <c r="Q1" s="1"/>
      <c r="R1" s="1"/>
      <c r="S1" s="1"/>
      <c r="T1" s="1"/>
    </row>
    <row r="2" spans="1:20" ht="17.5">
      <c r="A2" s="1"/>
      <c r="B2" s="132" t="s">
        <v>275</v>
      </c>
      <c r="C2" s="1"/>
      <c r="D2" s="1"/>
      <c r="E2" s="1"/>
      <c r="F2" s="1"/>
      <c r="G2" s="1"/>
      <c r="H2" s="1"/>
      <c r="I2" s="1"/>
      <c r="J2" s="1"/>
      <c r="K2" s="1"/>
      <c r="L2" s="1"/>
      <c r="M2" s="1"/>
      <c r="N2" s="1"/>
      <c r="O2" s="1"/>
      <c r="P2" s="1"/>
      <c r="Q2" s="1"/>
      <c r="R2" s="1"/>
      <c r="S2" s="1"/>
      <c r="T2" s="1"/>
    </row>
    <row r="3" spans="1:20">
      <c r="A3" s="1"/>
      <c r="B3" s="1"/>
      <c r="C3" s="1"/>
      <c r="D3" s="1"/>
      <c r="E3" s="1"/>
      <c r="F3" s="1"/>
      <c r="G3" s="1"/>
      <c r="H3" s="1"/>
      <c r="I3" s="1"/>
      <c r="J3" s="1"/>
      <c r="K3" s="1"/>
      <c r="L3" s="1"/>
      <c r="M3" s="1"/>
      <c r="N3" s="1"/>
      <c r="O3" s="1"/>
      <c r="P3" s="1"/>
      <c r="Q3" s="1"/>
      <c r="R3" s="1"/>
      <c r="S3" s="1"/>
      <c r="T3" s="1"/>
    </row>
    <row r="4" spans="1:20">
      <c r="A4" s="1"/>
      <c r="B4" s="1"/>
      <c r="C4" s="1"/>
      <c r="D4" s="1"/>
      <c r="E4" s="1"/>
      <c r="F4" s="1"/>
      <c r="G4" s="1"/>
      <c r="H4" s="1"/>
      <c r="I4" s="1"/>
      <c r="J4" s="1"/>
      <c r="K4" s="1"/>
      <c r="L4" s="1"/>
      <c r="M4" s="1"/>
      <c r="N4" s="1"/>
      <c r="O4" s="1"/>
      <c r="P4" s="1"/>
      <c r="Q4" s="1"/>
      <c r="R4" s="1"/>
      <c r="S4" s="1"/>
      <c r="T4" s="1"/>
    </row>
    <row r="5" spans="1:20">
      <c r="A5" s="1"/>
      <c r="B5" s="1"/>
      <c r="C5" s="1"/>
      <c r="D5" s="1"/>
      <c r="E5" s="1"/>
      <c r="F5" s="1"/>
      <c r="G5" s="1"/>
      <c r="H5" s="1"/>
      <c r="I5" s="1"/>
      <c r="J5" s="1"/>
      <c r="K5" s="1"/>
      <c r="L5" s="1"/>
      <c r="M5" s="1"/>
      <c r="N5" s="1"/>
      <c r="O5" s="1"/>
      <c r="P5" s="1"/>
      <c r="Q5" s="1"/>
      <c r="R5" s="1"/>
      <c r="S5" s="1"/>
      <c r="T5" s="1"/>
    </row>
    <row r="6" spans="1:20">
      <c r="A6" s="1"/>
      <c r="B6" s="1"/>
      <c r="C6" s="1"/>
      <c r="D6" s="1"/>
      <c r="E6" s="1"/>
      <c r="F6" s="1"/>
      <c r="G6" s="1"/>
      <c r="H6" s="1"/>
      <c r="I6" s="1"/>
      <c r="J6" s="1"/>
      <c r="K6" s="1"/>
      <c r="L6" s="1"/>
      <c r="M6" s="1"/>
      <c r="N6" s="1"/>
      <c r="O6" s="1"/>
      <c r="P6" s="1"/>
      <c r="Q6" s="1"/>
      <c r="R6" s="1"/>
      <c r="S6" s="1"/>
      <c r="T6" s="1"/>
    </row>
    <row r="7" spans="1:20">
      <c r="A7" s="1"/>
      <c r="B7" s="1"/>
      <c r="C7" s="1"/>
      <c r="D7" s="1"/>
      <c r="E7" s="1"/>
      <c r="F7" s="1"/>
      <c r="G7" s="1"/>
      <c r="H7" s="1"/>
      <c r="I7" s="1"/>
      <c r="J7" s="1"/>
      <c r="K7" s="1"/>
      <c r="L7" s="1"/>
      <c r="M7" s="1"/>
      <c r="N7" s="1"/>
      <c r="O7" s="1"/>
      <c r="P7" s="1"/>
      <c r="Q7" s="1"/>
      <c r="R7" s="1"/>
      <c r="S7" s="1"/>
      <c r="T7" s="1"/>
    </row>
    <row r="8" spans="1:20">
      <c r="A8" s="1"/>
      <c r="B8" s="1"/>
      <c r="C8" s="1"/>
      <c r="D8" s="1"/>
      <c r="E8" s="1"/>
      <c r="F8" s="1"/>
      <c r="G8" s="1"/>
      <c r="H8" s="1"/>
      <c r="I8" s="1"/>
      <c r="J8" s="1"/>
      <c r="K8" s="1"/>
      <c r="L8" s="1"/>
      <c r="M8" s="1"/>
      <c r="N8" s="1"/>
      <c r="O8" s="1"/>
      <c r="P8" s="1"/>
      <c r="Q8" s="1"/>
      <c r="R8" s="1"/>
      <c r="S8" s="1"/>
      <c r="T8" s="1"/>
    </row>
    <row r="9" spans="1:20">
      <c r="A9" s="1"/>
      <c r="B9" s="1"/>
      <c r="C9" s="1"/>
      <c r="D9" s="1"/>
      <c r="E9" s="1"/>
      <c r="F9" s="1"/>
      <c r="G9" s="1"/>
      <c r="H9" s="1"/>
      <c r="I9" s="1"/>
      <c r="J9" s="1"/>
      <c r="K9" s="1"/>
      <c r="L9" s="1"/>
      <c r="M9" s="1"/>
      <c r="N9" s="1"/>
      <c r="O9" s="1"/>
      <c r="P9" s="1"/>
      <c r="Q9" s="1"/>
      <c r="R9" s="1"/>
      <c r="S9" s="1"/>
      <c r="T9" s="1"/>
    </row>
    <row r="10" spans="1:20">
      <c r="A10" s="1"/>
      <c r="B10" s="1"/>
      <c r="C10" s="1"/>
      <c r="D10" s="1"/>
      <c r="E10" s="1"/>
      <c r="F10" s="1"/>
      <c r="G10" s="1"/>
      <c r="H10" s="1"/>
      <c r="I10" s="1"/>
      <c r="J10" s="1"/>
      <c r="K10" s="1"/>
      <c r="L10" s="1"/>
      <c r="M10" s="1"/>
      <c r="N10" s="1"/>
      <c r="O10" s="1"/>
      <c r="P10" s="1"/>
      <c r="Q10" s="1"/>
      <c r="R10" s="1"/>
      <c r="S10" s="1"/>
      <c r="T10" s="1"/>
    </row>
    <row r="11" spans="1:20">
      <c r="A11" s="1"/>
      <c r="B11" s="1"/>
      <c r="C11" s="1"/>
      <c r="D11" s="1"/>
      <c r="E11" s="1"/>
      <c r="F11" s="1"/>
      <c r="G11" s="1"/>
      <c r="H11" s="1"/>
      <c r="I11" s="1"/>
      <c r="J11" s="1"/>
      <c r="K11" s="1"/>
      <c r="L11" s="1"/>
      <c r="M11" s="1"/>
      <c r="N11" s="1"/>
      <c r="O11" s="1"/>
      <c r="P11" s="1"/>
      <c r="Q11" s="1"/>
      <c r="R11" s="1"/>
      <c r="S11" s="1"/>
      <c r="T11" s="1"/>
    </row>
    <row r="12" spans="1:20">
      <c r="A12" s="1"/>
      <c r="B12" s="1"/>
      <c r="C12" s="1"/>
      <c r="D12" s="1"/>
      <c r="E12" s="1"/>
      <c r="F12" s="1"/>
      <c r="G12" s="1"/>
      <c r="H12" s="1"/>
      <c r="I12" s="1"/>
      <c r="J12" s="1"/>
      <c r="K12" s="1"/>
      <c r="L12" s="1"/>
      <c r="M12" s="1"/>
      <c r="N12" s="1"/>
      <c r="O12" s="1"/>
      <c r="P12" s="1"/>
      <c r="Q12" s="1"/>
      <c r="R12" s="1"/>
      <c r="S12" s="1"/>
      <c r="T12" s="1"/>
    </row>
    <row r="13" spans="1:20">
      <c r="A13" s="1"/>
      <c r="B13" s="1"/>
      <c r="C13" s="1"/>
      <c r="D13" s="1"/>
      <c r="E13" s="1"/>
      <c r="F13" s="1"/>
      <c r="G13" s="1"/>
      <c r="H13" s="1"/>
      <c r="I13" s="1"/>
      <c r="J13" s="1"/>
      <c r="K13" s="1"/>
      <c r="L13" s="1"/>
      <c r="M13" s="1"/>
      <c r="N13" s="1"/>
      <c r="O13" s="1"/>
      <c r="P13" s="1"/>
      <c r="Q13" s="1"/>
      <c r="R13" s="1"/>
      <c r="S13" s="1"/>
      <c r="T13" s="1"/>
    </row>
    <row r="14" spans="1:20">
      <c r="A14" s="1"/>
      <c r="B14" s="1"/>
      <c r="C14" s="1"/>
      <c r="D14" s="1"/>
      <c r="E14" s="1"/>
      <c r="F14" s="1"/>
      <c r="G14" s="1"/>
      <c r="H14" s="1"/>
      <c r="I14" s="1"/>
      <c r="J14" s="1"/>
      <c r="K14" s="1"/>
      <c r="L14" s="1"/>
      <c r="M14" s="1"/>
      <c r="N14" s="1"/>
      <c r="O14" s="1"/>
      <c r="P14" s="1"/>
      <c r="Q14" s="1"/>
      <c r="R14" s="1"/>
      <c r="S14" s="1"/>
      <c r="T14" s="1"/>
    </row>
    <row r="15" spans="1:20">
      <c r="A15" s="1"/>
      <c r="B15" s="1"/>
      <c r="C15" s="1"/>
      <c r="D15" s="1"/>
      <c r="E15" s="1"/>
      <c r="F15" s="1"/>
      <c r="G15" s="1"/>
      <c r="H15" s="1"/>
      <c r="I15" s="1"/>
      <c r="J15" s="1"/>
      <c r="K15" s="1"/>
      <c r="L15" s="1"/>
      <c r="M15" s="1"/>
      <c r="N15" s="1"/>
      <c r="O15" s="1"/>
      <c r="P15" s="1"/>
      <c r="Q15" s="1"/>
      <c r="R15" s="1"/>
      <c r="S15" s="1"/>
      <c r="T15" s="1"/>
    </row>
    <row r="16" spans="1:20">
      <c r="A16" s="1"/>
      <c r="B16" s="1"/>
      <c r="C16" s="1"/>
      <c r="D16" s="1"/>
      <c r="E16" s="1"/>
      <c r="F16" s="1"/>
      <c r="G16" s="1"/>
      <c r="H16" s="1"/>
      <c r="I16" s="1"/>
      <c r="J16" s="1"/>
      <c r="K16" s="1"/>
      <c r="L16" s="1"/>
      <c r="M16" s="1"/>
      <c r="N16" s="1"/>
      <c r="O16" s="1"/>
      <c r="P16" s="1"/>
      <c r="Q16" s="1"/>
      <c r="R16" s="1"/>
      <c r="S16" s="1"/>
      <c r="T16" s="1"/>
    </row>
    <row r="17" spans="1:20">
      <c r="A17" s="1"/>
      <c r="B17" s="1"/>
      <c r="C17" s="1"/>
      <c r="D17" s="1"/>
      <c r="E17" s="1"/>
      <c r="F17" s="1"/>
      <c r="G17" s="1"/>
      <c r="H17" s="1"/>
      <c r="I17" s="1"/>
      <c r="J17" s="1"/>
      <c r="K17" s="1"/>
      <c r="L17" s="1"/>
      <c r="M17" s="1"/>
      <c r="N17" s="1"/>
      <c r="O17" s="1"/>
      <c r="P17" s="1"/>
      <c r="Q17" s="1"/>
      <c r="R17" s="1"/>
      <c r="S17" s="1"/>
      <c r="T17" s="1"/>
    </row>
    <row r="18" spans="1:20">
      <c r="A18" s="1"/>
      <c r="B18" s="1"/>
      <c r="C18" s="1"/>
      <c r="D18" s="1"/>
      <c r="E18" s="1"/>
      <c r="F18" s="1"/>
      <c r="G18" s="1"/>
      <c r="H18" s="1"/>
      <c r="I18" s="1"/>
      <c r="J18" s="1"/>
      <c r="K18" s="1"/>
      <c r="L18" s="1"/>
      <c r="M18" s="1"/>
      <c r="N18" s="1"/>
      <c r="O18" s="1"/>
      <c r="P18" s="1"/>
      <c r="Q18" s="1"/>
      <c r="R18" s="1"/>
      <c r="S18" s="1"/>
      <c r="T18" s="1"/>
    </row>
    <row r="19" spans="1:20">
      <c r="A19" s="1"/>
      <c r="B19" s="1"/>
      <c r="C19" s="1"/>
      <c r="D19" s="1"/>
      <c r="E19" s="1"/>
      <c r="F19" s="1"/>
      <c r="G19" s="1"/>
      <c r="H19" s="1"/>
      <c r="I19" s="1"/>
      <c r="J19" s="1"/>
      <c r="K19" s="1"/>
      <c r="L19" s="1"/>
      <c r="M19" s="1"/>
      <c r="N19" s="1"/>
      <c r="O19" s="1"/>
      <c r="P19" s="1"/>
      <c r="Q19" s="1"/>
      <c r="R19" s="1"/>
      <c r="S19" s="1"/>
      <c r="T19" s="1"/>
    </row>
    <row r="20" spans="1:20">
      <c r="A20" s="1"/>
      <c r="B20" s="1"/>
      <c r="C20" s="1"/>
      <c r="D20" s="1"/>
      <c r="E20" s="1"/>
      <c r="F20" s="1"/>
      <c r="G20" s="1"/>
      <c r="H20" s="1"/>
      <c r="I20" s="1"/>
      <c r="J20" s="1"/>
      <c r="K20" s="1"/>
      <c r="L20" s="1"/>
      <c r="M20" s="1"/>
      <c r="N20" s="1"/>
      <c r="O20" s="1"/>
      <c r="P20" s="1"/>
      <c r="Q20" s="1"/>
      <c r="R20" s="1"/>
      <c r="S20" s="1"/>
      <c r="T20" s="1"/>
    </row>
    <row r="21" spans="1:20">
      <c r="A21" s="1"/>
      <c r="B21" s="1"/>
      <c r="C21" s="1"/>
      <c r="D21" s="1"/>
      <c r="E21" s="1"/>
      <c r="F21" s="1"/>
      <c r="G21" s="1"/>
      <c r="H21" s="1"/>
      <c r="I21" s="1"/>
      <c r="J21" s="1"/>
      <c r="K21" s="1"/>
      <c r="L21" s="1"/>
      <c r="M21" s="1"/>
      <c r="N21" s="1"/>
      <c r="O21" s="1"/>
      <c r="P21" s="1"/>
      <c r="Q21" s="1"/>
      <c r="R21" s="1"/>
      <c r="S21" s="1"/>
      <c r="T21" s="1"/>
    </row>
    <row r="22" spans="1:20">
      <c r="A22" s="1"/>
      <c r="B22" s="1"/>
      <c r="C22" s="1"/>
      <c r="D22" s="1"/>
      <c r="E22" s="1"/>
      <c r="F22" s="1"/>
      <c r="G22" s="1"/>
      <c r="H22" s="1"/>
      <c r="I22" s="1"/>
      <c r="J22" s="1"/>
      <c r="K22" s="1"/>
      <c r="L22" s="1"/>
      <c r="M22" s="1"/>
      <c r="N22" s="1"/>
      <c r="O22" s="1"/>
      <c r="P22" s="1"/>
      <c r="Q22" s="1"/>
      <c r="R22" s="1"/>
      <c r="S22" s="1"/>
      <c r="T22" s="1"/>
    </row>
    <row r="23" spans="1:20">
      <c r="A23" s="1"/>
      <c r="B23" s="1"/>
      <c r="C23" s="1"/>
      <c r="D23" s="1"/>
      <c r="E23" s="1"/>
      <c r="F23" s="1"/>
      <c r="G23" s="1"/>
      <c r="H23" s="1"/>
      <c r="I23" s="1"/>
      <c r="J23" s="1"/>
      <c r="K23" s="1"/>
      <c r="L23" s="1"/>
      <c r="M23" s="1"/>
      <c r="N23" s="1"/>
      <c r="O23" s="1"/>
      <c r="P23" s="1"/>
      <c r="Q23" s="1"/>
      <c r="R23" s="1"/>
      <c r="S23" s="1"/>
      <c r="T23" s="1"/>
    </row>
    <row r="24" spans="1:20">
      <c r="A24" s="1"/>
      <c r="B24" s="1"/>
      <c r="C24" s="1"/>
      <c r="D24" s="1"/>
      <c r="E24" s="1"/>
      <c r="F24" s="1"/>
      <c r="G24" s="1"/>
      <c r="H24" s="1"/>
      <c r="I24" s="1"/>
      <c r="J24" s="1"/>
      <c r="K24" s="1"/>
      <c r="L24" s="1"/>
      <c r="M24" s="1"/>
      <c r="N24" s="1"/>
      <c r="O24" s="1"/>
      <c r="P24" s="1"/>
      <c r="Q24" s="1"/>
      <c r="R24" s="1"/>
      <c r="S24" s="1"/>
      <c r="T24" s="1"/>
    </row>
    <row r="25" spans="1:20">
      <c r="A25" s="1"/>
      <c r="B25" s="1"/>
      <c r="C25" s="1"/>
      <c r="D25" s="1"/>
      <c r="E25" s="1"/>
      <c r="F25" s="1"/>
      <c r="G25" s="1"/>
      <c r="H25" s="1"/>
      <c r="I25" s="1"/>
      <c r="J25" s="1"/>
      <c r="K25" s="1"/>
      <c r="L25" s="1"/>
      <c r="M25" s="1"/>
      <c r="N25" s="1"/>
      <c r="O25" s="1"/>
      <c r="P25" s="1"/>
      <c r="Q25" s="1"/>
      <c r="R25" s="1"/>
      <c r="S25" s="1"/>
      <c r="T25" s="1"/>
    </row>
    <row r="26" spans="1:20">
      <c r="A26" s="1"/>
      <c r="B26" s="1"/>
      <c r="C26" s="1"/>
      <c r="D26" s="1"/>
      <c r="E26" s="1"/>
      <c r="F26" s="1"/>
      <c r="G26" s="1"/>
      <c r="H26" s="1"/>
      <c r="I26" s="1"/>
      <c r="J26" s="1"/>
      <c r="K26" s="1"/>
      <c r="L26" s="1"/>
      <c r="M26" s="1"/>
      <c r="N26" s="1"/>
      <c r="O26" s="1"/>
      <c r="P26" s="1"/>
      <c r="Q26" s="1"/>
      <c r="R26" s="1"/>
      <c r="S26" s="1"/>
      <c r="T26" s="1"/>
    </row>
    <row r="27" spans="1:20">
      <c r="A27" s="1"/>
      <c r="B27" s="1"/>
      <c r="C27" s="1"/>
      <c r="D27" s="1"/>
      <c r="E27" s="1"/>
      <c r="F27" s="1"/>
      <c r="G27" s="1"/>
      <c r="H27" s="1"/>
      <c r="I27" s="1"/>
      <c r="J27" s="1"/>
      <c r="K27" s="1"/>
      <c r="L27" s="1"/>
      <c r="M27" s="1"/>
      <c r="N27" s="1"/>
      <c r="O27" s="1"/>
      <c r="P27" s="1"/>
      <c r="Q27" s="1"/>
      <c r="R27" s="1"/>
      <c r="S27" s="1"/>
      <c r="T27" s="1"/>
    </row>
    <row r="28" spans="1:20">
      <c r="A28" s="1"/>
      <c r="B28" s="1"/>
      <c r="C28" s="1"/>
      <c r="D28" s="1"/>
      <c r="E28" s="1"/>
      <c r="F28" s="1"/>
      <c r="G28" s="1"/>
      <c r="H28" s="1"/>
      <c r="I28" s="1"/>
      <c r="J28" s="1"/>
      <c r="K28" s="1"/>
      <c r="L28" s="1"/>
      <c r="M28" s="1"/>
      <c r="N28" s="1"/>
      <c r="O28" s="1"/>
      <c r="P28" s="1"/>
      <c r="Q28" s="1"/>
      <c r="R28" s="1"/>
      <c r="S28" s="1"/>
      <c r="T28" s="1"/>
    </row>
    <row r="29" spans="1:20">
      <c r="A29" s="1"/>
      <c r="B29" s="1"/>
      <c r="C29" s="1"/>
      <c r="D29" s="1"/>
      <c r="E29" s="1"/>
      <c r="F29" s="1"/>
      <c r="G29" s="1"/>
      <c r="H29" s="1"/>
      <c r="I29" s="1"/>
      <c r="J29" s="1"/>
      <c r="K29" s="1"/>
      <c r="L29" s="1"/>
      <c r="M29" s="1"/>
      <c r="N29" s="1"/>
      <c r="O29" s="1"/>
      <c r="P29" s="1"/>
      <c r="Q29" s="1"/>
      <c r="R29" s="1"/>
      <c r="S29" s="1"/>
      <c r="T29" s="1"/>
    </row>
    <row r="30" spans="1:20">
      <c r="A30" s="1"/>
      <c r="B30" s="1"/>
      <c r="C30" s="1"/>
      <c r="D30" s="1"/>
      <c r="E30" s="1"/>
      <c r="F30" s="1"/>
      <c r="G30" s="1"/>
      <c r="H30" s="1"/>
      <c r="I30" s="1"/>
      <c r="J30" s="1"/>
      <c r="K30" s="1"/>
      <c r="L30" s="1"/>
      <c r="M30" s="1"/>
      <c r="N30" s="1"/>
      <c r="O30" s="1"/>
      <c r="P30" s="1"/>
      <c r="Q30" s="1"/>
      <c r="R30" s="1"/>
      <c r="S30" s="1"/>
      <c r="T30" s="1"/>
    </row>
    <row r="31" spans="1:20">
      <c r="A31" s="1"/>
      <c r="B31" s="1"/>
      <c r="C31" s="1"/>
      <c r="D31" s="1"/>
      <c r="E31" s="1"/>
      <c r="F31" s="1"/>
      <c r="G31" s="1"/>
      <c r="H31" s="1"/>
      <c r="I31" s="1"/>
      <c r="J31" s="1"/>
      <c r="K31" s="1"/>
      <c r="L31" s="1"/>
      <c r="M31" s="1"/>
      <c r="N31" s="1"/>
      <c r="O31" s="1"/>
      <c r="P31" s="1"/>
      <c r="Q31" s="1"/>
      <c r="R31" s="1"/>
      <c r="S31" s="1"/>
      <c r="T31" s="1"/>
    </row>
    <row r="32" spans="1:20">
      <c r="A32" s="1"/>
      <c r="B32" s="1"/>
      <c r="C32" s="1"/>
      <c r="D32" s="1"/>
      <c r="E32" s="1"/>
      <c r="F32" s="1"/>
      <c r="G32" s="1"/>
      <c r="H32" s="1"/>
      <c r="I32" s="1"/>
      <c r="J32" s="1"/>
      <c r="K32" s="1"/>
      <c r="L32" s="1"/>
      <c r="M32" s="1"/>
      <c r="N32" s="1"/>
      <c r="O32" s="1"/>
      <c r="P32" s="1"/>
      <c r="Q32" s="1"/>
      <c r="R32" s="1"/>
      <c r="S32" s="1"/>
      <c r="T32" s="1"/>
    </row>
    <row r="33" spans="1:20">
      <c r="A33" s="1"/>
      <c r="B33" s="1"/>
      <c r="C33" s="1"/>
      <c r="D33" s="1"/>
      <c r="E33" s="1"/>
      <c r="F33" s="1"/>
      <c r="G33" s="1"/>
      <c r="H33" s="1"/>
      <c r="I33" s="1"/>
      <c r="J33" s="1"/>
      <c r="K33" s="1"/>
      <c r="L33" s="1"/>
      <c r="M33" s="1"/>
      <c r="N33" s="1"/>
      <c r="O33" s="1"/>
      <c r="P33" s="1"/>
      <c r="Q33" s="1"/>
      <c r="R33" s="1"/>
      <c r="S33" s="1"/>
      <c r="T33" s="1"/>
    </row>
    <row r="34" spans="1:20">
      <c r="A34" s="1"/>
      <c r="B34" s="1"/>
      <c r="C34" s="1"/>
      <c r="D34" s="1"/>
      <c r="E34" s="1"/>
      <c r="F34" s="1"/>
      <c r="G34" s="1"/>
      <c r="H34" s="1"/>
      <c r="I34" s="1"/>
      <c r="J34" s="1"/>
      <c r="K34" s="1"/>
      <c r="L34" s="1"/>
      <c r="M34" s="1"/>
      <c r="N34" s="1"/>
      <c r="O34" s="1"/>
      <c r="P34" s="1"/>
      <c r="Q34" s="1"/>
      <c r="R34" s="1"/>
      <c r="S34" s="1"/>
      <c r="T34" s="1"/>
    </row>
    <row r="35" spans="1:20">
      <c r="A35" s="1"/>
      <c r="B35" s="1"/>
      <c r="C35" s="1"/>
      <c r="D35" s="1"/>
      <c r="E35" s="1"/>
      <c r="F35" s="1"/>
      <c r="G35" s="1"/>
      <c r="H35" s="1"/>
      <c r="I35" s="1"/>
      <c r="J35" s="1"/>
      <c r="K35" s="1"/>
      <c r="L35" s="1"/>
      <c r="M35" s="1"/>
      <c r="N35" s="1"/>
      <c r="O35" s="1"/>
      <c r="P35" s="1"/>
      <c r="Q35" s="1"/>
      <c r="R35" s="1"/>
      <c r="S35" s="1"/>
      <c r="T35" s="1"/>
    </row>
    <row r="36" spans="1:20">
      <c r="A36" s="1"/>
      <c r="B36" s="1"/>
      <c r="C36" s="1"/>
      <c r="D36" s="1"/>
      <c r="E36" s="1"/>
      <c r="F36" s="1"/>
      <c r="G36" s="1"/>
      <c r="H36" s="1"/>
      <c r="I36" s="1"/>
      <c r="J36" s="1"/>
      <c r="K36" s="1"/>
      <c r="L36" s="1"/>
      <c r="M36" s="1"/>
      <c r="N36" s="1"/>
      <c r="O36" s="1"/>
      <c r="P36" s="1"/>
      <c r="Q36" s="1"/>
      <c r="R36" s="1"/>
      <c r="S36" s="1"/>
      <c r="T36" s="1"/>
    </row>
    <row r="37" spans="1:20">
      <c r="A37" s="1"/>
      <c r="B37" s="1"/>
      <c r="C37" s="1"/>
      <c r="D37" s="1"/>
      <c r="E37" s="1"/>
      <c r="F37" s="1"/>
      <c r="G37" s="1"/>
      <c r="H37" s="1"/>
      <c r="I37" s="1"/>
      <c r="J37" s="1"/>
      <c r="K37" s="1"/>
      <c r="L37" s="1"/>
      <c r="M37" s="1"/>
      <c r="N37" s="1"/>
      <c r="O37" s="1"/>
      <c r="P37" s="1"/>
      <c r="Q37" s="1"/>
      <c r="R37" s="1"/>
      <c r="S37" s="1"/>
      <c r="T37" s="1"/>
    </row>
    <row r="38" spans="1:20" ht="37.5" customHeight="1">
      <c r="A38" s="1"/>
      <c r="B38" s="436"/>
      <c r="C38" s="436"/>
      <c r="D38" s="436"/>
      <c r="E38" s="436"/>
      <c r="F38" s="436"/>
      <c r="G38" s="436"/>
      <c r="H38" s="436"/>
      <c r="I38" s="436"/>
      <c r="J38" s="436"/>
      <c r="K38" s="436"/>
      <c r="L38" s="436"/>
      <c r="M38" s="436"/>
      <c r="N38" s="436"/>
      <c r="O38" s="436"/>
      <c r="P38" s="436"/>
      <c r="Q38" s="436"/>
      <c r="R38" s="436"/>
      <c r="S38" s="436"/>
      <c r="T38" s="1"/>
    </row>
    <row r="42" spans="1:20" ht="0.5" customHeight="1">
      <c r="B42" s="138" t="s">
        <v>31</v>
      </c>
      <c r="C42" s="138" t="s">
        <v>17</v>
      </c>
      <c r="D42" s="138" t="s">
        <v>276</v>
      </c>
      <c r="E42" s="138" t="s">
        <v>277</v>
      </c>
      <c r="F42" s="138" t="s">
        <v>278</v>
      </c>
    </row>
    <row r="43" spans="1:20" ht="0.5" customHeight="1">
      <c r="B43" s="2" t="s">
        <v>36</v>
      </c>
      <c r="C43" s="139">
        <v>1990</v>
      </c>
      <c r="D43" s="138"/>
      <c r="E43" s="138"/>
      <c r="F43" s="138"/>
    </row>
    <row r="44" spans="1:20" ht="0.5" customHeight="1">
      <c r="B44" s="2" t="s">
        <v>36</v>
      </c>
      <c r="C44" s="139">
        <v>1991</v>
      </c>
      <c r="D44" s="138"/>
      <c r="E44" s="138"/>
      <c r="F44" s="138"/>
    </row>
    <row r="45" spans="1:20" ht="0.5" customHeight="1">
      <c r="B45" s="2" t="s">
        <v>36</v>
      </c>
      <c r="C45" s="139">
        <v>1992</v>
      </c>
      <c r="D45" s="138"/>
      <c r="E45" s="138"/>
      <c r="F45" s="138"/>
    </row>
    <row r="46" spans="1:20" ht="0.5" customHeight="1">
      <c r="B46" s="2" t="s">
        <v>36</v>
      </c>
      <c r="C46" s="139">
        <v>1993</v>
      </c>
      <c r="D46" s="138"/>
      <c r="E46" s="138"/>
      <c r="F46" s="138"/>
    </row>
    <row r="47" spans="1:20" ht="0.5" customHeight="1">
      <c r="B47" s="2" t="s">
        <v>36</v>
      </c>
      <c r="C47" s="139">
        <v>1994</v>
      </c>
      <c r="D47" s="138"/>
      <c r="E47" s="138"/>
      <c r="F47" s="138"/>
    </row>
    <row r="48" spans="1:20" ht="0.5" customHeight="1">
      <c r="B48" s="2" t="s">
        <v>36</v>
      </c>
      <c r="C48" s="139">
        <v>1995</v>
      </c>
      <c r="D48" s="140">
        <v>1.0931329999999999</v>
      </c>
      <c r="E48" s="140">
        <v>1.1676230000000001</v>
      </c>
      <c r="F48" s="140">
        <v>1.1676230000000001</v>
      </c>
    </row>
    <row r="49" spans="2:6" ht="0.5" customHeight="1">
      <c r="B49" s="2" t="s">
        <v>36</v>
      </c>
      <c r="C49" s="139">
        <v>1996</v>
      </c>
      <c r="D49" s="140">
        <v>1.104176</v>
      </c>
      <c r="E49" s="140">
        <v>1.2091179999999999</v>
      </c>
      <c r="F49" s="140">
        <v>1.1505840000000001</v>
      </c>
    </row>
    <row r="50" spans="2:6" ht="0.5" customHeight="1">
      <c r="B50" s="2" t="s">
        <v>36</v>
      </c>
      <c r="C50" s="139">
        <v>1997</v>
      </c>
      <c r="D50" s="140">
        <v>1.1526810000000001</v>
      </c>
      <c r="E50" s="140">
        <v>1.214888</v>
      </c>
      <c r="F50" s="140">
        <v>1.112913</v>
      </c>
    </row>
    <row r="51" spans="2:6" ht="0.5" customHeight="1">
      <c r="B51" s="2" t="s">
        <v>36</v>
      </c>
      <c r="C51" s="139">
        <v>1998</v>
      </c>
      <c r="D51" s="140">
        <v>1.2173659999999999</v>
      </c>
      <c r="E51" s="140">
        <v>1.2110369999999999</v>
      </c>
      <c r="F51" s="140">
        <v>1.079196</v>
      </c>
    </row>
    <row r="52" spans="2:6" ht="0.5" customHeight="1">
      <c r="B52" s="2" t="s">
        <v>36</v>
      </c>
      <c r="C52" s="139">
        <v>1999</v>
      </c>
      <c r="D52" s="140">
        <v>1.1751670000000001</v>
      </c>
      <c r="E52" s="140">
        <v>1.202774</v>
      </c>
      <c r="F52" s="140">
        <v>1.0531280000000001</v>
      </c>
    </row>
    <row r="53" spans="2:6" ht="0.5" customHeight="1">
      <c r="B53" s="2" t="s">
        <v>36</v>
      </c>
      <c r="C53" s="139">
        <v>2000</v>
      </c>
      <c r="D53" s="140">
        <v>1.226918</v>
      </c>
      <c r="E53" s="140">
        <v>1.1981250000000001</v>
      </c>
      <c r="F53" s="140">
        <v>1.041215</v>
      </c>
    </row>
    <row r="54" spans="2:6" ht="0.5" customHeight="1">
      <c r="B54" s="2" t="s">
        <v>36</v>
      </c>
      <c r="C54" s="139">
        <v>2001</v>
      </c>
      <c r="D54" s="140">
        <v>1.248734</v>
      </c>
      <c r="E54" s="140">
        <v>1.1818090000000001</v>
      </c>
      <c r="F54" s="140">
        <v>1.026662</v>
      </c>
    </row>
    <row r="55" spans="2:6" ht="0.5" customHeight="1">
      <c r="B55" s="2" t="s">
        <v>36</v>
      </c>
      <c r="C55" s="139">
        <v>2002</v>
      </c>
      <c r="D55" s="140">
        <v>1.2758320000000001</v>
      </c>
      <c r="E55" s="140">
        <v>1.1541060000000001</v>
      </c>
      <c r="F55" s="140">
        <v>1.00823</v>
      </c>
    </row>
    <row r="56" spans="2:6" ht="0.5" customHeight="1">
      <c r="B56" s="2" t="s">
        <v>36</v>
      </c>
      <c r="C56" s="139">
        <v>2003</v>
      </c>
      <c r="D56" s="140">
        <v>1.079216</v>
      </c>
      <c r="E56" s="140">
        <v>1.122566</v>
      </c>
      <c r="F56" s="140">
        <v>0.9919519</v>
      </c>
    </row>
    <row r="57" spans="2:6" ht="0.5" customHeight="1">
      <c r="B57" s="2" t="s">
        <v>36</v>
      </c>
      <c r="C57" s="139">
        <v>2004</v>
      </c>
      <c r="D57" s="140">
        <v>1.038046</v>
      </c>
      <c r="E57" s="140">
        <v>1.1037589999999999</v>
      </c>
      <c r="F57" s="140">
        <v>0.99288310000000002</v>
      </c>
    </row>
    <row r="58" spans="2:6" ht="0.5" customHeight="1">
      <c r="B58" s="2" t="s">
        <v>36</v>
      </c>
      <c r="C58" s="139">
        <v>2005</v>
      </c>
      <c r="D58" s="140">
        <v>1.027784</v>
      </c>
      <c r="E58" s="140">
        <v>1.051909</v>
      </c>
      <c r="F58" s="140">
        <v>0.96372809999999998</v>
      </c>
    </row>
    <row r="59" spans="2:6" ht="0.5" customHeight="1">
      <c r="B59" s="2" t="s">
        <v>36</v>
      </c>
      <c r="C59" s="139">
        <v>2006</v>
      </c>
      <c r="D59" s="140">
        <v>1.009638</v>
      </c>
      <c r="E59" s="140">
        <v>1.012286</v>
      </c>
      <c r="F59" s="140">
        <v>0.94824220000000004</v>
      </c>
    </row>
    <row r="60" spans="2:6" ht="0.5" customHeight="1">
      <c r="B60" s="2" t="s">
        <v>36</v>
      </c>
      <c r="C60" s="139">
        <v>2007</v>
      </c>
      <c r="D60" s="140">
        <v>0.97319659999999997</v>
      </c>
      <c r="E60" s="140">
        <v>0.97458929999999999</v>
      </c>
      <c r="F60" s="140">
        <v>0.93460650000000001</v>
      </c>
    </row>
    <row r="61" spans="2:6" ht="0.5" customHeight="1">
      <c r="B61" s="2" t="s">
        <v>36</v>
      </c>
      <c r="C61" s="139">
        <v>2008</v>
      </c>
      <c r="D61" s="140">
        <v>0.88483049999999996</v>
      </c>
      <c r="E61" s="140">
        <v>0.94226549999999998</v>
      </c>
      <c r="F61" s="140">
        <v>0.92475099999999999</v>
      </c>
    </row>
    <row r="62" spans="2:6" ht="0.5" customHeight="1">
      <c r="B62" s="2" t="s">
        <v>36</v>
      </c>
      <c r="C62" s="139">
        <v>2009</v>
      </c>
      <c r="D62" s="140">
        <v>0.90030259999999995</v>
      </c>
      <c r="E62" s="140">
        <v>0.90943030000000002</v>
      </c>
      <c r="F62" s="140">
        <v>0.91127469999999999</v>
      </c>
    </row>
    <row r="63" spans="2:6" ht="0.5" customHeight="1">
      <c r="B63" s="2" t="s">
        <v>36</v>
      </c>
      <c r="C63" s="139">
        <v>2010</v>
      </c>
      <c r="D63" s="140">
        <v>0.90970839999999997</v>
      </c>
      <c r="E63" s="140">
        <v>0.88270300000000002</v>
      </c>
      <c r="F63" s="140">
        <v>0.89927999999999997</v>
      </c>
    </row>
    <row r="64" spans="2:6" ht="0.5" customHeight="1">
      <c r="B64" s="2" t="s">
        <v>36</v>
      </c>
      <c r="C64" s="139">
        <v>2011</v>
      </c>
      <c r="D64" s="140">
        <v>0.87527949999999999</v>
      </c>
      <c r="E64" s="140">
        <v>0.86211870000000002</v>
      </c>
      <c r="F64" s="140">
        <v>0.88728479999999998</v>
      </c>
    </row>
    <row r="65" spans="2:6" ht="0.5" customHeight="1">
      <c r="B65" s="2" t="s">
        <v>36</v>
      </c>
      <c r="C65" s="139">
        <v>2012</v>
      </c>
      <c r="D65" s="140">
        <v>0.80575940000000001</v>
      </c>
      <c r="E65" s="140">
        <v>0.87646469999999999</v>
      </c>
      <c r="F65" s="140">
        <v>0.90256009999999998</v>
      </c>
    </row>
    <row r="66" spans="2:6" ht="0.5" customHeight="1">
      <c r="B66" s="2" t="s">
        <v>36</v>
      </c>
      <c r="C66" s="139">
        <v>2013</v>
      </c>
      <c r="D66" s="140">
        <v>0.85280029999999996</v>
      </c>
      <c r="E66" s="140">
        <v>0.85029860000000002</v>
      </c>
      <c r="F66" s="140">
        <v>0.86814619999999998</v>
      </c>
    </row>
    <row r="67" spans="2:6" ht="0.5" customHeight="1">
      <c r="B67" s="2" t="s">
        <v>40</v>
      </c>
      <c r="C67" s="139">
        <v>1990</v>
      </c>
      <c r="D67" s="140">
        <v>1.9550780000000001</v>
      </c>
      <c r="E67" s="140">
        <v>1.8055619999999999</v>
      </c>
      <c r="F67" s="140">
        <v>1.8055619999999999</v>
      </c>
    </row>
    <row r="68" spans="2:6" ht="0.5" customHeight="1">
      <c r="B68" s="2" t="s">
        <v>40</v>
      </c>
      <c r="C68" s="139">
        <v>1991</v>
      </c>
      <c r="D68" s="140">
        <f>(D70-D67)/3+D67</f>
        <v>1.9211316666666667</v>
      </c>
      <c r="E68" s="140">
        <f t="shared" ref="E68:F68" si="0">(E70-E67)/3+E67</f>
        <v>1.8347806666666666</v>
      </c>
      <c r="F68" s="140">
        <f t="shared" si="0"/>
        <v>1.7971089999999998</v>
      </c>
    </row>
    <row r="69" spans="2:6" ht="0.5" customHeight="1">
      <c r="B69" s="2" t="s">
        <v>40</v>
      </c>
      <c r="C69" s="139">
        <v>1992</v>
      </c>
      <c r="D69" s="140">
        <f>(D70-D68)/2+D68</f>
        <v>1.8871853333333335</v>
      </c>
      <c r="E69" s="140">
        <f t="shared" ref="E69:F69" si="1">(E70-E68)/2+E68</f>
        <v>1.8639993333333333</v>
      </c>
      <c r="F69" s="140">
        <f t="shared" si="1"/>
        <v>1.788656</v>
      </c>
    </row>
    <row r="70" spans="2:6" ht="0.5" customHeight="1">
      <c r="B70" s="2" t="s">
        <v>40</v>
      </c>
      <c r="C70" s="139">
        <v>1993</v>
      </c>
      <c r="D70" s="140">
        <v>1.8532390000000001</v>
      </c>
      <c r="E70" s="140">
        <v>1.8932180000000001</v>
      </c>
      <c r="F70" s="140">
        <v>1.780203</v>
      </c>
    </row>
    <row r="71" spans="2:6" ht="0.5" customHeight="1">
      <c r="B71" s="2" t="s">
        <v>40</v>
      </c>
      <c r="C71" s="139">
        <v>1994</v>
      </c>
      <c r="D71" s="140">
        <f>(D72-D70)/2+D70</f>
        <v>1.868708</v>
      </c>
      <c r="E71" s="140">
        <f t="shared" ref="E71:F71" si="2">(E72-E70)/2+E70</f>
        <v>1.8885805</v>
      </c>
      <c r="F71" s="140">
        <f t="shared" si="2"/>
        <v>1.7492955000000001</v>
      </c>
    </row>
    <row r="72" spans="2:6" ht="0.5" customHeight="1">
      <c r="B72" s="2" t="s">
        <v>40</v>
      </c>
      <c r="C72" s="139">
        <v>1995</v>
      </c>
      <c r="D72" s="140">
        <v>1.884177</v>
      </c>
      <c r="E72" s="140">
        <v>1.8839429999999999</v>
      </c>
      <c r="F72" s="140">
        <v>1.718388</v>
      </c>
    </row>
    <row r="73" spans="2:6" ht="0.5" customHeight="1">
      <c r="B73" s="2" t="s">
        <v>40</v>
      </c>
      <c r="C73" s="139">
        <v>1996</v>
      </c>
      <c r="D73" s="140">
        <v>1.8243400000000001</v>
      </c>
      <c r="E73" s="140">
        <v>1.8749499999999999</v>
      </c>
      <c r="F73" s="140">
        <v>1.689446</v>
      </c>
    </row>
    <row r="74" spans="2:6" ht="0.5" customHeight="1">
      <c r="B74" s="2" t="s">
        <v>40</v>
      </c>
      <c r="C74" s="139">
        <v>1997</v>
      </c>
      <c r="D74" s="140">
        <v>1.8018700000000001</v>
      </c>
      <c r="E74" s="140">
        <v>1.8542240000000001</v>
      </c>
      <c r="F74" s="140">
        <v>1.652752</v>
      </c>
    </row>
    <row r="75" spans="2:6" ht="0.5" customHeight="1">
      <c r="B75" s="2" t="s">
        <v>40</v>
      </c>
      <c r="C75" s="139">
        <v>1998</v>
      </c>
      <c r="D75" s="140">
        <v>1.8294049999999999</v>
      </c>
      <c r="E75" s="140">
        <v>1.828838</v>
      </c>
      <c r="F75" s="140">
        <v>1.615208</v>
      </c>
    </row>
    <row r="76" spans="2:6" ht="0.5" customHeight="1">
      <c r="B76" s="2" t="s">
        <v>40</v>
      </c>
      <c r="C76" s="139">
        <v>1999</v>
      </c>
      <c r="D76" s="140">
        <v>1.7770589999999999</v>
      </c>
      <c r="E76" s="140">
        <v>1.8217509999999999</v>
      </c>
      <c r="F76" s="140">
        <v>1.5995969999999999</v>
      </c>
    </row>
    <row r="77" spans="2:6" ht="0.5" customHeight="1">
      <c r="B77" s="2" t="s">
        <v>40</v>
      </c>
      <c r="C77" s="139">
        <v>2000</v>
      </c>
      <c r="D77" s="140">
        <f>(D78-D76)/2+D76</f>
        <v>1.7818075</v>
      </c>
      <c r="E77" s="140">
        <f t="shared" ref="E77:F77" si="3">(E78-E76)/2+E76</f>
        <v>1.784314</v>
      </c>
      <c r="F77" s="140">
        <f t="shared" si="3"/>
        <v>1.5587424999999999</v>
      </c>
    </row>
    <row r="78" spans="2:6" ht="0.5" customHeight="1">
      <c r="B78" s="2" t="s">
        <v>40</v>
      </c>
      <c r="C78" s="139">
        <v>2001</v>
      </c>
      <c r="D78" s="140">
        <v>1.786556</v>
      </c>
      <c r="E78" s="140">
        <v>1.746877</v>
      </c>
      <c r="F78" s="140">
        <v>1.5178879999999999</v>
      </c>
    </row>
    <row r="79" spans="2:6" ht="0.5" customHeight="1">
      <c r="B79" s="2" t="s">
        <v>40</v>
      </c>
      <c r="C79" s="139">
        <v>2002</v>
      </c>
      <c r="D79" s="140">
        <v>1.7784660000000001</v>
      </c>
      <c r="E79" s="140">
        <v>1.708896</v>
      </c>
      <c r="F79" s="140">
        <v>1.481249</v>
      </c>
    </row>
    <row r="80" spans="2:6" ht="0.5" customHeight="1">
      <c r="B80" s="2" t="s">
        <v>40</v>
      </c>
      <c r="C80" s="139">
        <v>2003</v>
      </c>
      <c r="D80" s="140">
        <v>1.722874</v>
      </c>
      <c r="E80" s="140">
        <v>1.673333</v>
      </c>
      <c r="F80" s="140">
        <v>1.4499679999999999</v>
      </c>
    </row>
    <row r="81" spans="2:6" ht="0.5" customHeight="1">
      <c r="B81" s="2" t="s">
        <v>40</v>
      </c>
      <c r="C81" s="139">
        <v>2004</v>
      </c>
      <c r="D81" s="140">
        <v>1.6970970000000001</v>
      </c>
      <c r="E81" s="140">
        <v>1.654658</v>
      </c>
      <c r="F81" s="140">
        <v>1.4383429999999999</v>
      </c>
    </row>
    <row r="82" spans="2:6" ht="0.5" customHeight="1">
      <c r="B82" s="2" t="s">
        <v>40</v>
      </c>
      <c r="C82" s="139">
        <v>2005</v>
      </c>
      <c r="D82" s="140">
        <v>1.6622110000000001</v>
      </c>
      <c r="E82" s="140">
        <v>1.6190290000000001</v>
      </c>
      <c r="F82" s="140">
        <v>1.4123589999999999</v>
      </c>
    </row>
    <row r="83" spans="2:6" ht="0.5" customHeight="1">
      <c r="B83" s="2" t="s">
        <v>40</v>
      </c>
      <c r="C83" s="139">
        <v>2006</v>
      </c>
      <c r="D83" s="140">
        <v>1.6441779999999999</v>
      </c>
      <c r="E83" s="140">
        <v>1.557868</v>
      </c>
      <c r="F83" s="140">
        <v>1.3632629999999999</v>
      </c>
    </row>
    <row r="84" spans="2:6" ht="0.5" customHeight="1">
      <c r="B84" s="2" t="s">
        <v>40</v>
      </c>
      <c r="C84" s="139">
        <v>2007</v>
      </c>
      <c r="D84" s="140">
        <v>1.419073</v>
      </c>
      <c r="E84" s="140">
        <v>1.43855</v>
      </c>
      <c r="F84" s="140">
        <v>1.258257</v>
      </c>
    </row>
    <row r="85" spans="2:6" ht="0.5" customHeight="1">
      <c r="B85" s="2" t="s">
        <v>40</v>
      </c>
      <c r="C85" s="139">
        <v>2008</v>
      </c>
      <c r="D85" s="140">
        <v>1.3135650000000001</v>
      </c>
      <c r="E85" s="140">
        <v>1.396466</v>
      </c>
      <c r="F85" s="140">
        <v>1.2325600000000001</v>
      </c>
    </row>
    <row r="86" spans="2:6" ht="0.5" customHeight="1">
      <c r="B86" s="2" t="s">
        <v>40</v>
      </c>
      <c r="C86" s="139">
        <v>2009</v>
      </c>
      <c r="D86" s="140">
        <v>1.31138</v>
      </c>
      <c r="E86" s="140">
        <v>1.348557</v>
      </c>
      <c r="F86" s="140">
        <v>1.2029369999999999</v>
      </c>
    </row>
    <row r="87" spans="2:6" ht="0.5" customHeight="1">
      <c r="B87" s="2" t="s">
        <v>40</v>
      </c>
      <c r="C87" s="139">
        <v>2010</v>
      </c>
      <c r="D87" s="140">
        <f>(D88-D86)/2+D86</f>
        <v>1.3307315</v>
      </c>
      <c r="E87" s="140">
        <f t="shared" ref="E87:F87" si="4">(E88-E86)/2+E86</f>
        <v>1.3464580000000002</v>
      </c>
      <c r="F87" s="140">
        <f t="shared" si="4"/>
        <v>1.2216274999999999</v>
      </c>
    </row>
    <row r="88" spans="2:6" ht="0.5" customHeight="1">
      <c r="B88" s="2" t="s">
        <v>40</v>
      </c>
      <c r="C88" s="139">
        <v>2011</v>
      </c>
      <c r="D88" s="140">
        <v>1.3500829999999999</v>
      </c>
      <c r="E88" s="140">
        <v>1.3443590000000001</v>
      </c>
      <c r="F88" s="140">
        <v>1.240318</v>
      </c>
    </row>
    <row r="89" spans="2:6" ht="0.5" customHeight="1">
      <c r="B89" s="2" t="s">
        <v>40</v>
      </c>
      <c r="C89" s="139">
        <v>2012</v>
      </c>
      <c r="D89" s="140">
        <v>1.3032889999999999</v>
      </c>
      <c r="E89" s="140">
        <v>1.2797719999999999</v>
      </c>
      <c r="F89" s="140">
        <v>1.198677</v>
      </c>
    </row>
    <row r="90" spans="2:6" ht="0.5" customHeight="1">
      <c r="B90" s="2" t="s">
        <v>40</v>
      </c>
      <c r="C90" s="139">
        <v>2013</v>
      </c>
      <c r="D90" s="140">
        <v>1.1685779999999999</v>
      </c>
      <c r="E90" s="140">
        <v>1.1504190000000001</v>
      </c>
      <c r="F90" s="140">
        <v>1.093475</v>
      </c>
    </row>
    <row r="91" spans="2:6" ht="0.5" customHeight="1">
      <c r="B91" s="2" t="s">
        <v>41</v>
      </c>
      <c r="C91" s="139">
        <v>1990</v>
      </c>
      <c r="D91" s="140">
        <v>1.384619</v>
      </c>
      <c r="E91" s="140">
        <v>1.325088</v>
      </c>
      <c r="F91" s="140">
        <v>1.325088</v>
      </c>
    </row>
    <row r="92" spans="2:6" ht="0.5" customHeight="1">
      <c r="B92" s="2" t="s">
        <v>41</v>
      </c>
      <c r="C92" s="139">
        <v>1991</v>
      </c>
      <c r="D92" s="140">
        <f t="shared" ref="D92:F94" si="5">(D$95-D$91)/4+D91</f>
        <v>1.41551125</v>
      </c>
      <c r="E92" s="140">
        <f t="shared" si="5"/>
        <v>1.36890025</v>
      </c>
      <c r="F92" s="140">
        <f t="shared" si="5"/>
        <v>1.2957812500000001</v>
      </c>
    </row>
    <row r="93" spans="2:6" ht="0.5" customHeight="1">
      <c r="B93" s="2" t="s">
        <v>41</v>
      </c>
      <c r="C93" s="139">
        <v>1992</v>
      </c>
      <c r="D93" s="140">
        <f t="shared" si="5"/>
        <v>1.4464035</v>
      </c>
      <c r="E93" s="140">
        <f t="shared" si="5"/>
        <v>1.4127125</v>
      </c>
      <c r="F93" s="140">
        <f t="shared" si="5"/>
        <v>1.2664745000000002</v>
      </c>
    </row>
    <row r="94" spans="2:6" ht="0.5" customHeight="1">
      <c r="B94" s="2" t="s">
        <v>41</v>
      </c>
      <c r="C94" s="139">
        <v>1993</v>
      </c>
      <c r="D94" s="140">
        <f t="shared" si="5"/>
        <v>1.4772957499999999</v>
      </c>
      <c r="E94" s="140">
        <f t="shared" si="5"/>
        <v>1.45652475</v>
      </c>
      <c r="F94" s="140">
        <f t="shared" si="5"/>
        <v>1.2371677500000002</v>
      </c>
    </row>
    <row r="95" spans="2:6" ht="0.5" customHeight="1">
      <c r="B95" s="2" t="s">
        <v>41</v>
      </c>
      <c r="C95" s="139">
        <v>1994</v>
      </c>
      <c r="D95" s="140">
        <v>1.5081880000000001</v>
      </c>
      <c r="E95" s="140">
        <v>1.500337</v>
      </c>
      <c r="F95" s="140">
        <v>1.2078610000000001</v>
      </c>
    </row>
    <row r="96" spans="2:6" ht="0.5" customHeight="1">
      <c r="B96" s="2" t="s">
        <v>41</v>
      </c>
      <c r="C96" s="139">
        <v>1995</v>
      </c>
      <c r="D96" s="140">
        <f>(D97-D95)/2+D95</f>
        <v>1.5474265</v>
      </c>
      <c r="E96" s="140">
        <f t="shared" ref="E96:F96" si="6">(E97-E95)/2+E95</f>
        <v>1.5354955000000001</v>
      </c>
      <c r="F96" s="140">
        <f t="shared" si="6"/>
        <v>1.1976485000000001</v>
      </c>
    </row>
    <row r="97" spans="2:6" ht="0.5" customHeight="1">
      <c r="B97" s="2" t="s">
        <v>41</v>
      </c>
      <c r="C97" s="139">
        <v>1996</v>
      </c>
      <c r="D97" s="140">
        <v>1.586665</v>
      </c>
      <c r="E97" s="140">
        <v>1.570654</v>
      </c>
      <c r="F97" s="140">
        <v>1.1874359999999999</v>
      </c>
    </row>
    <row r="98" spans="2:6" ht="0.5" customHeight="1">
      <c r="B98" s="2" t="s">
        <v>41</v>
      </c>
      <c r="C98" s="139">
        <v>1997</v>
      </c>
      <c r="D98" s="140">
        <f>(D99-D97)/2+D97</f>
        <v>1.5637675</v>
      </c>
      <c r="E98" s="140">
        <f t="shared" ref="E98:F98" si="7">(E99-E97)/2+E97</f>
        <v>1.5617719999999999</v>
      </c>
      <c r="F98" s="140">
        <f t="shared" si="7"/>
        <v>1.1486624999999999</v>
      </c>
    </row>
    <row r="99" spans="2:6" ht="0.5" customHeight="1">
      <c r="B99" s="2" t="s">
        <v>41</v>
      </c>
      <c r="C99" s="139">
        <v>1998</v>
      </c>
      <c r="D99" s="140">
        <v>1.54087</v>
      </c>
      <c r="E99" s="140">
        <v>1.5528900000000001</v>
      </c>
      <c r="F99" s="140">
        <v>1.1098889999999999</v>
      </c>
    </row>
    <row r="100" spans="2:6" ht="0.5" customHeight="1">
      <c r="B100" s="2" t="s">
        <v>41</v>
      </c>
      <c r="C100" s="139">
        <v>1999</v>
      </c>
      <c r="D100" s="140">
        <f>(D101-D99)/2+D99</f>
        <v>1.5643535</v>
      </c>
      <c r="E100" s="140">
        <f t="shared" ref="E100:F100" si="8">(E101-E99)/2+E99</f>
        <v>1.5536205000000001</v>
      </c>
      <c r="F100" s="140">
        <f t="shared" si="8"/>
        <v>1.0939405</v>
      </c>
    </row>
    <row r="101" spans="2:6" ht="0.5" customHeight="1">
      <c r="B101" s="2" t="s">
        <v>41</v>
      </c>
      <c r="C101" s="139">
        <v>2000</v>
      </c>
      <c r="D101" s="140">
        <v>1.5878369999999999</v>
      </c>
      <c r="E101" s="140">
        <v>1.554351</v>
      </c>
      <c r="F101" s="140">
        <v>1.0779920000000001</v>
      </c>
    </row>
    <row r="102" spans="2:6" ht="0.5" customHeight="1">
      <c r="B102" s="2" t="s">
        <v>41</v>
      </c>
      <c r="C102" s="139">
        <v>2001</v>
      </c>
      <c r="D102" s="140">
        <f>(D$104-D$101)/3+D101</f>
        <v>1.5615176666666666</v>
      </c>
      <c r="E102" s="140">
        <f t="shared" ref="E102:F103" si="9">(E$104-E$101)/3+E101</f>
        <v>1.5433743333333334</v>
      </c>
      <c r="F102" s="140">
        <f t="shared" si="9"/>
        <v>1.0635503333333334</v>
      </c>
    </row>
    <row r="103" spans="2:6" ht="0.5" customHeight="1">
      <c r="B103" s="2" t="s">
        <v>41</v>
      </c>
      <c r="C103" s="139">
        <v>2002</v>
      </c>
      <c r="D103" s="140">
        <f>(D$104-D$101)/3+D102</f>
        <v>1.5351983333333332</v>
      </c>
      <c r="E103" s="140">
        <f t="shared" si="9"/>
        <v>1.5323976666666668</v>
      </c>
      <c r="F103" s="140">
        <f t="shared" si="9"/>
        <v>1.0491086666666667</v>
      </c>
    </row>
    <row r="104" spans="2:6" ht="0.5" customHeight="1">
      <c r="B104" s="2" t="s">
        <v>41</v>
      </c>
      <c r="C104" s="139">
        <v>2003</v>
      </c>
      <c r="D104" s="140">
        <v>1.5088790000000001</v>
      </c>
      <c r="E104" s="140">
        <v>1.5214209999999999</v>
      </c>
      <c r="F104" s="140">
        <v>1.034667</v>
      </c>
    </row>
    <row r="105" spans="2:6" ht="0.5" customHeight="1">
      <c r="B105" s="2" t="s">
        <v>41</v>
      </c>
      <c r="C105" s="139">
        <v>2004</v>
      </c>
      <c r="D105" s="140">
        <f>(D$107-D$104)/3+D104</f>
        <v>1.4828316666666668</v>
      </c>
      <c r="E105" s="140">
        <f t="shared" ref="E105:F106" si="10">(E$107-E$104)/3+E104</f>
        <v>1.5139149999999999</v>
      </c>
      <c r="F105" s="140">
        <f t="shared" si="10"/>
        <v>1.035021</v>
      </c>
    </row>
    <row r="106" spans="2:6" ht="0.5" customHeight="1">
      <c r="B106" s="2" t="s">
        <v>41</v>
      </c>
      <c r="C106" s="139">
        <v>2005</v>
      </c>
      <c r="D106" s="140">
        <f>(D$107-D$104)/3+D105</f>
        <v>1.4567843333333335</v>
      </c>
      <c r="E106" s="140">
        <f t="shared" si="10"/>
        <v>1.5064089999999999</v>
      </c>
      <c r="F106" s="140">
        <f t="shared" si="10"/>
        <v>1.0353749999999999</v>
      </c>
    </row>
    <row r="107" spans="2:6" ht="0.5" customHeight="1">
      <c r="B107" s="2" t="s">
        <v>41</v>
      </c>
      <c r="C107" s="139">
        <v>2006</v>
      </c>
      <c r="D107" s="140">
        <v>1.4307369999999999</v>
      </c>
      <c r="E107" s="140">
        <v>1.4989030000000001</v>
      </c>
      <c r="F107" s="140">
        <v>1.0357289999999999</v>
      </c>
    </row>
    <row r="108" spans="2:6" ht="0.5" customHeight="1">
      <c r="B108" s="2" t="s">
        <v>41</v>
      </c>
      <c r="C108" s="139">
        <v>2007</v>
      </c>
      <c r="D108" s="140">
        <f>(D$110-D$107)/3+D107</f>
        <v>1.4361166666666667</v>
      </c>
      <c r="E108" s="140">
        <f t="shared" ref="E108:F109" si="11">(E$110-E$107)/3+E107</f>
        <v>1.4673596666666668</v>
      </c>
      <c r="F108" s="140">
        <f t="shared" si="11"/>
        <v>1.0182752333333331</v>
      </c>
    </row>
    <row r="109" spans="2:6" ht="0.5" customHeight="1">
      <c r="B109" s="2" t="s">
        <v>41</v>
      </c>
      <c r="C109" s="139">
        <v>2008</v>
      </c>
      <c r="D109" s="140">
        <f>(D$110-D$107)/3+D108</f>
        <v>1.4414963333333335</v>
      </c>
      <c r="E109" s="140">
        <f t="shared" si="11"/>
        <v>1.4358163333333336</v>
      </c>
      <c r="F109" s="140">
        <f t="shared" si="11"/>
        <v>1.0008214666666664</v>
      </c>
    </row>
    <row r="110" spans="2:6" ht="0.5" customHeight="1">
      <c r="B110" s="2" t="s">
        <v>41</v>
      </c>
      <c r="C110" s="139">
        <v>2009</v>
      </c>
      <c r="D110" s="140">
        <v>1.4468760000000001</v>
      </c>
      <c r="E110" s="140">
        <v>1.4042730000000001</v>
      </c>
      <c r="F110" s="140">
        <v>0.98336769999999996</v>
      </c>
    </row>
    <row r="111" spans="2:6" ht="0.5" customHeight="1">
      <c r="B111" s="2" t="s">
        <v>41</v>
      </c>
      <c r="C111" s="139">
        <v>2010</v>
      </c>
      <c r="D111" s="140">
        <f>(D112-D110)/2+D110</f>
        <v>1.4060345000000001</v>
      </c>
      <c r="E111" s="140">
        <f t="shared" ref="E111:F111" si="12">(E112-E110)/2+E110</f>
        <v>1.3914200000000001</v>
      </c>
      <c r="F111" s="140">
        <f t="shared" si="12"/>
        <v>0.98601950000000005</v>
      </c>
    </row>
    <row r="112" spans="2:6" ht="0.5" customHeight="1">
      <c r="B112" s="2" t="s">
        <v>41</v>
      </c>
      <c r="C112" s="139">
        <v>2011</v>
      </c>
      <c r="D112" s="140">
        <v>1.3651930000000001</v>
      </c>
      <c r="E112" s="140">
        <v>1.3785670000000001</v>
      </c>
      <c r="F112" s="140">
        <v>0.98867130000000003</v>
      </c>
    </row>
    <row r="113" spans="2:6" ht="0.5" customHeight="1">
      <c r="B113" s="2" t="s">
        <v>41</v>
      </c>
      <c r="C113" s="139">
        <v>2012</v>
      </c>
      <c r="D113" s="140">
        <f>(D114-D112)/2+D112</f>
        <v>1.3374744999999999</v>
      </c>
      <c r="E113" s="140">
        <f t="shared" ref="E113:F113" si="13">(E114-E112)/2+E112</f>
        <v>1.3567360000000002</v>
      </c>
      <c r="F113" s="140">
        <f t="shared" si="13"/>
        <v>0.98083469999999995</v>
      </c>
    </row>
    <row r="114" spans="2:6" ht="0.5" customHeight="1">
      <c r="B114" s="2" t="s">
        <v>41</v>
      </c>
      <c r="C114" s="139">
        <v>2013</v>
      </c>
      <c r="D114" s="140">
        <v>1.3097559999999999</v>
      </c>
      <c r="E114" s="140">
        <v>1.334905</v>
      </c>
      <c r="F114" s="140">
        <v>0.97299809999999998</v>
      </c>
    </row>
    <row r="115" spans="2:6" ht="0.5" customHeight="1"/>
    <row r="116" spans="2:6" ht="0.5" customHeight="1"/>
    <row r="117" spans="2:6" ht="0.5" customHeight="1"/>
    <row r="118" spans="2:6" ht="0.5" customHeight="1"/>
    <row r="119" spans="2:6" ht="0.5" customHeight="1"/>
    <row r="120" spans="2:6" ht="0.5" customHeight="1"/>
    <row r="121" spans="2:6" ht="0.5" customHeight="1"/>
    <row r="122" spans="2:6" ht="0.5" customHeight="1"/>
    <row r="123" spans="2:6" ht="0.5" customHeight="1"/>
    <row r="124" spans="2:6" ht="0.5" customHeight="1"/>
    <row r="125" spans="2:6" ht="0.5" customHeight="1"/>
    <row r="126" spans="2:6" ht="0.5" customHeight="1"/>
    <row r="127" spans="2:6" ht="0.5" customHeight="1"/>
    <row r="128" spans="2:6" ht="0.5" customHeight="1"/>
    <row r="129" ht="0.5" customHeight="1"/>
    <row r="130" ht="0.5" customHeight="1"/>
    <row r="131" ht="0.5" customHeight="1"/>
    <row r="132" ht="0.5" customHeight="1"/>
    <row r="133" ht="0.5" customHeight="1"/>
    <row r="134" ht="0.5" customHeight="1"/>
    <row r="135" ht="0.5" customHeight="1"/>
    <row r="136" ht="0.5" customHeight="1"/>
    <row r="137" ht="0.5" customHeight="1"/>
    <row r="138" ht="0.5" customHeight="1"/>
    <row r="139" ht="0.5" customHeight="1"/>
    <row r="140" ht="0.5" customHeight="1"/>
    <row r="141" ht="0.5" customHeight="1"/>
    <row r="142" ht="0.5" customHeight="1"/>
    <row r="143" ht="0.5" customHeight="1"/>
    <row r="144" ht="0.5" customHeight="1"/>
    <row r="145" ht="0.5" customHeight="1"/>
    <row r="146" ht="0.5" customHeight="1"/>
    <row r="147" ht="0.5" customHeight="1"/>
    <row r="148" ht="0.5" customHeight="1"/>
    <row r="149" ht="0.5" customHeight="1"/>
    <row r="150" ht="0.5" customHeight="1"/>
    <row r="151" ht="0.5" customHeight="1"/>
    <row r="152" ht="0.5" customHeight="1"/>
    <row r="153" ht="0.5" customHeight="1"/>
    <row r="154" ht="0.5" customHeight="1"/>
    <row r="155" ht="0.5" customHeight="1"/>
    <row r="156" ht="0.5" customHeight="1"/>
    <row r="157" ht="0.5" customHeight="1"/>
    <row r="158" ht="0.5" customHeight="1"/>
    <row r="159" ht="0.5" customHeight="1"/>
    <row r="160" ht="0.5" customHeight="1"/>
    <row r="161" ht="0.5" customHeight="1"/>
    <row r="162" ht="0.5" customHeight="1"/>
    <row r="163" ht="0.5" customHeight="1"/>
    <row r="164" ht="0.5" customHeight="1"/>
    <row r="165" ht="0.5" customHeight="1"/>
    <row r="166" ht="0.5" customHeight="1"/>
    <row r="167" ht="0.5" customHeight="1"/>
    <row r="168" ht="0.5" customHeight="1"/>
    <row r="169" ht="0.5" customHeight="1"/>
    <row r="170" ht="0.5" customHeight="1"/>
    <row r="171" ht="0.5" customHeight="1"/>
    <row r="172" ht="0.5" customHeight="1"/>
    <row r="173" ht="0.5" customHeight="1"/>
    <row r="174" ht="0.5" customHeight="1"/>
    <row r="175" ht="0.5" customHeight="1"/>
    <row r="176" ht="0.5" customHeight="1"/>
    <row r="177" ht="0.5" customHeight="1"/>
    <row r="178" ht="0.5" customHeight="1"/>
    <row r="179" ht="0.5" customHeight="1"/>
    <row r="180" ht="0.5" customHeight="1"/>
    <row r="181" ht="0.5" customHeight="1"/>
    <row r="182" ht="0.5" customHeight="1"/>
    <row r="183" ht="0.5" customHeight="1"/>
    <row r="184" ht="0.5" customHeight="1"/>
    <row r="185" ht="0.5" customHeight="1"/>
    <row r="186" ht="0.5" customHeight="1"/>
    <row r="187" ht="0.5" customHeight="1"/>
    <row r="188" ht="0.5" customHeight="1"/>
    <row r="189" ht="0.5" customHeight="1"/>
    <row r="190" ht="0.5" customHeight="1"/>
    <row r="191" ht="0.5" customHeight="1"/>
    <row r="192" ht="0.5" customHeight="1"/>
    <row r="193" ht="0.5" customHeight="1"/>
    <row r="194" ht="0.5" customHeight="1"/>
    <row r="195" ht="0.5" customHeight="1"/>
    <row r="196" ht="0.5" customHeight="1"/>
    <row r="197" ht="0.5" customHeight="1"/>
    <row r="198" ht="0.5" customHeight="1"/>
    <row r="199" ht="0.5" customHeight="1"/>
    <row r="200" ht="0.5" customHeight="1"/>
    <row r="201" ht="0.5" customHeight="1"/>
    <row r="202" ht="0.5" customHeight="1"/>
    <row r="203" ht="0.5" customHeight="1"/>
    <row r="204" ht="0.5" customHeight="1"/>
    <row r="205" ht="0.5" customHeight="1"/>
    <row r="206" ht="0.5" customHeight="1"/>
    <row r="207" ht="0.5" customHeight="1"/>
    <row r="208" ht="0.5" customHeight="1"/>
    <row r="209" ht="0.5" customHeight="1"/>
    <row r="210" ht="0.5" customHeight="1"/>
    <row r="211" ht="0.5" customHeight="1"/>
    <row r="212" ht="0.5" customHeight="1"/>
    <row r="213" ht="0.5" customHeight="1"/>
    <row r="214" ht="0.5" customHeight="1"/>
    <row r="215" ht="0.5" customHeight="1"/>
    <row r="216" ht="0.5" customHeight="1"/>
    <row r="217" ht="0.5" customHeight="1"/>
    <row r="218" ht="0.5" customHeight="1"/>
    <row r="219" ht="0.5" customHeight="1"/>
    <row r="220" ht="0.5" customHeight="1"/>
    <row r="221" ht="0.5" customHeight="1"/>
    <row r="222" ht="0.5" customHeight="1"/>
    <row r="223" ht="0.5" customHeight="1"/>
    <row r="224" ht="0.5" customHeight="1"/>
    <row r="225" ht="0.5" customHeight="1"/>
    <row r="226" ht="0.5" customHeight="1"/>
    <row r="227" ht="0.5" customHeight="1"/>
    <row r="228" ht="0.5" customHeight="1"/>
    <row r="229" ht="0.5" customHeight="1"/>
    <row r="230" ht="0.5" customHeight="1"/>
    <row r="231" ht="0.5" customHeight="1"/>
    <row r="232" ht="0.5" customHeight="1"/>
    <row r="233" ht="0.5" customHeight="1"/>
    <row r="234" ht="0.5" customHeight="1"/>
    <row r="235" ht="0.5" customHeight="1"/>
    <row r="236" ht="0.5" customHeight="1"/>
    <row r="237" ht="0.5" customHeight="1"/>
    <row r="238" ht="0.5" customHeight="1"/>
    <row r="239" ht="0.5" customHeight="1"/>
    <row r="240" ht="0.5" customHeight="1"/>
    <row r="241" ht="0.5" customHeight="1"/>
    <row r="242" ht="0.5" customHeight="1"/>
    <row r="243" ht="0.5" customHeight="1"/>
    <row r="244" ht="0.5" customHeight="1"/>
    <row r="245" ht="0.5" customHeight="1"/>
    <row r="246" ht="0.5" customHeight="1"/>
    <row r="247" ht="0.5" customHeight="1"/>
    <row r="248" ht="0.5" customHeight="1"/>
    <row r="249" ht="0.5" customHeight="1"/>
    <row r="250" ht="0.5" customHeight="1"/>
    <row r="251" ht="0.5" customHeight="1"/>
    <row r="252" ht="0.5" customHeight="1"/>
    <row r="253" ht="0.5" customHeight="1"/>
    <row r="254" ht="0.5" customHeight="1"/>
    <row r="255" ht="0.5" customHeight="1"/>
    <row r="256" ht="0.5" customHeight="1"/>
    <row r="257" ht="0.5" customHeight="1"/>
    <row r="258" ht="0.5" customHeight="1"/>
    <row r="259" ht="0.5" customHeight="1"/>
    <row r="260" ht="0.5" customHeight="1"/>
    <row r="261" ht="0.5" customHeight="1"/>
    <row r="262" ht="0.5" customHeight="1"/>
    <row r="263" ht="0.5" customHeight="1"/>
    <row r="264" ht="0.5" customHeight="1"/>
    <row r="265" ht="0.5" customHeight="1"/>
    <row r="266" ht="0.5" customHeight="1"/>
    <row r="267" ht="0.5" customHeight="1"/>
    <row r="268" ht="0.5" customHeight="1"/>
    <row r="269" ht="0.5" customHeight="1"/>
    <row r="270" ht="0.5" customHeight="1"/>
    <row r="271" ht="0.5" customHeight="1"/>
    <row r="272" ht="0.5" customHeight="1"/>
    <row r="273" ht="0.5" customHeight="1"/>
    <row r="274" ht="0.5" customHeight="1"/>
    <row r="275" ht="0.5" customHeight="1"/>
    <row r="276" ht="0.5" customHeight="1"/>
    <row r="277" ht="0.5" customHeight="1"/>
    <row r="278" ht="0.5" customHeight="1"/>
    <row r="279" ht="0.5" customHeight="1"/>
    <row r="280" ht="0.5" customHeight="1"/>
    <row r="281" ht="0.5" customHeight="1"/>
    <row r="282" ht="0.5" customHeight="1"/>
    <row r="283" ht="0.5" customHeight="1"/>
    <row r="284" ht="0.5" customHeight="1"/>
    <row r="285" ht="0.5" customHeight="1"/>
    <row r="286" ht="0.5" customHeight="1"/>
    <row r="287" ht="0.5" customHeight="1"/>
    <row r="288" ht="0.5" customHeight="1"/>
    <row r="289" ht="0.5" customHeight="1"/>
    <row r="290" ht="0.5" customHeight="1"/>
    <row r="291" ht="0.5" customHeight="1"/>
    <row r="292" ht="0.5" customHeight="1"/>
    <row r="293" ht="0.5" customHeight="1"/>
    <row r="294" ht="0.5" customHeight="1"/>
    <row r="295" ht="0.5" customHeight="1"/>
    <row r="296" ht="0.5" customHeight="1"/>
    <row r="297" ht="0.5" customHeight="1"/>
    <row r="298" ht="0.5" customHeight="1"/>
    <row r="299" ht="0.5" customHeight="1"/>
    <row r="300" ht="0.5" customHeight="1"/>
    <row r="301" ht="0.5" customHeight="1"/>
    <row r="302" ht="0.5" customHeight="1"/>
    <row r="303" ht="0.5" customHeight="1"/>
    <row r="304" ht="0.5" customHeight="1"/>
    <row r="305" ht="0.5" customHeight="1"/>
    <row r="306" ht="0.5" customHeight="1"/>
    <row r="307" ht="0.5" customHeight="1"/>
    <row r="308" ht="0.5" customHeight="1"/>
    <row r="309" ht="0.5" customHeight="1"/>
    <row r="310" ht="0.5" customHeight="1"/>
    <row r="311" ht="0.5" customHeight="1"/>
    <row r="312" ht="0.5" customHeight="1"/>
    <row r="313" ht="0.5" customHeight="1"/>
    <row r="314" ht="0.5" customHeight="1"/>
    <row r="315" ht="0.5" customHeight="1"/>
    <row r="316" ht="0.5" customHeight="1"/>
    <row r="317" ht="0.5" customHeight="1"/>
    <row r="318" ht="0.5" customHeight="1"/>
    <row r="319" ht="0.5" customHeight="1"/>
    <row r="320" ht="0.5" customHeight="1"/>
    <row r="321" ht="0.5" customHeight="1"/>
    <row r="322" ht="0.5" customHeight="1"/>
    <row r="323" ht="0.5" customHeight="1"/>
    <row r="324" ht="0.5" customHeight="1"/>
    <row r="325" ht="0.5" customHeight="1"/>
    <row r="326" ht="0.5" customHeight="1"/>
    <row r="327" ht="0.5" customHeight="1"/>
    <row r="328" ht="0.5" customHeight="1"/>
    <row r="329" ht="0.5" customHeight="1"/>
    <row r="330" ht="0.5" customHeight="1"/>
    <row r="331" ht="0.5" customHeight="1"/>
    <row r="332" ht="0.5" customHeight="1"/>
    <row r="333" ht="0.5" customHeight="1"/>
    <row r="334" ht="0.5" customHeight="1"/>
    <row r="335" ht="0.5" customHeight="1"/>
    <row r="336" ht="0.5" customHeight="1"/>
    <row r="337" ht="0.5" customHeight="1"/>
    <row r="338" ht="0.5" customHeight="1"/>
    <row r="339" ht="0.5" customHeight="1"/>
    <row r="340" ht="0.5" customHeight="1"/>
    <row r="341" ht="0.5" customHeight="1"/>
    <row r="342" ht="0.5" customHeight="1"/>
    <row r="343" ht="0.5" customHeight="1"/>
    <row r="344" ht="0.5" customHeight="1"/>
    <row r="345" ht="0.5" customHeight="1"/>
    <row r="346" ht="0.5" customHeight="1"/>
    <row r="347" ht="0.5" customHeight="1"/>
    <row r="348" ht="0.5" customHeight="1"/>
    <row r="349" ht="0.5" customHeight="1"/>
    <row r="350" ht="0.5" customHeight="1"/>
    <row r="351" ht="0.5" customHeight="1"/>
    <row r="352" ht="0.5" customHeight="1"/>
    <row r="353" ht="0.5" customHeight="1"/>
    <row r="354" ht="0.5" customHeight="1"/>
    <row r="355" ht="0.5" customHeight="1"/>
    <row r="356" ht="0.5" customHeight="1"/>
    <row r="357" ht="0.5" customHeight="1"/>
    <row r="358" ht="0.5" customHeight="1"/>
    <row r="359" ht="0.5" customHeight="1"/>
    <row r="360" ht="0.5" customHeight="1"/>
    <row r="361" ht="0.5" customHeight="1"/>
    <row r="362" ht="0.5" customHeight="1"/>
    <row r="363" ht="0.5" customHeight="1"/>
    <row r="364" ht="0.5" customHeight="1"/>
    <row r="365" ht="0.5" customHeight="1"/>
    <row r="366" ht="0.5" customHeight="1"/>
    <row r="367" ht="0.5" customHeight="1"/>
    <row r="368" ht="0.5" customHeight="1"/>
    <row r="369" ht="0.5" customHeight="1"/>
    <row r="370" ht="0.5" customHeight="1"/>
    <row r="371" ht="0.5" customHeight="1"/>
    <row r="372" ht="0.5" customHeight="1"/>
    <row r="373" ht="0.5" customHeight="1"/>
    <row r="374" ht="0.5" customHeight="1"/>
    <row r="375" ht="0.5" customHeight="1"/>
    <row r="376" ht="0.5" customHeight="1"/>
    <row r="377" ht="0.5" customHeight="1"/>
    <row r="378" ht="0.5" customHeight="1"/>
    <row r="379" ht="0.5" customHeight="1"/>
    <row r="380" ht="0.5" customHeight="1"/>
    <row r="381" ht="0.5" customHeight="1"/>
    <row r="382" ht="0.5" customHeight="1"/>
    <row r="383" ht="0.5" customHeight="1"/>
    <row r="384" ht="0.5" customHeight="1"/>
    <row r="385" ht="0.5" customHeight="1"/>
    <row r="386" ht="0.5" customHeight="1"/>
    <row r="387" ht="0.5" customHeight="1"/>
    <row r="388" ht="0.5" customHeight="1"/>
    <row r="389" ht="0.5" customHeight="1"/>
    <row r="390" ht="0.5" customHeight="1"/>
    <row r="391" ht="0.5" customHeight="1"/>
    <row r="392" ht="0.5" customHeight="1"/>
    <row r="393" ht="0.5" customHeight="1"/>
    <row r="394" ht="0.5" customHeight="1"/>
    <row r="395" ht="0.5" customHeight="1"/>
    <row r="396" ht="0.5" customHeight="1"/>
    <row r="397" ht="0.5" customHeight="1"/>
    <row r="398" ht="0.5" customHeight="1"/>
    <row r="399" ht="0.5" customHeight="1"/>
    <row r="400" ht="0.5" customHeight="1"/>
    <row r="401" ht="0.5" customHeight="1"/>
    <row r="402" ht="0.5" customHeight="1"/>
    <row r="403" ht="0.5" customHeight="1"/>
    <row r="404" ht="0.5" customHeight="1"/>
    <row r="405" ht="0.5" customHeight="1"/>
    <row r="406" ht="0.5" customHeight="1"/>
    <row r="407" ht="0.5" customHeight="1"/>
    <row r="408" ht="0.5" customHeight="1"/>
    <row r="409" ht="0.5" customHeight="1"/>
    <row r="410" ht="0.5" customHeight="1"/>
    <row r="411" ht="0.5" customHeight="1"/>
    <row r="412" ht="0.5" customHeight="1"/>
    <row r="413" ht="0.5" customHeight="1"/>
    <row r="414" ht="0.5" customHeight="1"/>
    <row r="415" ht="0.5" customHeight="1"/>
    <row r="416" ht="0.5" customHeight="1"/>
    <row r="417" ht="0.5" customHeight="1"/>
    <row r="418" ht="0.5" customHeight="1"/>
    <row r="419" ht="0.5" customHeight="1"/>
    <row r="420" ht="0.5" customHeight="1"/>
    <row r="421" ht="0.5" customHeight="1"/>
    <row r="422" ht="0.5" customHeight="1"/>
    <row r="423" ht="0.5" customHeight="1"/>
    <row r="424" ht="0.5" customHeight="1"/>
    <row r="425" ht="0.5" customHeight="1"/>
    <row r="426" ht="0.5" customHeight="1"/>
    <row r="427" ht="0.5" customHeight="1"/>
    <row r="428" ht="0.5" customHeight="1"/>
    <row r="429" ht="0.5" customHeight="1"/>
    <row r="430" ht="0.5" customHeight="1"/>
    <row r="431" ht="0.5" customHeight="1"/>
    <row r="432" ht="0.5" customHeight="1"/>
    <row r="433" ht="0.5" customHeight="1"/>
    <row r="434" ht="0.5" customHeight="1"/>
    <row r="435" ht="0.5" customHeight="1"/>
    <row r="436" ht="0.5" customHeight="1"/>
    <row r="437" ht="0.5" customHeight="1"/>
    <row r="438" ht="0.5" customHeight="1"/>
    <row r="439" ht="0.5" customHeight="1"/>
    <row r="440" ht="0.5" customHeight="1"/>
    <row r="441" ht="0.5" customHeight="1"/>
    <row r="442" ht="0.5" customHeight="1"/>
    <row r="443" ht="0.5" customHeight="1"/>
    <row r="444" ht="0.5" customHeight="1"/>
    <row r="445" ht="0.5" customHeight="1"/>
    <row r="446" ht="0.5" customHeight="1"/>
    <row r="447" ht="0.5" customHeight="1"/>
    <row r="448" ht="0.5" customHeight="1"/>
    <row r="449" ht="0.5" customHeight="1"/>
    <row r="450" ht="0.5" customHeight="1"/>
    <row r="451" ht="0.5" customHeight="1"/>
    <row r="452" ht="0.5" customHeight="1"/>
    <row r="453" ht="0.5" customHeight="1"/>
    <row r="454" ht="0.5" customHeight="1"/>
    <row r="455" ht="0.5" customHeight="1"/>
    <row r="456" ht="0.5" customHeight="1"/>
    <row r="457" ht="0.5" customHeight="1"/>
    <row r="458" ht="0.5" customHeight="1"/>
    <row r="459" ht="0.5" customHeight="1"/>
    <row r="460" ht="0.5" customHeight="1"/>
    <row r="461" ht="0.5" customHeight="1"/>
    <row r="462" ht="0.5" customHeight="1"/>
    <row r="463" ht="0.5" customHeight="1"/>
    <row r="464" ht="0.5" customHeight="1"/>
    <row r="465" ht="0.5" customHeight="1"/>
    <row r="466" ht="0.5" customHeight="1"/>
    <row r="467" ht="0.5" customHeight="1"/>
    <row r="468" ht="0.5" customHeight="1"/>
    <row r="469" ht="0.5" customHeight="1"/>
    <row r="470" ht="0.5" customHeight="1"/>
    <row r="471" ht="0.5" customHeight="1"/>
    <row r="472" ht="0.5" customHeight="1"/>
    <row r="473" ht="0.5" customHeight="1"/>
    <row r="474" ht="0.5" customHeight="1"/>
    <row r="475" ht="0.5" customHeight="1"/>
    <row r="476" ht="0.5" customHeight="1"/>
    <row r="477" ht="0.5" customHeight="1"/>
    <row r="478" ht="0.5" customHeight="1"/>
    <row r="479" ht="0.5" customHeight="1"/>
    <row r="480" ht="0.5" customHeight="1"/>
    <row r="481" ht="0.5" customHeight="1"/>
    <row r="482" ht="0.5" customHeight="1"/>
    <row r="483" ht="0.5" customHeight="1"/>
    <row r="484" ht="0.5" customHeight="1"/>
    <row r="485" ht="0.5" customHeight="1"/>
    <row r="486" ht="0.5" customHeight="1"/>
    <row r="487" ht="0.5" customHeight="1"/>
    <row r="488" ht="0.5" customHeight="1"/>
    <row r="489" ht="0.5" customHeight="1"/>
    <row r="490" ht="0.5" customHeight="1"/>
    <row r="491" ht="0.5" customHeight="1"/>
    <row r="492" ht="0.5" customHeight="1"/>
    <row r="493" ht="0.5" customHeight="1"/>
    <row r="494" ht="0.5" customHeight="1"/>
    <row r="495" ht="0.5" customHeight="1"/>
    <row r="496" ht="0.5" customHeight="1"/>
    <row r="497" ht="0.5" customHeight="1"/>
    <row r="498" ht="0.5" customHeight="1"/>
    <row r="499" ht="0.5" customHeight="1"/>
    <row r="500" ht="0.5" customHeight="1"/>
    <row r="501" ht="0.5" customHeight="1"/>
    <row r="502" ht="0.5" customHeight="1"/>
    <row r="503" ht="0.5" customHeight="1"/>
    <row r="504" ht="0.5" customHeight="1"/>
    <row r="505" ht="0.5" customHeight="1"/>
    <row r="506" ht="0.5" customHeight="1"/>
    <row r="507" ht="0.5" customHeight="1"/>
    <row r="508" ht="0.5" customHeight="1"/>
    <row r="509" ht="0.5" customHeight="1"/>
    <row r="510" ht="0.5" customHeight="1"/>
    <row r="511" ht="0.5" customHeight="1"/>
    <row r="512" ht="0.5" customHeight="1"/>
    <row r="513" ht="0.5" customHeight="1"/>
    <row r="514" ht="0.5" customHeight="1"/>
    <row r="515" ht="0.5" customHeight="1"/>
    <row r="516" ht="0.5" customHeight="1"/>
    <row r="517" ht="0.5" customHeight="1"/>
    <row r="518" ht="0.5" customHeight="1"/>
    <row r="519" ht="0.5" customHeight="1"/>
    <row r="520" ht="0.5" customHeight="1"/>
    <row r="521" ht="0.5" customHeight="1"/>
    <row r="522" ht="0.5" customHeight="1"/>
    <row r="523" ht="0.5" customHeight="1"/>
    <row r="524" ht="0.5" customHeight="1"/>
    <row r="525" ht="0.5" customHeight="1"/>
    <row r="526" ht="0.5" customHeight="1"/>
    <row r="527" ht="0.5" customHeight="1"/>
    <row r="528" ht="0.5" customHeight="1"/>
    <row r="529" ht="0.5" customHeight="1"/>
    <row r="530" ht="0.5" customHeight="1"/>
    <row r="531" ht="0.5" customHeight="1"/>
    <row r="532" ht="0.5" customHeight="1"/>
    <row r="533" ht="0.5" customHeight="1"/>
    <row r="534" ht="0.5" customHeight="1"/>
    <row r="535" ht="0.5" customHeight="1"/>
    <row r="536" ht="0.5" customHeight="1"/>
    <row r="537" ht="0.5" customHeight="1"/>
    <row r="538" ht="0.5" customHeight="1"/>
    <row r="539" ht="0.5" customHeight="1"/>
    <row r="540" ht="0.5" customHeight="1"/>
    <row r="541" ht="0.5" customHeight="1"/>
    <row r="542" ht="0.5" customHeight="1"/>
    <row r="543" ht="0.5" customHeight="1"/>
    <row r="544" ht="0.5" customHeight="1"/>
    <row r="545" ht="0.5" customHeight="1"/>
    <row r="546" ht="0.5" customHeight="1"/>
    <row r="547" ht="0.5" customHeight="1"/>
    <row r="548" ht="0.5" customHeight="1"/>
    <row r="549" ht="0.5" customHeight="1"/>
    <row r="550" ht="0.5" customHeight="1"/>
    <row r="551" ht="0.5" customHeight="1"/>
    <row r="552" ht="0.5" customHeight="1"/>
    <row r="553" ht="0.5" customHeight="1"/>
    <row r="554" ht="0.5" customHeight="1"/>
    <row r="555" ht="0.5" customHeight="1"/>
    <row r="556" ht="0.5" customHeight="1"/>
    <row r="557" ht="0.5" customHeight="1"/>
    <row r="558" ht="0.5" customHeight="1"/>
    <row r="559" ht="0.5" customHeight="1"/>
    <row r="560" ht="0.5" customHeight="1"/>
    <row r="561" ht="0.5" customHeight="1"/>
    <row r="562" ht="0.5" customHeight="1"/>
    <row r="563" ht="0.5" customHeight="1"/>
    <row r="564" ht="0.5" customHeight="1"/>
    <row r="565" ht="0.5" customHeight="1"/>
    <row r="566" ht="0.5" customHeight="1"/>
    <row r="567" ht="0.5" customHeight="1"/>
    <row r="568" ht="0.5" customHeight="1"/>
    <row r="569" ht="0.5" customHeight="1"/>
    <row r="570" ht="0.5" customHeight="1"/>
    <row r="571" ht="0.5" customHeight="1"/>
    <row r="572" ht="0.5" customHeight="1"/>
    <row r="573" ht="0.5" customHeight="1"/>
    <row r="574" ht="0.5" customHeight="1"/>
    <row r="575" ht="0.5" customHeight="1"/>
    <row r="576" ht="0.5" customHeight="1"/>
    <row r="577" ht="0.5" customHeight="1"/>
    <row r="578" ht="0.5" customHeight="1"/>
    <row r="579" ht="0.5" customHeight="1"/>
    <row r="580" ht="0.5" customHeight="1"/>
    <row r="581" ht="0.5" customHeight="1"/>
    <row r="582" ht="0.5" customHeight="1"/>
    <row r="583" ht="0.5" customHeight="1"/>
    <row r="584" ht="0.5" customHeight="1"/>
    <row r="585" ht="0.5" customHeight="1"/>
    <row r="586" ht="0.5" customHeight="1"/>
    <row r="587" ht="0.5" customHeight="1"/>
    <row r="588" ht="0.5" customHeight="1"/>
    <row r="589" ht="0.5" customHeight="1"/>
    <row r="590" ht="0.5" customHeight="1"/>
    <row r="591" ht="0.5" customHeight="1"/>
    <row r="592" ht="0.5" customHeight="1"/>
    <row r="593" ht="0.5" customHeight="1"/>
    <row r="594" ht="0.5" customHeight="1"/>
    <row r="595" ht="0.5" customHeight="1"/>
    <row r="596" ht="0.5" customHeight="1"/>
    <row r="597" ht="0.5" customHeight="1"/>
    <row r="598" ht="0.5" customHeight="1"/>
    <row r="599" ht="0.5" customHeight="1"/>
    <row r="600" ht="0.5" customHeight="1"/>
    <row r="601" ht="0.5" customHeight="1"/>
    <row r="602" ht="0.5" customHeight="1"/>
    <row r="603" ht="0.5" customHeight="1"/>
    <row r="604" ht="0.5" customHeight="1"/>
    <row r="605" ht="0.5" customHeight="1"/>
    <row r="606" ht="0.5" customHeight="1"/>
    <row r="607" ht="0.5" customHeight="1"/>
    <row r="608" ht="0.5" customHeight="1"/>
    <row r="609" ht="0.5" customHeight="1"/>
    <row r="610" ht="0.5" customHeight="1"/>
    <row r="611" ht="0.5" customHeight="1"/>
    <row r="612" ht="0.5" customHeight="1"/>
    <row r="613" ht="0.5" customHeight="1"/>
    <row r="614" ht="0.5" customHeight="1"/>
    <row r="615" ht="0.5" customHeight="1"/>
    <row r="616" ht="0.5" customHeight="1"/>
    <row r="617" ht="0.5" customHeight="1"/>
  </sheetData>
  <mergeCells count="1">
    <mergeCell ref="B38:S38"/>
  </mergeCells>
  <pageMargins left="0.7" right="0.7" top="0.75" bottom="0.75" header="0.3" footer="0.3"/>
  <pageSetup scale="5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zoomScaleNormal="100" zoomScaleSheetLayoutView="100" workbookViewId="0">
      <selection activeCell="M10" sqref="M10"/>
    </sheetView>
  </sheetViews>
  <sheetFormatPr defaultColWidth="9.1796875" defaultRowHeight="15.5"/>
  <cols>
    <col min="1" max="1" width="4" style="142" customWidth="1"/>
    <col min="2" max="2" width="48.453125" style="142" customWidth="1"/>
    <col min="3" max="3" width="3.26953125" style="142" customWidth="1"/>
    <col min="4" max="4" width="19.7265625" style="142" customWidth="1"/>
    <col min="5" max="8" width="9.1796875" style="142"/>
    <col min="9" max="9" width="3.81640625" style="142" customWidth="1"/>
    <col min="10" max="11" width="9.1796875" style="142"/>
    <col min="12" max="12" width="2.81640625" style="142" customWidth="1"/>
    <col min="13" max="16384" width="9.1796875" style="142"/>
  </cols>
  <sheetData>
    <row r="1" spans="1:12">
      <c r="A1" s="141"/>
      <c r="B1" s="141"/>
      <c r="C1" s="141"/>
      <c r="D1" s="141"/>
      <c r="E1" s="141"/>
      <c r="F1" s="141"/>
      <c r="G1" s="141"/>
      <c r="H1" s="141"/>
      <c r="I1" s="141"/>
      <c r="J1" s="141"/>
      <c r="K1" s="141"/>
      <c r="L1" s="141"/>
    </row>
    <row r="2" spans="1:12" ht="15.75" customHeight="1">
      <c r="A2" s="141"/>
      <c r="B2" s="143" t="s">
        <v>279</v>
      </c>
      <c r="C2" s="143"/>
      <c r="D2" s="143"/>
      <c r="E2" s="143"/>
      <c r="F2" s="143"/>
      <c r="G2" s="143"/>
      <c r="H2" s="143"/>
      <c r="I2" s="143"/>
      <c r="J2" s="144"/>
      <c r="K2" s="144"/>
      <c r="L2" s="141"/>
    </row>
    <row r="3" spans="1:12" ht="16.5" customHeight="1" thickBot="1">
      <c r="A3" s="141"/>
      <c r="B3" s="145"/>
      <c r="C3" s="145"/>
      <c r="D3" s="145"/>
      <c r="E3" s="145"/>
      <c r="F3" s="145"/>
      <c r="G3" s="145"/>
      <c r="H3" s="145"/>
      <c r="I3" s="145"/>
      <c r="J3" s="146"/>
      <c r="K3" s="146"/>
      <c r="L3" s="141"/>
    </row>
    <row r="4" spans="1:12" ht="47" thickBot="1">
      <c r="A4" s="141"/>
      <c r="B4" s="147" t="s">
        <v>280</v>
      </c>
      <c r="C4" s="148"/>
      <c r="D4" s="149" t="s">
        <v>281</v>
      </c>
      <c r="E4" s="442" t="s">
        <v>282</v>
      </c>
      <c r="F4" s="442"/>
      <c r="G4" s="442" t="s">
        <v>283</v>
      </c>
      <c r="H4" s="442"/>
      <c r="I4" s="150"/>
      <c r="J4" s="442" t="s">
        <v>284</v>
      </c>
      <c r="K4" s="442"/>
      <c r="L4" s="141"/>
    </row>
    <row r="5" spans="1:12" ht="16" thickBot="1">
      <c r="A5" s="141"/>
      <c r="B5" s="146"/>
      <c r="C5" s="148"/>
      <c r="D5" s="442">
        <v>2003</v>
      </c>
      <c r="E5" s="442"/>
      <c r="F5" s="442"/>
      <c r="G5" s="442"/>
      <c r="H5" s="442"/>
      <c r="I5" s="151"/>
      <c r="J5" s="442" t="s">
        <v>285</v>
      </c>
      <c r="K5" s="442"/>
      <c r="L5" s="141"/>
    </row>
    <row r="6" spans="1:12">
      <c r="A6" s="141"/>
      <c r="B6" s="152" t="s">
        <v>36</v>
      </c>
      <c r="C6" s="152"/>
      <c r="D6" s="153"/>
      <c r="E6" s="141"/>
      <c r="F6" s="440"/>
      <c r="G6" s="440"/>
      <c r="H6" s="440"/>
      <c r="I6" s="441"/>
      <c r="J6" s="440"/>
      <c r="K6" s="141"/>
      <c r="L6" s="141"/>
    </row>
    <row r="7" spans="1:12">
      <c r="A7" s="141"/>
      <c r="B7" s="144" t="s">
        <v>286</v>
      </c>
      <c r="C7" s="144"/>
      <c r="D7" s="154">
        <v>0.75</v>
      </c>
      <c r="E7" s="438">
        <v>8.69</v>
      </c>
      <c r="F7" s="438"/>
      <c r="G7" s="438">
        <v>7.34</v>
      </c>
      <c r="H7" s="438"/>
      <c r="I7" s="154"/>
      <c r="J7" s="438">
        <v>1.87</v>
      </c>
      <c r="K7" s="438"/>
      <c r="L7" s="141"/>
    </row>
    <row r="8" spans="1:12">
      <c r="A8" s="141"/>
      <c r="B8" s="144" t="s">
        <v>287</v>
      </c>
      <c r="C8" s="144"/>
      <c r="D8" s="154">
        <v>1.36</v>
      </c>
      <c r="E8" s="438">
        <v>12.94</v>
      </c>
      <c r="F8" s="438"/>
      <c r="G8" s="438">
        <v>5.46</v>
      </c>
      <c r="H8" s="438"/>
      <c r="I8" s="154"/>
      <c r="J8" s="438">
        <v>0.87</v>
      </c>
      <c r="K8" s="438"/>
      <c r="L8" s="141"/>
    </row>
    <row r="9" spans="1:12">
      <c r="A9" s="141"/>
      <c r="B9" s="144" t="s">
        <v>288</v>
      </c>
      <c r="C9" s="144"/>
      <c r="D9" s="154">
        <v>0.74</v>
      </c>
      <c r="E9" s="438">
        <v>10.93</v>
      </c>
      <c r="F9" s="438"/>
      <c r="G9" s="438">
        <v>2.8</v>
      </c>
      <c r="H9" s="438"/>
      <c r="I9" s="154"/>
      <c r="J9" s="438">
        <v>0.68</v>
      </c>
      <c r="K9" s="438"/>
      <c r="L9" s="141"/>
    </row>
    <row r="10" spans="1:12">
      <c r="A10" s="141"/>
      <c r="B10" s="144" t="s">
        <v>289</v>
      </c>
      <c r="C10" s="144"/>
      <c r="D10" s="154">
        <v>1.39</v>
      </c>
      <c r="E10" s="438">
        <v>12.09</v>
      </c>
      <c r="F10" s="438"/>
      <c r="G10" s="438">
        <v>0.33</v>
      </c>
      <c r="H10" s="438"/>
      <c r="I10" s="154"/>
      <c r="J10" s="438">
        <v>0.3</v>
      </c>
      <c r="K10" s="438"/>
      <c r="L10" s="141"/>
    </row>
    <row r="11" spans="1:12">
      <c r="A11" s="141"/>
      <c r="B11" s="144"/>
      <c r="C11" s="144"/>
      <c r="D11" s="154"/>
      <c r="E11" s="438"/>
      <c r="F11" s="438"/>
      <c r="G11" s="438"/>
      <c r="H11" s="438"/>
      <c r="I11" s="154"/>
      <c r="J11" s="438"/>
      <c r="K11" s="438"/>
      <c r="L11" s="141"/>
    </row>
    <row r="12" spans="1:12">
      <c r="A12" s="141"/>
      <c r="B12" s="152" t="s">
        <v>40</v>
      </c>
      <c r="C12" s="152"/>
      <c r="D12" s="154"/>
      <c r="E12" s="438"/>
      <c r="F12" s="438"/>
      <c r="G12" s="438"/>
      <c r="H12" s="438"/>
      <c r="I12" s="154"/>
      <c r="J12" s="438"/>
      <c r="K12" s="438"/>
      <c r="L12" s="141"/>
    </row>
    <row r="13" spans="1:12">
      <c r="A13" s="141"/>
      <c r="B13" s="144" t="s">
        <v>287</v>
      </c>
      <c r="C13" s="144"/>
      <c r="D13" s="154">
        <v>1.57</v>
      </c>
      <c r="E13" s="438">
        <v>9.8800000000000008</v>
      </c>
      <c r="F13" s="438"/>
      <c r="G13" s="438">
        <v>4.25</v>
      </c>
      <c r="H13" s="438"/>
      <c r="I13" s="154"/>
      <c r="J13" s="438">
        <v>1.85</v>
      </c>
      <c r="K13" s="438"/>
      <c r="L13" s="141"/>
    </row>
    <row r="14" spans="1:12">
      <c r="A14" s="141"/>
      <c r="B14" s="144" t="s">
        <v>286</v>
      </c>
      <c r="C14" s="144"/>
      <c r="D14" s="154">
        <v>0.82</v>
      </c>
      <c r="E14" s="438">
        <v>5.1100000000000003</v>
      </c>
      <c r="F14" s="438"/>
      <c r="G14" s="438">
        <v>7.77</v>
      </c>
      <c r="H14" s="438"/>
      <c r="I14" s="154"/>
      <c r="J14" s="438">
        <v>1.51</v>
      </c>
      <c r="K14" s="438"/>
      <c r="L14" s="141"/>
    </row>
    <row r="15" spans="1:12">
      <c r="A15" s="141"/>
      <c r="B15" s="144" t="s">
        <v>288</v>
      </c>
      <c r="C15" s="144"/>
      <c r="D15" s="154">
        <v>0.63</v>
      </c>
      <c r="E15" s="438">
        <v>6.55</v>
      </c>
      <c r="F15" s="438"/>
      <c r="G15" s="438">
        <v>3.62</v>
      </c>
      <c r="H15" s="438"/>
      <c r="I15" s="154"/>
      <c r="J15" s="438">
        <v>1.05</v>
      </c>
      <c r="K15" s="438"/>
      <c r="L15" s="141"/>
    </row>
    <row r="16" spans="1:12">
      <c r="A16" s="141"/>
      <c r="B16" s="144" t="s">
        <v>290</v>
      </c>
      <c r="C16" s="144"/>
      <c r="D16" s="154">
        <v>1.1499999999999999</v>
      </c>
      <c r="E16" s="438">
        <v>6.66</v>
      </c>
      <c r="F16" s="438"/>
      <c r="G16" s="438">
        <v>3.96</v>
      </c>
      <c r="H16" s="438"/>
      <c r="I16" s="154"/>
      <c r="J16" s="438">
        <v>0.71</v>
      </c>
      <c r="K16" s="438"/>
      <c r="L16" s="141"/>
    </row>
    <row r="17" spans="1:12">
      <c r="A17" s="141"/>
      <c r="B17" s="144"/>
      <c r="C17" s="144"/>
      <c r="D17" s="154"/>
      <c r="E17" s="438"/>
      <c r="F17" s="438"/>
      <c r="G17" s="438"/>
      <c r="H17" s="438"/>
      <c r="I17" s="154"/>
      <c r="J17" s="438"/>
      <c r="K17" s="438"/>
      <c r="L17" s="141"/>
    </row>
    <row r="18" spans="1:12">
      <c r="A18" s="141"/>
      <c r="B18" s="152" t="s">
        <v>41</v>
      </c>
      <c r="C18" s="152"/>
      <c r="D18" s="154"/>
      <c r="E18" s="438"/>
      <c r="F18" s="438"/>
      <c r="G18" s="438"/>
      <c r="H18" s="438"/>
      <c r="I18" s="154"/>
      <c r="J18" s="438"/>
      <c r="K18" s="438"/>
      <c r="L18" s="141"/>
    </row>
    <row r="19" spans="1:12">
      <c r="A19" s="141"/>
      <c r="B19" s="144" t="s">
        <v>291</v>
      </c>
      <c r="C19" s="144"/>
      <c r="D19" s="154">
        <v>7.16</v>
      </c>
      <c r="E19" s="438">
        <v>10.74</v>
      </c>
      <c r="F19" s="438"/>
      <c r="G19" s="438">
        <v>16.37</v>
      </c>
      <c r="H19" s="438"/>
      <c r="I19" s="154"/>
      <c r="J19" s="438">
        <v>2.85</v>
      </c>
      <c r="K19" s="438"/>
      <c r="L19" s="141"/>
    </row>
    <row r="20" spans="1:12">
      <c r="A20" s="141"/>
      <c r="B20" s="144" t="s">
        <v>292</v>
      </c>
      <c r="C20" s="144"/>
      <c r="D20" s="154">
        <v>7.69</v>
      </c>
      <c r="E20" s="438">
        <v>13.47</v>
      </c>
      <c r="F20" s="438"/>
      <c r="G20" s="438">
        <v>0.02</v>
      </c>
      <c r="H20" s="438"/>
      <c r="I20" s="154"/>
      <c r="J20" s="438">
        <v>2.5</v>
      </c>
      <c r="K20" s="438"/>
      <c r="L20" s="141"/>
    </row>
    <row r="21" spans="1:12">
      <c r="A21" s="141"/>
      <c r="B21" s="144" t="s">
        <v>287</v>
      </c>
      <c r="C21" s="144"/>
      <c r="D21" s="154">
        <v>7.78</v>
      </c>
      <c r="E21" s="438">
        <v>13.15</v>
      </c>
      <c r="F21" s="438"/>
      <c r="G21" s="438">
        <v>3.88</v>
      </c>
      <c r="H21" s="438"/>
      <c r="I21" s="154"/>
      <c r="J21" s="438">
        <v>1.43</v>
      </c>
      <c r="K21" s="438"/>
      <c r="L21" s="141"/>
    </row>
    <row r="22" spans="1:12">
      <c r="A22" s="141"/>
      <c r="B22" s="144" t="s">
        <v>293</v>
      </c>
      <c r="C22" s="144"/>
      <c r="D22" s="154">
        <v>7.12</v>
      </c>
      <c r="E22" s="438">
        <v>10.68</v>
      </c>
      <c r="F22" s="438"/>
      <c r="G22" s="438">
        <v>1.21</v>
      </c>
      <c r="H22" s="438"/>
      <c r="I22" s="154"/>
      <c r="J22" s="438" t="s">
        <v>294</v>
      </c>
      <c r="K22" s="438"/>
      <c r="L22" s="141"/>
    </row>
    <row r="23" spans="1:12">
      <c r="A23" s="141"/>
      <c r="B23" s="144"/>
      <c r="C23" s="144"/>
      <c r="D23" s="154"/>
      <c r="E23" s="438"/>
      <c r="F23" s="438"/>
      <c r="G23" s="438"/>
      <c r="H23" s="438"/>
      <c r="I23" s="154"/>
      <c r="J23" s="438"/>
      <c r="K23" s="438"/>
      <c r="L23" s="141"/>
    </row>
    <row r="24" spans="1:12">
      <c r="A24" s="141"/>
      <c r="B24" s="152" t="s">
        <v>56</v>
      </c>
      <c r="C24" s="152"/>
      <c r="D24" s="154"/>
      <c r="E24" s="438"/>
      <c r="F24" s="438"/>
      <c r="G24" s="438"/>
      <c r="H24" s="438"/>
      <c r="I24" s="154"/>
      <c r="J24" s="438"/>
      <c r="K24" s="438"/>
      <c r="L24" s="141"/>
    </row>
    <row r="25" spans="1:12">
      <c r="A25" s="141"/>
      <c r="B25" s="144" t="s">
        <v>286</v>
      </c>
      <c r="C25" s="144"/>
      <c r="D25" s="154">
        <v>1.44</v>
      </c>
      <c r="E25" s="438">
        <v>8.9</v>
      </c>
      <c r="F25" s="438"/>
      <c r="G25" s="438">
        <v>4.0999999999999996</v>
      </c>
      <c r="H25" s="438"/>
      <c r="I25" s="154"/>
      <c r="J25" s="438">
        <v>1.89</v>
      </c>
      <c r="K25" s="438"/>
      <c r="L25" s="141"/>
    </row>
    <row r="26" spans="1:12">
      <c r="A26" s="141"/>
      <c r="B26" s="144" t="s">
        <v>295</v>
      </c>
      <c r="C26" s="144"/>
      <c r="D26" s="154">
        <v>1.49</v>
      </c>
      <c r="E26" s="438">
        <v>12.06</v>
      </c>
      <c r="F26" s="438"/>
      <c r="G26" s="438">
        <v>4.45</v>
      </c>
      <c r="H26" s="438"/>
      <c r="I26" s="154"/>
      <c r="J26" s="438">
        <v>0.95</v>
      </c>
      <c r="K26" s="438"/>
      <c r="L26" s="141"/>
    </row>
    <row r="27" spans="1:12">
      <c r="A27" s="141"/>
      <c r="B27" s="144" t="s">
        <v>288</v>
      </c>
      <c r="C27" s="144"/>
      <c r="D27" s="154">
        <v>1.33</v>
      </c>
      <c r="E27" s="438">
        <v>8.01</v>
      </c>
      <c r="F27" s="438"/>
      <c r="G27" s="438">
        <v>5.38</v>
      </c>
      <c r="H27" s="438"/>
      <c r="I27" s="154"/>
      <c r="J27" s="438">
        <v>0.9</v>
      </c>
      <c r="K27" s="438"/>
      <c r="L27" s="141"/>
    </row>
    <row r="28" spans="1:12" ht="16" thickBot="1">
      <c r="A28" s="141"/>
      <c r="B28" s="146" t="s">
        <v>290</v>
      </c>
      <c r="C28" s="146"/>
      <c r="D28" s="155">
        <v>1.2</v>
      </c>
      <c r="E28" s="439">
        <v>9.99</v>
      </c>
      <c r="F28" s="439"/>
      <c r="G28" s="439">
        <v>5.29</v>
      </c>
      <c r="H28" s="439"/>
      <c r="I28" s="155"/>
      <c r="J28" s="439">
        <v>0.82</v>
      </c>
      <c r="K28" s="439"/>
      <c r="L28" s="141"/>
    </row>
    <row r="29" spans="1:12" ht="46.5" customHeight="1">
      <c r="A29" s="141"/>
      <c r="B29" s="437" t="s">
        <v>296</v>
      </c>
      <c r="C29" s="437"/>
      <c r="D29" s="437"/>
      <c r="E29" s="437"/>
      <c r="F29" s="437"/>
      <c r="G29" s="437"/>
      <c r="H29" s="437"/>
      <c r="I29" s="437"/>
      <c r="J29" s="437"/>
      <c r="K29" s="437"/>
      <c r="L29" s="141"/>
    </row>
    <row r="30" spans="1:12">
      <c r="B30" s="156"/>
      <c r="C30" s="156"/>
    </row>
  </sheetData>
  <mergeCells count="74">
    <mergeCell ref="F6:G6"/>
    <mergeCell ref="H6:J6"/>
    <mergeCell ref="E4:F4"/>
    <mergeCell ref="G4:H4"/>
    <mergeCell ref="J4:K4"/>
    <mergeCell ref="D5:H5"/>
    <mergeCell ref="J5:K5"/>
    <mergeCell ref="E7:F7"/>
    <mergeCell ref="G7:H7"/>
    <mergeCell ref="J7:K7"/>
    <mergeCell ref="E8:F8"/>
    <mergeCell ref="G8:H8"/>
    <mergeCell ref="J8:K8"/>
    <mergeCell ref="E9:F9"/>
    <mergeCell ref="G9:H9"/>
    <mergeCell ref="J9:K9"/>
    <mergeCell ref="E10:F10"/>
    <mergeCell ref="G10:H10"/>
    <mergeCell ref="J10:K10"/>
    <mergeCell ref="E11:F11"/>
    <mergeCell ref="G11:H11"/>
    <mergeCell ref="J11:K11"/>
    <mergeCell ref="E12:F12"/>
    <mergeCell ref="G12:H12"/>
    <mergeCell ref="J12:K12"/>
    <mergeCell ref="E13:F13"/>
    <mergeCell ref="G13:H13"/>
    <mergeCell ref="J13:K13"/>
    <mergeCell ref="E14:F14"/>
    <mergeCell ref="G14:H14"/>
    <mergeCell ref="J14:K14"/>
    <mergeCell ref="E15:F15"/>
    <mergeCell ref="G15:H15"/>
    <mergeCell ref="J15:K15"/>
    <mergeCell ref="E16:F16"/>
    <mergeCell ref="G16:H16"/>
    <mergeCell ref="J16:K16"/>
    <mergeCell ref="E17:F17"/>
    <mergeCell ref="G17:H17"/>
    <mergeCell ref="J17:K17"/>
    <mergeCell ref="E18:F18"/>
    <mergeCell ref="G18:H18"/>
    <mergeCell ref="J18:K18"/>
    <mergeCell ref="E19:F19"/>
    <mergeCell ref="G19:H19"/>
    <mergeCell ref="J19:K19"/>
    <mergeCell ref="E20:F20"/>
    <mergeCell ref="G20:H20"/>
    <mergeCell ref="J20:K20"/>
    <mergeCell ref="E21:F21"/>
    <mergeCell ref="G21:H21"/>
    <mergeCell ref="J21:K21"/>
    <mergeCell ref="E22:F22"/>
    <mergeCell ref="G22:H22"/>
    <mergeCell ref="J22:K22"/>
    <mergeCell ref="E23:F23"/>
    <mergeCell ref="G23:H23"/>
    <mergeCell ref="J23:K23"/>
    <mergeCell ref="E24:F24"/>
    <mergeCell ref="G24:H24"/>
    <mergeCell ref="J24:K24"/>
    <mergeCell ref="E25:F25"/>
    <mergeCell ref="G25:H25"/>
    <mergeCell ref="J25:K25"/>
    <mergeCell ref="E26:F26"/>
    <mergeCell ref="G26:H26"/>
    <mergeCell ref="J26:K26"/>
    <mergeCell ref="B29:K29"/>
    <mergeCell ref="E27:F27"/>
    <mergeCell ref="G27:H27"/>
    <mergeCell ref="J27:K27"/>
    <mergeCell ref="E28:F28"/>
    <mergeCell ref="G28:H28"/>
    <mergeCell ref="J28:K28"/>
  </mergeCells>
  <pageMargins left="0.7" right="0.7" top="0.75" bottom="0.75" header="0.3" footer="0.3"/>
  <pageSetup scale="6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2"/>
  <sheetViews>
    <sheetView zoomScaleNormal="100" zoomScaleSheetLayoutView="100" workbookViewId="0">
      <selection activeCell="B32" sqref="B32:H32"/>
    </sheetView>
  </sheetViews>
  <sheetFormatPr defaultColWidth="9.1796875" defaultRowHeight="14.5"/>
  <cols>
    <col min="1" max="1" width="3.81640625" style="1" customWidth="1"/>
    <col min="2" max="2" width="56.453125" style="1" customWidth="1"/>
    <col min="3" max="3" width="11.453125" style="157" customWidth="1"/>
    <col min="4" max="8" width="15.7265625" style="1" customWidth="1"/>
    <col min="9" max="9" width="4.453125" style="1" customWidth="1"/>
    <col min="10" max="16384" width="9.1796875" style="1"/>
  </cols>
  <sheetData>
    <row r="2" spans="2:8" ht="17.5">
      <c r="B2" s="3" t="s">
        <v>297</v>
      </c>
    </row>
    <row r="4" spans="2:8" ht="15.5">
      <c r="B4" s="158"/>
      <c r="C4" s="159"/>
      <c r="D4" s="443" t="s">
        <v>284</v>
      </c>
      <c r="E4" s="443"/>
      <c r="F4" s="443"/>
      <c r="G4" s="443"/>
      <c r="H4" s="443"/>
    </row>
    <row r="5" spans="2:8" ht="62">
      <c r="B5" s="161" t="s">
        <v>298</v>
      </c>
      <c r="C5" s="162" t="s">
        <v>299</v>
      </c>
      <c r="D5" s="162" t="s">
        <v>300</v>
      </c>
      <c r="E5" s="162" t="s">
        <v>301</v>
      </c>
      <c r="F5" s="162" t="s">
        <v>302</v>
      </c>
      <c r="G5" s="162" t="s">
        <v>303</v>
      </c>
      <c r="H5" s="162" t="s">
        <v>304</v>
      </c>
    </row>
    <row r="6" spans="2:8" ht="15.5">
      <c r="B6" s="163" t="s">
        <v>305</v>
      </c>
      <c r="C6" s="164"/>
      <c r="D6" s="165">
        <v>1.87</v>
      </c>
      <c r="E6" s="165">
        <v>1.3</v>
      </c>
      <c r="F6" s="165">
        <v>1.46</v>
      </c>
      <c r="G6" s="165">
        <v>1.21</v>
      </c>
      <c r="H6" s="165">
        <v>5.62</v>
      </c>
    </row>
    <row r="7" spans="2:8" ht="15.5">
      <c r="B7" s="166" t="s">
        <v>306</v>
      </c>
      <c r="C7" s="167">
        <v>12</v>
      </c>
      <c r="D7" s="167">
        <v>-0.08</v>
      </c>
      <c r="E7" s="167">
        <v>-0.08</v>
      </c>
      <c r="F7" s="167">
        <v>0.4</v>
      </c>
      <c r="G7" s="167">
        <v>0.06</v>
      </c>
      <c r="H7" s="167">
        <v>0.59</v>
      </c>
    </row>
    <row r="8" spans="2:8" ht="15.5">
      <c r="B8" s="166" t="s">
        <v>307</v>
      </c>
      <c r="C8" s="167">
        <v>21</v>
      </c>
      <c r="D8" s="167">
        <v>0.23</v>
      </c>
      <c r="E8" s="167">
        <v>1.02</v>
      </c>
      <c r="F8" s="167">
        <v>0.26</v>
      </c>
      <c r="G8" s="167">
        <v>-0.14000000000000001</v>
      </c>
      <c r="H8" s="167">
        <v>1.36</v>
      </c>
    </row>
    <row r="9" spans="2:8" ht="15.5">
      <c r="B9" s="166" t="s">
        <v>308</v>
      </c>
      <c r="C9" s="167">
        <v>22</v>
      </c>
      <c r="D9" s="167">
        <v>0.42</v>
      </c>
      <c r="E9" s="167">
        <v>0.15</v>
      </c>
      <c r="F9" s="167">
        <v>0.39</v>
      </c>
      <c r="G9" s="167">
        <v>0.18</v>
      </c>
      <c r="H9" s="167">
        <v>0.56999999999999995</v>
      </c>
    </row>
    <row r="10" spans="2:8" ht="15.5">
      <c r="B10" s="166" t="s">
        <v>309</v>
      </c>
      <c r="C10" s="167">
        <v>24</v>
      </c>
      <c r="D10" s="167">
        <v>0.75</v>
      </c>
      <c r="E10" s="167">
        <v>0.84</v>
      </c>
      <c r="F10" s="167">
        <v>0.22</v>
      </c>
      <c r="G10" s="167">
        <v>-0.23</v>
      </c>
      <c r="H10" s="167">
        <v>1.38</v>
      </c>
    </row>
    <row r="11" spans="2:8" ht="15.5">
      <c r="B11" s="166" t="s">
        <v>310</v>
      </c>
      <c r="C11" s="167">
        <v>13</v>
      </c>
      <c r="D11" s="167">
        <v>0.41</v>
      </c>
      <c r="E11" s="167">
        <v>0.03</v>
      </c>
      <c r="F11" s="167">
        <v>-0.08</v>
      </c>
      <c r="G11" s="167">
        <v>-7.0000000000000007E-2</v>
      </c>
      <c r="H11" s="167">
        <v>0.17</v>
      </c>
    </row>
    <row r="12" spans="2:8" ht="15.5">
      <c r="B12" s="166" t="s">
        <v>311</v>
      </c>
      <c r="C12" s="167">
        <v>31</v>
      </c>
      <c r="D12" s="167">
        <v>0.5</v>
      </c>
      <c r="E12" s="167">
        <v>-0.63</v>
      </c>
      <c r="F12" s="167">
        <v>-0.08</v>
      </c>
      <c r="G12" s="167">
        <v>0.9</v>
      </c>
      <c r="H12" s="167">
        <v>0.21</v>
      </c>
    </row>
    <row r="13" spans="2:8" ht="15.5">
      <c r="B13" s="166" t="s">
        <v>312</v>
      </c>
      <c r="C13" s="167">
        <v>34</v>
      </c>
      <c r="D13" s="167">
        <v>-0.59</v>
      </c>
      <c r="E13" s="167">
        <v>-0.26</v>
      </c>
      <c r="F13" s="167">
        <v>0.28000000000000003</v>
      </c>
      <c r="G13" s="167">
        <v>0.11</v>
      </c>
      <c r="H13" s="167">
        <v>0.79</v>
      </c>
    </row>
    <row r="14" spans="2:8" ht="15.5">
      <c r="B14" s="166" t="s">
        <v>313</v>
      </c>
      <c r="C14" s="167">
        <v>32</v>
      </c>
      <c r="D14" s="167">
        <v>0.23</v>
      </c>
      <c r="E14" s="167">
        <v>0.24</v>
      </c>
      <c r="F14" s="167">
        <v>7.0000000000000007E-2</v>
      </c>
      <c r="G14" s="167">
        <v>0.4</v>
      </c>
      <c r="H14" s="167">
        <v>0.55000000000000004</v>
      </c>
    </row>
    <row r="15" spans="2:8" ht="15.5">
      <c r="B15" s="166"/>
      <c r="C15" s="164"/>
      <c r="D15" s="168"/>
      <c r="E15" s="168"/>
      <c r="F15" s="168"/>
      <c r="G15" s="168"/>
      <c r="H15" s="168"/>
    </row>
    <row r="16" spans="2:8" ht="15.5">
      <c r="B16" s="163" t="s">
        <v>314</v>
      </c>
      <c r="C16" s="164"/>
      <c r="D16" s="165">
        <v>2.42</v>
      </c>
      <c r="E16" s="165">
        <v>-3.85</v>
      </c>
      <c r="F16" s="165">
        <v>-3.23</v>
      </c>
      <c r="G16" s="165">
        <v>2.89</v>
      </c>
      <c r="H16" s="165">
        <v>-9.27</v>
      </c>
    </row>
    <row r="17" spans="2:8" ht="15.5">
      <c r="B17" s="166" t="s">
        <v>315</v>
      </c>
      <c r="C17" s="167">
        <v>81</v>
      </c>
      <c r="D17" s="167">
        <v>-0.04</v>
      </c>
      <c r="E17" s="167">
        <v>-0.31</v>
      </c>
      <c r="F17" s="167">
        <v>-0.23</v>
      </c>
      <c r="G17" s="167">
        <v>0.01</v>
      </c>
      <c r="H17" s="167">
        <v>-0.25</v>
      </c>
    </row>
    <row r="18" spans="2:8" ht="15.5">
      <c r="B18" s="166" t="s">
        <v>316</v>
      </c>
      <c r="C18" s="167">
        <v>72</v>
      </c>
      <c r="D18" s="167">
        <v>0.51</v>
      </c>
      <c r="E18" s="167">
        <v>-0.45</v>
      </c>
      <c r="F18" s="167">
        <v>-1.1000000000000001</v>
      </c>
      <c r="G18" s="167">
        <v>-0.06</v>
      </c>
      <c r="H18" s="167">
        <v>-2.08</v>
      </c>
    </row>
    <row r="19" spans="2:8" ht="15.5">
      <c r="B19" s="166" t="s">
        <v>317</v>
      </c>
      <c r="C19" s="167">
        <v>83</v>
      </c>
      <c r="D19" s="167">
        <v>0.42</v>
      </c>
      <c r="E19" s="167">
        <v>0.26</v>
      </c>
      <c r="F19" s="167">
        <v>0.16</v>
      </c>
      <c r="G19" s="167">
        <v>1.39</v>
      </c>
      <c r="H19" s="167">
        <v>-0.48</v>
      </c>
    </row>
    <row r="20" spans="2:8" ht="15.5">
      <c r="B20" s="166" t="s">
        <v>318</v>
      </c>
      <c r="C20" s="167">
        <v>41</v>
      </c>
      <c r="D20" s="167">
        <v>1.18</v>
      </c>
      <c r="E20" s="167">
        <v>-2.1</v>
      </c>
      <c r="F20" s="167">
        <v>-0.72</v>
      </c>
      <c r="G20" s="167">
        <v>1.98</v>
      </c>
      <c r="H20" s="167">
        <v>-2.06</v>
      </c>
    </row>
    <row r="21" spans="2:8" ht="15.5">
      <c r="B21" s="166" t="s">
        <v>319</v>
      </c>
      <c r="C21" s="167">
        <v>73</v>
      </c>
      <c r="D21" s="167">
        <v>-0.39</v>
      </c>
      <c r="E21" s="167">
        <v>-0.27</v>
      </c>
      <c r="F21" s="167">
        <v>-0.37</v>
      </c>
      <c r="G21" s="167">
        <v>-0.31</v>
      </c>
      <c r="H21" s="167">
        <v>-0.54</v>
      </c>
    </row>
    <row r="22" spans="2:8" ht="15.5">
      <c r="B22" s="166" t="s">
        <v>320</v>
      </c>
      <c r="C22" s="167">
        <v>71</v>
      </c>
      <c r="D22" s="167">
        <v>1.56</v>
      </c>
      <c r="E22" s="167">
        <v>-0.12</v>
      </c>
      <c r="F22" s="167">
        <v>-0.05</v>
      </c>
      <c r="G22" s="167">
        <v>0.04</v>
      </c>
      <c r="H22" s="167">
        <v>-0.64</v>
      </c>
    </row>
    <row r="23" spans="2:8" ht="15.5">
      <c r="B23" s="166" t="s">
        <v>321</v>
      </c>
      <c r="C23" s="167">
        <v>42</v>
      </c>
      <c r="D23" s="167">
        <v>0.91</v>
      </c>
      <c r="E23" s="167">
        <v>0.74</v>
      </c>
      <c r="F23" s="167">
        <v>0.13</v>
      </c>
      <c r="G23" s="167">
        <v>0</v>
      </c>
      <c r="H23" s="167">
        <v>0.06</v>
      </c>
    </row>
    <row r="24" spans="2:8" ht="15.5">
      <c r="B24" s="166" t="s">
        <v>322</v>
      </c>
      <c r="C24" s="167">
        <v>82</v>
      </c>
      <c r="D24" s="167">
        <v>-0.22</v>
      </c>
      <c r="E24" s="167">
        <v>-0.41</v>
      </c>
      <c r="F24" s="167">
        <v>-0.5</v>
      </c>
      <c r="G24" s="167">
        <v>-0.2</v>
      </c>
      <c r="H24" s="167">
        <v>-1.63</v>
      </c>
    </row>
    <row r="25" spans="2:8" ht="15.5">
      <c r="B25" s="166" t="s">
        <v>323</v>
      </c>
      <c r="C25" s="167">
        <v>74</v>
      </c>
      <c r="D25" s="167">
        <v>-1.51</v>
      </c>
      <c r="E25" s="167">
        <v>-1.18</v>
      </c>
      <c r="F25" s="167">
        <v>-0.56000000000000005</v>
      </c>
      <c r="G25" s="167">
        <v>0.03</v>
      </c>
      <c r="H25" s="167">
        <v>-1.66</v>
      </c>
    </row>
    <row r="26" spans="2:8" ht="15.5">
      <c r="B26" s="166"/>
      <c r="C26" s="164"/>
      <c r="D26" s="168"/>
      <c r="E26" s="168"/>
      <c r="F26" s="168"/>
      <c r="G26" s="168"/>
      <c r="H26" s="168"/>
    </row>
    <row r="27" spans="2:8" ht="15.5">
      <c r="B27" s="163" t="s">
        <v>324</v>
      </c>
      <c r="C27" s="164"/>
      <c r="D27" s="165">
        <v>-0.84</v>
      </c>
      <c r="E27" s="165">
        <v>4.33</v>
      </c>
      <c r="F27" s="165">
        <v>6.82</v>
      </c>
      <c r="G27" s="165">
        <v>-0.73</v>
      </c>
      <c r="H27" s="165">
        <v>3.65</v>
      </c>
    </row>
    <row r="28" spans="2:8" ht="15.5">
      <c r="B28" s="166" t="s">
        <v>325</v>
      </c>
      <c r="C28" s="167">
        <v>93</v>
      </c>
      <c r="D28" s="167">
        <v>0</v>
      </c>
      <c r="E28" s="167">
        <v>2.4</v>
      </c>
      <c r="F28" s="167">
        <v>1.78</v>
      </c>
      <c r="G28" s="167">
        <v>0.18</v>
      </c>
      <c r="H28" s="167">
        <v>-0.55000000000000004</v>
      </c>
    </row>
    <row r="29" spans="2:8" ht="15.5">
      <c r="B29" s="166" t="s">
        <v>326</v>
      </c>
      <c r="C29" s="167">
        <v>51</v>
      </c>
      <c r="D29" s="167">
        <v>-1.0900000000000001</v>
      </c>
      <c r="E29" s="167">
        <v>0.59</v>
      </c>
      <c r="F29" s="167">
        <v>1.66</v>
      </c>
      <c r="G29" s="167">
        <v>-0.25</v>
      </c>
      <c r="H29" s="167">
        <v>2.36</v>
      </c>
    </row>
    <row r="30" spans="2:8" ht="15.5">
      <c r="B30" s="166" t="s">
        <v>327</v>
      </c>
      <c r="C30" s="167">
        <v>52</v>
      </c>
      <c r="D30" s="167">
        <v>1.68</v>
      </c>
      <c r="E30" s="167">
        <v>1.26</v>
      </c>
      <c r="F30" s="167">
        <v>0.22</v>
      </c>
      <c r="G30" s="167">
        <v>0.71</v>
      </c>
      <c r="H30" s="167">
        <v>-0.11</v>
      </c>
    </row>
    <row r="31" spans="2:8" ht="16" thickBot="1">
      <c r="B31" s="169" t="s">
        <v>328</v>
      </c>
      <c r="C31" s="170">
        <v>91</v>
      </c>
      <c r="D31" s="170">
        <v>-1.43</v>
      </c>
      <c r="E31" s="170">
        <v>0.08</v>
      </c>
      <c r="F31" s="170">
        <v>3.17</v>
      </c>
      <c r="G31" s="170">
        <v>-1.38</v>
      </c>
      <c r="H31" s="170">
        <v>1.95</v>
      </c>
    </row>
    <row r="32" spans="2:8" ht="50.25" customHeight="1" thickTop="1">
      <c r="B32" s="444" t="s">
        <v>329</v>
      </c>
      <c r="C32" s="444"/>
      <c r="D32" s="444"/>
      <c r="E32" s="444"/>
      <c r="F32" s="444"/>
      <c r="G32" s="444"/>
      <c r="H32" s="444"/>
    </row>
  </sheetData>
  <mergeCells count="2">
    <mergeCell ref="D4:H4"/>
    <mergeCell ref="B32:H32"/>
  </mergeCells>
  <pageMargins left="0.7" right="0.7" top="0.75" bottom="0.75" header="0.3" footer="0.3"/>
  <pageSetup scale="5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3"/>
  <sheetViews>
    <sheetView zoomScaleNormal="100" zoomScaleSheetLayoutView="100" workbookViewId="0"/>
  </sheetViews>
  <sheetFormatPr defaultColWidth="9.1796875" defaultRowHeight="14.5"/>
  <cols>
    <col min="1" max="1" width="3.7265625" style="9" customWidth="1"/>
    <col min="2" max="14" width="9.1796875" style="9"/>
    <col min="15" max="15" width="5.7265625" style="9" customWidth="1"/>
    <col min="16" max="16384" width="9.1796875" style="9"/>
  </cols>
  <sheetData>
    <row r="1" spans="1:15">
      <c r="A1" s="1"/>
      <c r="B1" s="1"/>
      <c r="C1" s="1"/>
      <c r="D1" s="1"/>
      <c r="E1" s="1"/>
      <c r="F1" s="1"/>
      <c r="G1" s="1"/>
      <c r="H1" s="1"/>
      <c r="I1" s="1"/>
      <c r="J1" s="1"/>
      <c r="K1" s="1"/>
      <c r="L1" s="1"/>
      <c r="M1" s="1"/>
      <c r="N1" s="1"/>
      <c r="O1" s="1"/>
    </row>
    <row r="2" spans="1:15" ht="17.5">
      <c r="A2" s="1"/>
      <c r="B2" s="171" t="s">
        <v>330</v>
      </c>
      <c r="C2" s="1"/>
      <c r="D2" s="1"/>
      <c r="E2" s="1"/>
      <c r="F2" s="1"/>
      <c r="G2" s="1"/>
      <c r="H2" s="1"/>
      <c r="I2" s="1"/>
      <c r="J2" s="1"/>
      <c r="K2" s="1"/>
      <c r="L2" s="1"/>
      <c r="M2" s="1"/>
      <c r="N2" s="1"/>
      <c r="O2" s="1"/>
    </row>
    <row r="3" spans="1:15">
      <c r="A3" s="1"/>
      <c r="B3" s="1"/>
      <c r="C3" s="1"/>
      <c r="D3" s="1"/>
      <c r="E3" s="1"/>
      <c r="F3" s="1"/>
      <c r="G3" s="1"/>
      <c r="H3" s="1"/>
      <c r="I3" s="1"/>
      <c r="J3" s="1"/>
      <c r="K3" s="1"/>
      <c r="L3" s="1"/>
      <c r="M3" s="1"/>
      <c r="N3" s="1"/>
      <c r="O3" s="1"/>
    </row>
    <row r="4" spans="1:15">
      <c r="A4" s="1"/>
      <c r="B4" s="1"/>
      <c r="C4" s="1"/>
      <c r="D4" s="1"/>
      <c r="E4" s="1"/>
      <c r="F4" s="1"/>
      <c r="G4" s="1"/>
      <c r="H4" s="1"/>
      <c r="I4" s="1"/>
      <c r="J4" s="1"/>
      <c r="K4" s="1"/>
      <c r="L4" s="1"/>
      <c r="M4" s="1"/>
      <c r="N4" s="1"/>
      <c r="O4" s="1"/>
    </row>
    <row r="5" spans="1:15">
      <c r="A5" s="1"/>
      <c r="B5" s="1"/>
      <c r="C5" s="1"/>
      <c r="D5" s="1"/>
      <c r="E5" s="1"/>
      <c r="F5" s="1"/>
      <c r="G5" s="1"/>
      <c r="H5" s="1"/>
      <c r="I5" s="1"/>
      <c r="J5" s="1"/>
      <c r="K5" s="1"/>
      <c r="L5" s="1"/>
      <c r="M5" s="1"/>
      <c r="N5" s="1"/>
      <c r="O5" s="1"/>
    </row>
    <row r="6" spans="1:15">
      <c r="A6" s="1"/>
      <c r="B6" s="1"/>
      <c r="C6" s="1"/>
      <c r="D6" s="1"/>
      <c r="E6" s="1"/>
      <c r="F6" s="1"/>
      <c r="G6" s="1"/>
      <c r="H6" s="1"/>
      <c r="I6" s="1"/>
      <c r="J6" s="1"/>
      <c r="K6" s="1"/>
      <c r="L6" s="1"/>
      <c r="M6" s="1"/>
      <c r="N6" s="1"/>
      <c r="O6" s="1"/>
    </row>
    <row r="7" spans="1:15">
      <c r="A7" s="1"/>
      <c r="B7" s="1"/>
      <c r="C7" s="1"/>
      <c r="D7" s="1"/>
      <c r="E7" s="1"/>
      <c r="F7" s="1"/>
      <c r="G7" s="1"/>
      <c r="H7" s="1"/>
      <c r="I7" s="1"/>
      <c r="J7" s="1"/>
      <c r="K7" s="1"/>
      <c r="L7" s="1"/>
      <c r="M7" s="1"/>
      <c r="N7" s="1"/>
      <c r="O7" s="1"/>
    </row>
    <row r="8" spans="1:15">
      <c r="A8" s="1"/>
      <c r="B8" s="1"/>
      <c r="C8" s="1"/>
      <c r="D8" s="1"/>
      <c r="E8" s="1"/>
      <c r="F8" s="1"/>
      <c r="G8" s="1"/>
      <c r="H8" s="1"/>
      <c r="I8" s="1"/>
      <c r="J8" s="1"/>
      <c r="K8" s="1"/>
      <c r="L8" s="1"/>
      <c r="M8" s="1"/>
      <c r="N8" s="1"/>
      <c r="O8" s="1"/>
    </row>
    <row r="9" spans="1:15">
      <c r="A9" s="1"/>
      <c r="B9" s="1"/>
      <c r="C9" s="1"/>
      <c r="D9" s="1"/>
      <c r="E9" s="1"/>
      <c r="F9" s="1"/>
      <c r="G9" s="1"/>
      <c r="H9" s="1"/>
      <c r="I9" s="1"/>
      <c r="J9" s="1"/>
      <c r="K9" s="1"/>
      <c r="L9" s="1"/>
      <c r="M9" s="1"/>
      <c r="N9" s="1"/>
      <c r="O9" s="1"/>
    </row>
    <row r="10" spans="1:15">
      <c r="A10" s="1"/>
      <c r="B10" s="1"/>
      <c r="C10" s="1"/>
      <c r="D10" s="1"/>
      <c r="E10" s="1"/>
      <c r="F10" s="1"/>
      <c r="G10" s="1"/>
      <c r="H10" s="1"/>
      <c r="I10" s="1"/>
      <c r="J10" s="1"/>
      <c r="K10" s="1"/>
      <c r="L10" s="1"/>
      <c r="M10" s="1"/>
      <c r="N10" s="1"/>
      <c r="O10" s="1"/>
    </row>
    <row r="11" spans="1:15">
      <c r="A11" s="1"/>
      <c r="B11" s="1"/>
      <c r="C11" s="1"/>
      <c r="D11" s="1"/>
      <c r="E11" s="1"/>
      <c r="F11" s="1"/>
      <c r="G11" s="1"/>
      <c r="H11" s="1"/>
      <c r="I11" s="1"/>
      <c r="J11" s="1"/>
      <c r="K11" s="1"/>
      <c r="L11" s="1"/>
      <c r="M11" s="1"/>
      <c r="N11" s="1"/>
      <c r="O11" s="1"/>
    </row>
    <row r="12" spans="1:15">
      <c r="A12" s="1"/>
      <c r="B12" s="1"/>
      <c r="C12" s="1"/>
      <c r="D12" s="1"/>
      <c r="E12" s="1"/>
      <c r="F12" s="1"/>
      <c r="G12" s="1"/>
      <c r="H12" s="1"/>
      <c r="I12" s="1"/>
      <c r="J12" s="1"/>
      <c r="K12" s="1"/>
      <c r="L12" s="1"/>
      <c r="M12" s="1"/>
      <c r="N12" s="1"/>
      <c r="O12" s="1"/>
    </row>
    <row r="13" spans="1:15">
      <c r="A13" s="1"/>
      <c r="B13" s="1"/>
      <c r="C13" s="1"/>
      <c r="D13" s="1"/>
      <c r="E13" s="1"/>
      <c r="F13" s="1"/>
      <c r="G13" s="1"/>
      <c r="H13" s="1"/>
      <c r="I13" s="1"/>
      <c r="J13" s="1"/>
      <c r="K13" s="1"/>
      <c r="L13" s="1"/>
      <c r="M13" s="1"/>
      <c r="N13" s="1"/>
      <c r="O13" s="1"/>
    </row>
    <row r="14" spans="1:15">
      <c r="A14" s="1"/>
      <c r="B14" s="1"/>
      <c r="C14" s="1"/>
      <c r="D14" s="1"/>
      <c r="E14" s="1"/>
      <c r="F14" s="1"/>
      <c r="G14" s="1"/>
      <c r="H14" s="1"/>
      <c r="I14" s="1"/>
      <c r="J14" s="1"/>
      <c r="K14" s="1"/>
      <c r="L14" s="1"/>
      <c r="M14" s="1"/>
      <c r="N14" s="1"/>
      <c r="O14" s="1"/>
    </row>
    <row r="15" spans="1:15">
      <c r="A15" s="1"/>
      <c r="B15" s="1"/>
      <c r="C15" s="1"/>
      <c r="D15" s="1"/>
      <c r="E15" s="1"/>
      <c r="F15" s="1"/>
      <c r="G15" s="1"/>
      <c r="H15" s="1"/>
      <c r="I15" s="1"/>
      <c r="J15" s="1"/>
      <c r="K15" s="1"/>
      <c r="L15" s="1"/>
      <c r="M15" s="1"/>
      <c r="N15" s="1"/>
      <c r="O15" s="1"/>
    </row>
    <row r="16" spans="1:15">
      <c r="A16" s="1"/>
      <c r="B16" s="1"/>
      <c r="C16" s="1"/>
      <c r="D16" s="1"/>
      <c r="E16" s="1"/>
      <c r="F16" s="1"/>
      <c r="G16" s="1"/>
      <c r="H16" s="1"/>
      <c r="I16" s="1"/>
      <c r="J16" s="1"/>
      <c r="K16" s="1"/>
      <c r="L16" s="1"/>
      <c r="M16" s="1"/>
      <c r="N16" s="1"/>
      <c r="O16" s="1"/>
    </row>
    <row r="17" spans="1:15">
      <c r="A17" s="1"/>
      <c r="B17" s="1"/>
      <c r="C17" s="1"/>
      <c r="D17" s="1"/>
      <c r="E17" s="1"/>
      <c r="F17" s="1"/>
      <c r="G17" s="1"/>
      <c r="H17" s="1"/>
      <c r="I17" s="1"/>
      <c r="J17" s="1"/>
      <c r="K17" s="1"/>
      <c r="L17" s="1"/>
      <c r="M17" s="1"/>
      <c r="N17" s="1"/>
      <c r="O17" s="1"/>
    </row>
    <row r="18" spans="1:15">
      <c r="A18" s="1"/>
      <c r="B18" s="1"/>
      <c r="C18" s="1"/>
      <c r="D18" s="1"/>
      <c r="E18" s="1"/>
      <c r="F18" s="1"/>
      <c r="G18" s="1"/>
      <c r="H18" s="1"/>
      <c r="I18" s="1"/>
      <c r="J18" s="1"/>
      <c r="K18" s="1"/>
      <c r="L18" s="1"/>
      <c r="M18" s="1"/>
      <c r="N18" s="1"/>
      <c r="O18" s="1"/>
    </row>
    <row r="19" spans="1:15">
      <c r="A19" s="1"/>
      <c r="B19" s="1"/>
      <c r="C19" s="1"/>
      <c r="D19" s="1"/>
      <c r="E19" s="1"/>
      <c r="F19" s="1"/>
      <c r="G19" s="1"/>
      <c r="H19" s="1"/>
      <c r="I19" s="1"/>
      <c r="J19" s="1"/>
      <c r="K19" s="1"/>
      <c r="L19" s="1"/>
      <c r="M19" s="1"/>
      <c r="N19" s="1"/>
      <c r="O19" s="1"/>
    </row>
    <row r="20" spans="1:15">
      <c r="A20" s="1"/>
      <c r="B20" s="1"/>
      <c r="C20" s="1"/>
      <c r="D20" s="1"/>
      <c r="E20" s="1"/>
      <c r="F20" s="1"/>
      <c r="G20" s="1"/>
      <c r="H20" s="1"/>
      <c r="I20" s="1"/>
      <c r="J20" s="1"/>
      <c r="K20" s="1"/>
      <c r="L20" s="1"/>
      <c r="M20" s="1"/>
      <c r="N20" s="1"/>
      <c r="O20" s="1"/>
    </row>
    <row r="21" spans="1:15">
      <c r="A21" s="1"/>
      <c r="B21" s="1"/>
      <c r="C21" s="1"/>
      <c r="D21" s="1"/>
      <c r="E21" s="1"/>
      <c r="F21" s="1"/>
      <c r="G21" s="1"/>
      <c r="H21" s="1"/>
      <c r="I21" s="1"/>
      <c r="J21" s="1"/>
      <c r="K21" s="1"/>
      <c r="L21" s="1"/>
      <c r="M21" s="1"/>
      <c r="N21" s="1"/>
      <c r="O21" s="1"/>
    </row>
    <row r="22" spans="1:15">
      <c r="A22" s="1"/>
      <c r="B22" s="1"/>
      <c r="C22" s="1"/>
      <c r="D22" s="1"/>
      <c r="E22" s="1"/>
      <c r="F22" s="1"/>
      <c r="G22" s="1"/>
      <c r="H22" s="1"/>
      <c r="I22" s="1"/>
      <c r="J22" s="1"/>
      <c r="K22" s="1"/>
      <c r="L22" s="1"/>
      <c r="M22" s="1"/>
      <c r="N22" s="1"/>
      <c r="O22" s="1"/>
    </row>
    <row r="23" spans="1:15">
      <c r="A23" s="1"/>
      <c r="B23" s="1"/>
      <c r="C23" s="1"/>
      <c r="D23" s="1"/>
      <c r="E23" s="1"/>
      <c r="F23" s="1"/>
      <c r="G23" s="1"/>
      <c r="H23" s="1"/>
      <c r="I23" s="1"/>
      <c r="J23" s="1"/>
      <c r="K23" s="1"/>
      <c r="L23" s="1"/>
      <c r="M23" s="1"/>
      <c r="N23" s="1"/>
      <c r="O23" s="1"/>
    </row>
    <row r="24" spans="1:15">
      <c r="A24" s="1"/>
      <c r="B24" s="1"/>
      <c r="C24" s="1"/>
      <c r="D24" s="1"/>
      <c r="E24" s="1"/>
      <c r="F24" s="1"/>
      <c r="G24" s="1"/>
      <c r="H24" s="1"/>
      <c r="I24" s="1"/>
      <c r="J24" s="1"/>
      <c r="K24" s="1"/>
      <c r="L24" s="1"/>
      <c r="M24" s="1"/>
      <c r="N24" s="1"/>
      <c r="O24" s="1"/>
    </row>
    <row r="25" spans="1:15">
      <c r="A25" s="1"/>
      <c r="B25" s="1"/>
      <c r="C25" s="1"/>
      <c r="D25" s="1"/>
      <c r="E25" s="1"/>
      <c r="F25" s="1"/>
      <c r="G25" s="1"/>
      <c r="H25" s="1"/>
      <c r="I25" s="1"/>
      <c r="J25" s="1"/>
      <c r="K25" s="1"/>
      <c r="L25" s="1"/>
      <c r="M25" s="1"/>
      <c r="N25" s="1"/>
      <c r="O25" s="1"/>
    </row>
    <row r="26" spans="1:15">
      <c r="A26" s="1"/>
      <c r="B26" s="1"/>
      <c r="C26" s="1"/>
      <c r="D26" s="1"/>
      <c r="E26" s="1"/>
      <c r="F26" s="1"/>
      <c r="G26" s="1"/>
      <c r="H26" s="1"/>
      <c r="I26" s="1"/>
      <c r="J26" s="1"/>
      <c r="K26" s="1"/>
      <c r="L26" s="1"/>
      <c r="M26" s="1"/>
      <c r="N26" s="1"/>
      <c r="O26" s="1"/>
    </row>
    <row r="27" spans="1:15">
      <c r="A27" s="1"/>
      <c r="B27" s="1"/>
      <c r="C27" s="1"/>
      <c r="D27" s="1"/>
      <c r="E27" s="1"/>
      <c r="F27" s="1"/>
      <c r="G27" s="1"/>
      <c r="H27" s="1"/>
      <c r="I27" s="1"/>
      <c r="J27" s="1"/>
      <c r="K27" s="1"/>
      <c r="L27" s="1"/>
      <c r="M27" s="1"/>
      <c r="N27" s="1"/>
      <c r="O27" s="1"/>
    </row>
    <row r="28" spans="1:15">
      <c r="A28" s="1"/>
      <c r="B28" s="1"/>
      <c r="C28" s="1"/>
      <c r="D28" s="1"/>
      <c r="E28" s="1"/>
      <c r="F28" s="1"/>
      <c r="G28" s="1"/>
      <c r="H28" s="1"/>
      <c r="I28" s="1"/>
      <c r="J28" s="1"/>
      <c r="K28" s="1"/>
      <c r="L28" s="1"/>
      <c r="M28" s="1"/>
      <c r="N28" s="1"/>
      <c r="O28" s="1"/>
    </row>
    <row r="29" spans="1:15">
      <c r="A29" s="1"/>
      <c r="B29" s="1"/>
      <c r="C29" s="1"/>
      <c r="D29" s="1"/>
      <c r="E29" s="1"/>
      <c r="F29" s="1"/>
      <c r="G29" s="1"/>
      <c r="H29" s="1"/>
      <c r="I29" s="1"/>
      <c r="J29" s="1"/>
      <c r="K29" s="1"/>
      <c r="L29" s="1"/>
      <c r="M29" s="1"/>
      <c r="N29" s="1"/>
      <c r="O29" s="1"/>
    </row>
    <row r="30" spans="1:15">
      <c r="A30" s="1"/>
      <c r="B30" s="1"/>
      <c r="C30" s="1"/>
      <c r="D30" s="1"/>
      <c r="E30" s="1"/>
      <c r="F30" s="1"/>
      <c r="G30" s="1"/>
      <c r="H30" s="1"/>
      <c r="I30" s="1"/>
      <c r="J30" s="1"/>
      <c r="K30" s="1"/>
      <c r="L30" s="1"/>
      <c r="M30" s="1"/>
      <c r="N30" s="1"/>
      <c r="O30" s="1"/>
    </row>
    <row r="31" spans="1:15">
      <c r="A31" s="1"/>
      <c r="B31" s="1"/>
      <c r="C31" s="1"/>
      <c r="D31" s="1"/>
      <c r="E31" s="1"/>
      <c r="F31" s="1"/>
      <c r="G31" s="1"/>
      <c r="H31" s="1"/>
      <c r="I31" s="1"/>
      <c r="J31" s="1"/>
      <c r="K31" s="1"/>
      <c r="L31" s="1"/>
      <c r="M31" s="1"/>
      <c r="N31" s="1"/>
      <c r="O31" s="1"/>
    </row>
    <row r="32" spans="1:15">
      <c r="A32" s="1"/>
      <c r="B32" s="1"/>
      <c r="C32" s="1"/>
      <c r="D32" s="1"/>
      <c r="E32" s="1"/>
      <c r="F32" s="1"/>
      <c r="G32" s="1"/>
      <c r="H32" s="1"/>
      <c r="I32" s="1"/>
      <c r="J32" s="1"/>
      <c r="K32" s="1"/>
      <c r="L32" s="1"/>
      <c r="M32" s="1"/>
      <c r="N32" s="1"/>
      <c r="O32" s="1"/>
    </row>
    <row r="33" spans="1:15">
      <c r="A33" s="1"/>
      <c r="B33" s="1"/>
      <c r="C33" s="1"/>
      <c r="D33" s="1"/>
      <c r="E33" s="1"/>
      <c r="F33" s="1"/>
      <c r="G33" s="1"/>
      <c r="H33" s="1"/>
      <c r="I33" s="1"/>
      <c r="J33" s="1"/>
      <c r="K33" s="1"/>
      <c r="L33" s="1"/>
      <c r="M33" s="1"/>
      <c r="N33" s="1"/>
      <c r="O33" s="1"/>
    </row>
    <row r="34" spans="1:15" ht="100.5" customHeight="1">
      <c r="A34" s="1"/>
      <c r="B34" s="445" t="s">
        <v>331</v>
      </c>
      <c r="C34" s="445"/>
      <c r="D34" s="445"/>
      <c r="E34" s="445"/>
      <c r="F34" s="445"/>
      <c r="G34" s="445"/>
      <c r="H34" s="445"/>
      <c r="I34" s="445"/>
      <c r="J34" s="445"/>
      <c r="K34" s="445"/>
      <c r="L34" s="445"/>
      <c r="M34" s="445"/>
      <c r="N34" s="445"/>
      <c r="O34" s="1"/>
    </row>
    <row r="35" spans="1:15">
      <c r="A35" s="1"/>
      <c r="B35" s="1"/>
      <c r="C35" s="1"/>
      <c r="D35" s="1"/>
      <c r="E35" s="1"/>
      <c r="F35" s="1"/>
      <c r="G35" s="1"/>
      <c r="H35" s="1"/>
      <c r="I35" s="1"/>
      <c r="J35" s="1"/>
      <c r="K35" s="1"/>
      <c r="L35" s="1"/>
      <c r="M35" s="1"/>
      <c r="N35" s="1"/>
      <c r="O35" s="1"/>
    </row>
    <row r="36" spans="1:15">
      <c r="A36" s="1"/>
      <c r="B36" s="1"/>
      <c r="C36" s="1"/>
      <c r="D36" s="1"/>
      <c r="E36" s="1"/>
      <c r="F36" s="1"/>
      <c r="G36" s="1"/>
      <c r="H36" s="1"/>
      <c r="I36" s="1"/>
      <c r="J36" s="1"/>
      <c r="K36" s="1"/>
      <c r="L36" s="1"/>
      <c r="M36" s="1"/>
      <c r="N36" s="1"/>
      <c r="O36" s="1"/>
    </row>
    <row r="38" spans="1:15">
      <c r="C38" s="128"/>
    </row>
    <row r="39" spans="1:15" ht="0.5" customHeight="1">
      <c r="B39" t="s">
        <v>332</v>
      </c>
      <c r="C39" t="s">
        <v>333</v>
      </c>
      <c r="D39" t="s">
        <v>334</v>
      </c>
      <c r="E39" t="s">
        <v>335</v>
      </c>
      <c r="F39" t="s">
        <v>18</v>
      </c>
      <c r="G39" t="s">
        <v>21</v>
      </c>
      <c r="H39"/>
      <c r="I39" t="s">
        <v>70</v>
      </c>
      <c r="J39">
        <v>0.17064576000000001</v>
      </c>
    </row>
    <row r="40" spans="1:15" ht="0.5" customHeight="1">
      <c r="B40" t="s">
        <v>139</v>
      </c>
      <c r="C40">
        <v>0.39138888999999999</v>
      </c>
      <c r="D40">
        <v>0.67182445999999996</v>
      </c>
      <c r="E40">
        <v>0.64403259999999996</v>
      </c>
      <c r="F40"/>
      <c r="G40">
        <v>1</v>
      </c>
      <c r="H40"/>
      <c r="I40" t="s">
        <v>39</v>
      </c>
      <c r="J40">
        <v>0.28722261999999998</v>
      </c>
    </row>
    <row r="41" spans="1:15" ht="0.5" customHeight="1">
      <c r="B41" t="s">
        <v>107</v>
      </c>
      <c r="C41">
        <v>0.15601872</v>
      </c>
      <c r="D41">
        <v>0.36513558000000002</v>
      </c>
      <c r="E41">
        <v>0.67926620999999998</v>
      </c>
      <c r="F41"/>
      <c r="G41">
        <v>1</v>
      </c>
      <c r="H41"/>
      <c r="I41" t="s">
        <v>53</v>
      </c>
      <c r="J41">
        <v>0.30830060999999997</v>
      </c>
    </row>
    <row r="42" spans="1:15" ht="0.5" customHeight="1">
      <c r="B42" t="s">
        <v>336</v>
      </c>
      <c r="C42">
        <v>0.26443219000000001</v>
      </c>
      <c r="D42">
        <v>0.43862557000000002</v>
      </c>
      <c r="E42">
        <v>0.26390999999999998</v>
      </c>
      <c r="F42"/>
      <c r="G42"/>
      <c r="H42"/>
      <c r="I42" t="s">
        <v>50</v>
      </c>
      <c r="J42">
        <v>0.3134287</v>
      </c>
    </row>
    <row r="43" spans="1:15" ht="0.5" customHeight="1">
      <c r="B43" t="s">
        <v>103</v>
      </c>
      <c r="C43">
        <v>0.48469105000000001</v>
      </c>
      <c r="D43">
        <v>0.71583443999999996</v>
      </c>
      <c r="E43">
        <v>0.81382823000000004</v>
      </c>
      <c r="F43"/>
      <c r="G43">
        <v>1</v>
      </c>
      <c r="H43"/>
      <c r="I43" t="s">
        <v>43</v>
      </c>
      <c r="J43">
        <v>0.32898375000000002</v>
      </c>
    </row>
    <row r="44" spans="1:15" ht="0.5" customHeight="1">
      <c r="B44" t="s">
        <v>89</v>
      </c>
      <c r="C44">
        <v>0.61976825999999996</v>
      </c>
      <c r="D44">
        <v>0.59860002999999995</v>
      </c>
      <c r="E44">
        <v>0.89104079999999997</v>
      </c>
      <c r="F44">
        <v>1</v>
      </c>
      <c r="G44"/>
      <c r="H44"/>
      <c r="I44" t="s">
        <v>55</v>
      </c>
      <c r="J44">
        <v>0.33686334000000001</v>
      </c>
    </row>
    <row r="45" spans="1:15" ht="0.5" customHeight="1">
      <c r="B45" t="s">
        <v>94</v>
      </c>
      <c r="C45">
        <v>0.64444411000000001</v>
      </c>
      <c r="D45">
        <v>0.80489778999999995</v>
      </c>
      <c r="E45">
        <v>0.92596829000000003</v>
      </c>
      <c r="F45">
        <v>1</v>
      </c>
      <c r="G45"/>
      <c r="H45"/>
      <c r="I45" t="s">
        <v>46</v>
      </c>
      <c r="J45">
        <v>0.34794198999999998</v>
      </c>
    </row>
    <row r="46" spans="1:15" ht="0.5" customHeight="1">
      <c r="B46" t="s">
        <v>337</v>
      </c>
      <c r="C46">
        <v>0.48328601999999998</v>
      </c>
      <c r="D46">
        <v>0.82344335000000002</v>
      </c>
      <c r="E46">
        <v>0.92307919000000005</v>
      </c>
      <c r="F46"/>
      <c r="G46"/>
      <c r="H46"/>
      <c r="I46" t="s">
        <v>47</v>
      </c>
      <c r="J46">
        <v>0.35965216</v>
      </c>
    </row>
    <row r="47" spans="1:15" ht="0.5" customHeight="1">
      <c r="B47" t="s">
        <v>338</v>
      </c>
      <c r="C47">
        <v>0.23838656999999999</v>
      </c>
      <c r="D47">
        <v>0.52103781999999998</v>
      </c>
      <c r="E47">
        <v>0.49904197</v>
      </c>
      <c r="F47"/>
      <c r="G47"/>
      <c r="H47"/>
      <c r="I47" t="s">
        <v>42</v>
      </c>
      <c r="J47">
        <v>0.36885395999999998</v>
      </c>
    </row>
    <row r="48" spans="1:15" ht="0.5" customHeight="1">
      <c r="B48" t="s">
        <v>66</v>
      </c>
      <c r="C48">
        <v>0.39425915</v>
      </c>
      <c r="D48">
        <v>0.41515779000000003</v>
      </c>
      <c r="E48">
        <v>0.72366476000000002</v>
      </c>
      <c r="F48"/>
      <c r="G48"/>
      <c r="H48"/>
      <c r="I48" t="s">
        <v>113</v>
      </c>
      <c r="J48">
        <v>0.38574016</v>
      </c>
    </row>
    <row r="49" spans="2:10" ht="0.5" customHeight="1">
      <c r="B49" t="s">
        <v>339</v>
      </c>
      <c r="C49">
        <v>0.43482563000000002</v>
      </c>
      <c r="D49">
        <v>0.36247000000000001</v>
      </c>
      <c r="E49">
        <v>0.91575980000000001</v>
      </c>
      <c r="F49"/>
      <c r="G49"/>
      <c r="H49"/>
      <c r="I49" t="s">
        <v>45</v>
      </c>
      <c r="J49">
        <v>0.38862014</v>
      </c>
    </row>
    <row r="50" spans="2:10" ht="0.5" customHeight="1">
      <c r="B50" t="s">
        <v>118</v>
      </c>
      <c r="C50">
        <v>0.64190400000000003</v>
      </c>
      <c r="D50">
        <v>0.76183003000000005</v>
      </c>
      <c r="E50">
        <v>0.46266383</v>
      </c>
      <c r="F50">
        <v>1</v>
      </c>
      <c r="G50"/>
      <c r="H50"/>
      <c r="I50" t="s">
        <v>274</v>
      </c>
      <c r="J50">
        <v>0.39129436000000001</v>
      </c>
    </row>
    <row r="51" spans="2:10" ht="0.5" customHeight="1">
      <c r="B51" t="s">
        <v>67</v>
      </c>
      <c r="C51">
        <v>0.36247595999999999</v>
      </c>
      <c r="D51">
        <v>0.33639999999999998</v>
      </c>
      <c r="E51">
        <v>0.28863174000000003</v>
      </c>
      <c r="F51"/>
      <c r="G51"/>
      <c r="H51"/>
      <c r="I51" t="s">
        <v>21</v>
      </c>
      <c r="J51">
        <f>G171</f>
        <v>0.41721962499999998</v>
      </c>
    </row>
    <row r="52" spans="2:10" ht="0.5" customHeight="1">
      <c r="B52" t="s">
        <v>39</v>
      </c>
      <c r="C52">
        <v>0.28722261999999998</v>
      </c>
      <c r="D52">
        <v>0.55901109999999998</v>
      </c>
      <c r="E52">
        <v>0.58308959000000005</v>
      </c>
      <c r="F52"/>
      <c r="G52"/>
      <c r="H52"/>
      <c r="I52" t="s">
        <v>52</v>
      </c>
      <c r="J52">
        <v>0.43169674000000002</v>
      </c>
    </row>
    <row r="53" spans="2:10" ht="0.5" customHeight="1">
      <c r="B53" t="s">
        <v>340</v>
      </c>
      <c r="C53">
        <v>0.30195311000000002</v>
      </c>
      <c r="D53">
        <v>0.46347224999999997</v>
      </c>
      <c r="E53">
        <v>0.40775475</v>
      </c>
      <c r="F53"/>
      <c r="G53"/>
      <c r="H53"/>
      <c r="I53" t="s">
        <v>40</v>
      </c>
      <c r="J53">
        <v>0.43566290000000002</v>
      </c>
    </row>
    <row r="54" spans="2:10" ht="0.5" customHeight="1">
      <c r="B54" t="s">
        <v>40</v>
      </c>
      <c r="C54">
        <v>0.43566290000000002</v>
      </c>
      <c r="D54">
        <v>0.78836112999999997</v>
      </c>
      <c r="E54">
        <v>0.69749963000000004</v>
      </c>
      <c r="F54"/>
      <c r="G54"/>
      <c r="H54"/>
      <c r="I54" t="s">
        <v>58</v>
      </c>
      <c r="J54">
        <v>0.46638560000000001</v>
      </c>
    </row>
    <row r="55" spans="2:10" ht="0.5" customHeight="1">
      <c r="B55" t="s">
        <v>341</v>
      </c>
      <c r="C55">
        <v>0.46017673999999997</v>
      </c>
      <c r="D55">
        <v>0.58740115000000004</v>
      </c>
      <c r="E55">
        <v>0.81998645999999997</v>
      </c>
      <c r="F55"/>
      <c r="G55"/>
      <c r="H55"/>
      <c r="I55" t="s">
        <v>41</v>
      </c>
      <c r="J55">
        <v>0.47342086</v>
      </c>
    </row>
    <row r="56" spans="2:10" ht="0.5" customHeight="1">
      <c r="B56" t="s">
        <v>141</v>
      </c>
      <c r="C56">
        <v>0.50022197000000002</v>
      </c>
      <c r="D56">
        <v>0.47596112000000002</v>
      </c>
      <c r="E56">
        <v>0.77353298999999998</v>
      </c>
      <c r="F56"/>
      <c r="G56">
        <v>1</v>
      </c>
      <c r="H56"/>
      <c r="I56" t="s">
        <v>18</v>
      </c>
      <c r="J56">
        <f>F171</f>
        <v>0.65447156880000013</v>
      </c>
    </row>
    <row r="57" spans="2:10" ht="0.5" customHeight="1">
      <c r="B57" t="s">
        <v>342</v>
      </c>
      <c r="C57">
        <v>5.6886599999999999E-3</v>
      </c>
      <c r="D57">
        <v>0.37746781000000001</v>
      </c>
      <c r="E57">
        <v>3.4167509999999998E-2</v>
      </c>
      <c r="F57"/>
      <c r="G57"/>
      <c r="H57"/>
      <c r="I57" t="s">
        <v>90</v>
      </c>
      <c r="J57">
        <v>0.66209017999999997</v>
      </c>
    </row>
    <row r="58" spans="2:10" ht="0.5" customHeight="1">
      <c r="B58" t="s">
        <v>343</v>
      </c>
      <c r="C58">
        <v>0.28965485000000002</v>
      </c>
      <c r="D58">
        <v>0.44107446</v>
      </c>
      <c r="E58">
        <v>0.48120499</v>
      </c>
      <c r="F58"/>
      <c r="G58"/>
      <c r="H58"/>
      <c r="I58"/>
      <c r="J58"/>
    </row>
    <row r="59" spans="2:10" ht="0.5" customHeight="1">
      <c r="B59" t="s">
        <v>344</v>
      </c>
      <c r="C59">
        <v>0.20063631000000001</v>
      </c>
      <c r="D59">
        <v>0.44895112999999998</v>
      </c>
      <c r="E59">
        <v>0.29392615</v>
      </c>
      <c r="F59"/>
      <c r="G59"/>
      <c r="H59"/>
      <c r="I59"/>
      <c r="J59"/>
    </row>
    <row r="60" spans="2:10" ht="0.5" customHeight="1">
      <c r="B60" t="s">
        <v>119</v>
      </c>
      <c r="C60">
        <v>0.62614225999999995</v>
      </c>
      <c r="D60">
        <v>0.59334998999999999</v>
      </c>
      <c r="E60">
        <v>0.84386724000000002</v>
      </c>
      <c r="F60">
        <v>1</v>
      </c>
      <c r="G60"/>
      <c r="H60"/>
      <c r="I60"/>
      <c r="J60"/>
    </row>
    <row r="61" spans="2:10" ht="0.5" customHeight="1">
      <c r="B61" t="s">
        <v>41</v>
      </c>
      <c r="C61">
        <v>0.47342086</v>
      </c>
      <c r="D61">
        <v>0.90629667000000003</v>
      </c>
      <c r="E61">
        <v>0.78578150000000002</v>
      </c>
      <c r="F61"/>
      <c r="G61"/>
      <c r="H61"/>
      <c r="I61"/>
      <c r="J61"/>
    </row>
    <row r="62" spans="2:10" ht="0.5" customHeight="1">
      <c r="B62" t="s">
        <v>345</v>
      </c>
      <c r="C62">
        <v>0.41176814</v>
      </c>
      <c r="D62">
        <v>0.67431777999999998</v>
      </c>
      <c r="E62">
        <v>0.75801735999999997</v>
      </c>
      <c r="F62"/>
      <c r="G62"/>
      <c r="H62"/>
      <c r="I62"/>
      <c r="J62"/>
    </row>
    <row r="63" spans="2:10" ht="0.5" customHeight="1">
      <c r="B63" t="s">
        <v>42</v>
      </c>
      <c r="C63">
        <v>0.36885395999999998</v>
      </c>
      <c r="D63">
        <v>0.76802110999999995</v>
      </c>
      <c r="E63">
        <v>0.72236520000000004</v>
      </c>
      <c r="F63"/>
      <c r="G63"/>
      <c r="H63"/>
      <c r="I63"/>
      <c r="J63"/>
    </row>
    <row r="64" spans="2:10" ht="0.5" customHeight="1">
      <c r="B64" t="s">
        <v>43</v>
      </c>
      <c r="C64">
        <v>0.32898375000000002</v>
      </c>
      <c r="D64">
        <v>0.63389110999999998</v>
      </c>
      <c r="E64">
        <v>0.74014175000000004</v>
      </c>
      <c r="F64"/>
      <c r="G64"/>
      <c r="H64"/>
      <c r="I64"/>
      <c r="J64"/>
    </row>
    <row r="65" spans="2:10" ht="0.5" customHeight="1">
      <c r="B65" t="s">
        <v>346</v>
      </c>
      <c r="C65">
        <v>0.20938735999999999</v>
      </c>
      <c r="D65">
        <v>0.42996114000000002</v>
      </c>
      <c r="E65">
        <v>0.45089122999999998</v>
      </c>
      <c r="F65"/>
      <c r="G65"/>
      <c r="H65"/>
      <c r="I65"/>
      <c r="J65"/>
    </row>
    <row r="66" spans="2:10" ht="0.5" customHeight="1">
      <c r="B66" t="s">
        <v>143</v>
      </c>
      <c r="C66">
        <v>0.46421732999999998</v>
      </c>
      <c r="D66">
        <v>0.52985448000000002</v>
      </c>
      <c r="E66">
        <v>0.76036393999999996</v>
      </c>
      <c r="F66"/>
      <c r="G66">
        <v>1</v>
      </c>
      <c r="H66"/>
      <c r="I66"/>
      <c r="J66"/>
    </row>
    <row r="67" spans="2:10" ht="0.5" customHeight="1">
      <c r="B67" t="s">
        <v>347</v>
      </c>
      <c r="C67">
        <v>0.53856587</v>
      </c>
      <c r="D67">
        <v>0.41234001999999997</v>
      </c>
      <c r="E67">
        <v>0.82374727999999997</v>
      </c>
      <c r="F67"/>
      <c r="G67"/>
      <c r="H67"/>
      <c r="I67"/>
      <c r="J67"/>
    </row>
    <row r="68" spans="2:10" ht="0.5" customHeight="1">
      <c r="B68" t="s">
        <v>93</v>
      </c>
      <c r="C68">
        <v>0.62258636999999994</v>
      </c>
      <c r="D68">
        <v>0.60391116</v>
      </c>
      <c r="E68">
        <v>0.84989475999999997</v>
      </c>
      <c r="F68">
        <v>1</v>
      </c>
      <c r="G68"/>
      <c r="H68"/>
      <c r="I68"/>
      <c r="J68"/>
    </row>
    <row r="69" spans="2:10" ht="0.5" customHeight="1">
      <c r="B69" t="s">
        <v>82</v>
      </c>
      <c r="C69">
        <v>0.76538813000000006</v>
      </c>
      <c r="D69">
        <v>0.52046996000000001</v>
      </c>
      <c r="E69">
        <v>0.96267997999999999</v>
      </c>
      <c r="F69"/>
      <c r="G69"/>
      <c r="H69"/>
      <c r="I69"/>
      <c r="J69"/>
    </row>
    <row r="70" spans="2:10" ht="0.5" customHeight="1">
      <c r="B70" t="s">
        <v>113</v>
      </c>
      <c r="C70">
        <v>0.38574016</v>
      </c>
      <c r="D70">
        <v>0.55638443999999998</v>
      </c>
      <c r="E70">
        <v>0.61449604999999996</v>
      </c>
      <c r="F70"/>
      <c r="G70"/>
      <c r="H70"/>
      <c r="I70"/>
      <c r="J70"/>
    </row>
    <row r="71" spans="2:10" ht="0.5" customHeight="1">
      <c r="B71" t="s">
        <v>45</v>
      </c>
      <c r="C71">
        <v>0.38862014</v>
      </c>
      <c r="D71">
        <v>0.60038113999999998</v>
      </c>
      <c r="E71">
        <v>0.59812414999999997</v>
      </c>
      <c r="F71"/>
      <c r="G71"/>
      <c r="H71"/>
      <c r="I71"/>
      <c r="J71"/>
    </row>
    <row r="72" spans="2:10" ht="0.5" customHeight="1">
      <c r="B72" t="s">
        <v>348</v>
      </c>
      <c r="C72">
        <v>0.35117587</v>
      </c>
      <c r="D72">
        <v>0.71907114999999999</v>
      </c>
      <c r="E72">
        <v>0.57886291000000001</v>
      </c>
      <c r="F72"/>
      <c r="G72"/>
      <c r="H72"/>
      <c r="I72"/>
      <c r="J72"/>
    </row>
    <row r="73" spans="2:10" ht="0.5" customHeight="1">
      <c r="B73" t="s">
        <v>46</v>
      </c>
      <c r="C73">
        <v>0.34794198999999998</v>
      </c>
      <c r="D73">
        <v>0.58750444999999996</v>
      </c>
      <c r="E73">
        <v>0.56475430999999998</v>
      </c>
      <c r="F73"/>
      <c r="G73"/>
      <c r="H73"/>
      <c r="I73"/>
      <c r="J73"/>
    </row>
    <row r="74" spans="2:10" ht="0.5" customHeight="1">
      <c r="B74" t="s">
        <v>120</v>
      </c>
      <c r="C74">
        <v>0.60413450000000002</v>
      </c>
      <c r="D74">
        <v>0.85999334000000005</v>
      </c>
      <c r="E74">
        <v>0.87723249000000003</v>
      </c>
      <c r="F74">
        <v>1</v>
      </c>
      <c r="G74"/>
      <c r="H74"/>
      <c r="I74"/>
      <c r="J74"/>
    </row>
    <row r="75" spans="2:10" ht="0.5" customHeight="1">
      <c r="B75" t="s">
        <v>349</v>
      </c>
      <c r="C75">
        <v>7.7070690999999997E-2</v>
      </c>
      <c r="D75">
        <v>0.37375668000000001</v>
      </c>
      <c r="E75">
        <v>0.15030646</v>
      </c>
      <c r="F75"/>
      <c r="G75"/>
      <c r="H75"/>
      <c r="I75"/>
      <c r="J75"/>
    </row>
    <row r="76" spans="2:10" ht="0.5" customHeight="1">
      <c r="B76" t="s">
        <v>121</v>
      </c>
      <c r="C76">
        <v>0.72274143000000002</v>
      </c>
      <c r="D76">
        <v>0.62110555000000001</v>
      </c>
      <c r="E76">
        <v>0.94176775000000001</v>
      </c>
      <c r="F76">
        <v>1</v>
      </c>
      <c r="G76"/>
      <c r="H76"/>
      <c r="I76"/>
      <c r="J76"/>
    </row>
    <row r="77" spans="2:10" ht="0.5" customHeight="1">
      <c r="B77" t="s">
        <v>122</v>
      </c>
      <c r="C77">
        <v>0.62533002999999998</v>
      </c>
      <c r="D77">
        <v>0.76111220999999996</v>
      </c>
      <c r="E77">
        <v>0.8884455</v>
      </c>
      <c r="F77">
        <v>1</v>
      </c>
      <c r="G77"/>
      <c r="H77"/>
      <c r="I77"/>
      <c r="J77"/>
    </row>
    <row r="78" spans="2:10" ht="0.5" customHeight="1">
      <c r="B78" t="s">
        <v>350</v>
      </c>
      <c r="C78">
        <v>0.16957298000000001</v>
      </c>
      <c r="D78">
        <v>0.28149223000000001</v>
      </c>
      <c r="E78">
        <v>0.32978684000000003</v>
      </c>
      <c r="F78"/>
      <c r="G78"/>
      <c r="H78"/>
      <c r="I78"/>
      <c r="J78"/>
    </row>
    <row r="79" spans="2:10" ht="0.5" customHeight="1">
      <c r="B79" t="s">
        <v>351</v>
      </c>
      <c r="C79">
        <v>0.18657151</v>
      </c>
      <c r="D79">
        <v>0.37379557000000002</v>
      </c>
      <c r="E79">
        <v>0.30518120999999998</v>
      </c>
      <c r="F79"/>
      <c r="G79"/>
      <c r="H79"/>
      <c r="I79"/>
      <c r="J79"/>
    </row>
    <row r="80" spans="2:10" ht="0.5" customHeight="1">
      <c r="B80" t="s">
        <v>105</v>
      </c>
      <c r="C80">
        <v>0.38545724999999997</v>
      </c>
      <c r="D80">
        <v>0.66058444999999999</v>
      </c>
      <c r="E80">
        <v>0.67367463999999999</v>
      </c>
      <c r="F80"/>
      <c r="G80">
        <v>1</v>
      </c>
      <c r="H80"/>
      <c r="I80"/>
      <c r="J80"/>
    </row>
    <row r="81" spans="2:10" ht="0.5" customHeight="1">
      <c r="B81" t="s">
        <v>102</v>
      </c>
      <c r="C81">
        <v>0.65616828000000005</v>
      </c>
      <c r="D81">
        <v>0.80087447</v>
      </c>
      <c r="E81">
        <v>0.86529171000000005</v>
      </c>
      <c r="F81">
        <v>1</v>
      </c>
      <c r="G81"/>
      <c r="H81"/>
      <c r="I81"/>
      <c r="J81"/>
    </row>
    <row r="82" spans="2:10" ht="0.5" customHeight="1">
      <c r="B82" t="s">
        <v>352</v>
      </c>
      <c r="C82">
        <v>0.21097562</v>
      </c>
      <c r="D82">
        <v>0.51054113999999995</v>
      </c>
      <c r="E82">
        <v>0.41361313999999999</v>
      </c>
      <c r="F82"/>
      <c r="G82"/>
      <c r="H82"/>
      <c r="I82"/>
      <c r="J82"/>
    </row>
    <row r="83" spans="2:10" ht="0.5" customHeight="1">
      <c r="B83" t="s">
        <v>123</v>
      </c>
      <c r="C83">
        <v>0.49054825000000002</v>
      </c>
      <c r="D83">
        <v>0.45695665000000002</v>
      </c>
      <c r="E83">
        <v>0.75906432000000001</v>
      </c>
      <c r="F83">
        <v>1</v>
      </c>
      <c r="G83"/>
      <c r="H83"/>
      <c r="I83"/>
      <c r="J83"/>
    </row>
    <row r="84" spans="2:10" ht="0.5" customHeight="1">
      <c r="B84" t="s">
        <v>47</v>
      </c>
      <c r="C84">
        <v>0.35965216</v>
      </c>
      <c r="D84">
        <v>0.49986779999999997</v>
      </c>
      <c r="E84">
        <v>0.56885045999999995</v>
      </c>
      <c r="F84"/>
      <c r="G84"/>
      <c r="H84"/>
      <c r="I84"/>
      <c r="J84"/>
    </row>
    <row r="85" spans="2:10" ht="0.5" customHeight="1">
      <c r="B85" t="s">
        <v>69</v>
      </c>
      <c r="C85">
        <v>0.25370878000000002</v>
      </c>
      <c r="D85">
        <v>0.26955667</v>
      </c>
      <c r="E85">
        <v>0.50635450999999998</v>
      </c>
      <c r="F85"/>
      <c r="G85"/>
      <c r="H85"/>
      <c r="I85"/>
      <c r="J85"/>
    </row>
    <row r="86" spans="2:10" ht="0.5" customHeight="1">
      <c r="B86" t="s">
        <v>70</v>
      </c>
      <c r="C86">
        <v>0.17064576000000001</v>
      </c>
      <c r="D86">
        <v>0.33535445000000003</v>
      </c>
      <c r="E86">
        <v>0.40139258</v>
      </c>
      <c r="F86"/>
      <c r="G86"/>
      <c r="H86"/>
      <c r="I86"/>
      <c r="J86"/>
    </row>
    <row r="87" spans="2:10" ht="0.5" customHeight="1">
      <c r="B87" t="s">
        <v>50</v>
      </c>
      <c r="C87">
        <v>0.3134287</v>
      </c>
      <c r="D87">
        <v>0.54219108999999999</v>
      </c>
      <c r="E87">
        <v>0.51430184000000001</v>
      </c>
      <c r="F87"/>
      <c r="G87"/>
      <c r="H87"/>
      <c r="I87"/>
      <c r="J87"/>
    </row>
    <row r="88" spans="2:10" ht="0.5" customHeight="1">
      <c r="B88" t="s">
        <v>96</v>
      </c>
      <c r="C88">
        <v>0.49665629999999999</v>
      </c>
      <c r="D88">
        <v>0.62523782000000006</v>
      </c>
      <c r="E88">
        <v>0.79386157000000002</v>
      </c>
      <c r="F88"/>
      <c r="G88">
        <v>1</v>
      </c>
      <c r="H88"/>
      <c r="I88"/>
      <c r="J88"/>
    </row>
    <row r="89" spans="2:10" ht="0.5" customHeight="1">
      <c r="B89" t="s">
        <v>124</v>
      </c>
      <c r="C89">
        <v>0.83714794999999997</v>
      </c>
      <c r="D89">
        <v>0.43736335999999998</v>
      </c>
      <c r="E89">
        <v>0.96035921999999996</v>
      </c>
      <c r="F89">
        <v>1</v>
      </c>
      <c r="G89"/>
      <c r="H89"/>
      <c r="I89"/>
      <c r="J89"/>
    </row>
    <row r="90" spans="2:10" ht="0.5" customHeight="1">
      <c r="B90" t="s">
        <v>353</v>
      </c>
      <c r="C90">
        <v>0.23890758000000001</v>
      </c>
      <c r="D90">
        <v>0.76998997000000002</v>
      </c>
      <c r="E90">
        <v>0.47389021999999997</v>
      </c>
      <c r="F90"/>
      <c r="G90"/>
      <c r="H90"/>
      <c r="I90"/>
      <c r="J90"/>
    </row>
    <row r="91" spans="2:10" ht="0.5" customHeight="1">
      <c r="B91" t="s">
        <v>147</v>
      </c>
      <c r="C91">
        <v>0.33679163000000001</v>
      </c>
      <c r="D91">
        <v>0.57073443999999995</v>
      </c>
      <c r="E91">
        <v>0.41325097999999999</v>
      </c>
      <c r="F91"/>
      <c r="G91">
        <v>1</v>
      </c>
      <c r="H91"/>
      <c r="I91"/>
      <c r="J91"/>
    </row>
    <row r="92" spans="2:10" ht="0.5" customHeight="1">
      <c r="B92" t="s">
        <v>354</v>
      </c>
      <c r="C92">
        <v>0.16503875000000001</v>
      </c>
      <c r="D92">
        <v>0.53446782000000004</v>
      </c>
      <c r="E92">
        <v>0.68211215999999997</v>
      </c>
      <c r="F92"/>
      <c r="G92"/>
      <c r="H92"/>
      <c r="I92"/>
      <c r="J92"/>
    </row>
    <row r="93" spans="2:10" ht="0.5" customHeight="1">
      <c r="B93" t="s">
        <v>125</v>
      </c>
      <c r="C93">
        <v>0.60590421999999999</v>
      </c>
      <c r="D93">
        <v>0.48127666000000002</v>
      </c>
      <c r="E93">
        <v>0.93079495000000001</v>
      </c>
      <c r="F93">
        <v>1</v>
      </c>
      <c r="G93"/>
      <c r="H93"/>
      <c r="I93"/>
      <c r="J93"/>
    </row>
    <row r="94" spans="2:10" ht="0.5" customHeight="1">
      <c r="B94" t="s">
        <v>126</v>
      </c>
      <c r="C94">
        <v>0.53959972</v>
      </c>
      <c r="D94">
        <v>0.82467115000000002</v>
      </c>
      <c r="E94">
        <v>0.91129278999999996</v>
      </c>
      <c r="F94">
        <v>1</v>
      </c>
      <c r="G94"/>
      <c r="H94"/>
      <c r="I94"/>
      <c r="J94"/>
    </row>
    <row r="95" spans="2:10" ht="0.5" customHeight="1">
      <c r="B95" t="s">
        <v>87</v>
      </c>
      <c r="C95">
        <v>0.51752268999999995</v>
      </c>
      <c r="D95">
        <v>0.82712001000000002</v>
      </c>
      <c r="E95">
        <v>0.89811825999999995</v>
      </c>
      <c r="F95">
        <v>1</v>
      </c>
      <c r="G95"/>
      <c r="H95"/>
      <c r="I95"/>
      <c r="J95"/>
    </row>
    <row r="96" spans="2:10" ht="0.5" customHeight="1">
      <c r="B96" t="s">
        <v>86</v>
      </c>
      <c r="C96">
        <v>0.65339040999999998</v>
      </c>
      <c r="D96">
        <v>0.93718332000000004</v>
      </c>
      <c r="E96">
        <v>0.83537841000000002</v>
      </c>
      <c r="F96">
        <v>1</v>
      </c>
      <c r="G96"/>
      <c r="H96"/>
      <c r="I96"/>
      <c r="J96"/>
    </row>
    <row r="97" spans="2:10" ht="0.5" customHeight="1">
      <c r="B97" t="s">
        <v>148</v>
      </c>
      <c r="C97">
        <v>0.36871693</v>
      </c>
      <c r="D97">
        <v>0.60100447999999995</v>
      </c>
      <c r="E97">
        <v>0.66433549000000003</v>
      </c>
      <c r="F97"/>
      <c r="G97"/>
      <c r="H97"/>
      <c r="I97"/>
      <c r="J97"/>
    </row>
    <row r="98" spans="2:10" ht="0.5" customHeight="1">
      <c r="B98" t="s">
        <v>101</v>
      </c>
      <c r="C98">
        <v>0.31744467999999998</v>
      </c>
      <c r="D98">
        <v>0.82712001000000002</v>
      </c>
      <c r="E98">
        <v>0.72503066000000005</v>
      </c>
      <c r="F98"/>
      <c r="G98">
        <v>1</v>
      </c>
      <c r="H98"/>
      <c r="I98"/>
      <c r="J98"/>
    </row>
    <row r="99" spans="2:10" ht="0.5" customHeight="1">
      <c r="B99" t="s">
        <v>355</v>
      </c>
      <c r="C99">
        <v>0.30103666000000001</v>
      </c>
      <c r="D99">
        <v>0.54728447999999996</v>
      </c>
      <c r="E99">
        <v>0.50429135999999997</v>
      </c>
      <c r="F99"/>
      <c r="G99"/>
      <c r="H99"/>
      <c r="I99"/>
      <c r="J99"/>
    </row>
    <row r="100" spans="2:10" ht="0.5" customHeight="1">
      <c r="B100" t="s">
        <v>356</v>
      </c>
      <c r="C100">
        <v>0.78072536000000003</v>
      </c>
      <c r="D100">
        <v>0.99212330999999998</v>
      </c>
      <c r="E100">
        <v>0.88294910999999998</v>
      </c>
      <c r="F100">
        <v>1</v>
      </c>
      <c r="G100"/>
      <c r="H100"/>
      <c r="I100"/>
      <c r="J100"/>
    </row>
    <row r="101" spans="2:10" ht="0.5" customHeight="1">
      <c r="B101" t="s">
        <v>108</v>
      </c>
      <c r="C101">
        <v>0.49384537000000001</v>
      </c>
      <c r="D101">
        <v>0.48882112</v>
      </c>
      <c r="E101">
        <v>0.87955344000000002</v>
      </c>
      <c r="F101"/>
      <c r="G101"/>
      <c r="H101"/>
      <c r="I101"/>
      <c r="J101"/>
    </row>
    <row r="102" spans="2:10" ht="0.5" customHeight="1">
      <c r="B102" t="s">
        <v>357</v>
      </c>
      <c r="C102">
        <v>0.36645967000000002</v>
      </c>
      <c r="D102">
        <v>0.49741777999999998</v>
      </c>
      <c r="E102">
        <v>0.58895843999999997</v>
      </c>
      <c r="F102"/>
      <c r="G102"/>
      <c r="H102"/>
      <c r="I102"/>
      <c r="J102"/>
    </row>
    <row r="103" spans="2:10" ht="0.5" customHeight="1">
      <c r="B103" t="s">
        <v>358</v>
      </c>
      <c r="C103">
        <v>0.19616154999999999</v>
      </c>
      <c r="D103">
        <v>0.21321666</v>
      </c>
      <c r="E103">
        <v>0.36646711999999998</v>
      </c>
      <c r="F103"/>
      <c r="G103"/>
      <c r="H103"/>
      <c r="I103"/>
      <c r="J103"/>
    </row>
    <row r="104" spans="2:10" ht="0.5" customHeight="1">
      <c r="B104" t="s">
        <v>97</v>
      </c>
      <c r="C104">
        <v>0.49457552999999999</v>
      </c>
      <c r="D104">
        <v>0.78081666999999999</v>
      </c>
      <c r="E104">
        <v>0.82856125000000003</v>
      </c>
      <c r="F104"/>
      <c r="G104">
        <v>1</v>
      </c>
      <c r="H104"/>
      <c r="I104"/>
      <c r="J104"/>
    </row>
    <row r="105" spans="2:10" ht="0.5" customHeight="1">
      <c r="B105" t="s">
        <v>359</v>
      </c>
      <c r="C105">
        <v>0.16172652000000001</v>
      </c>
      <c r="D105">
        <v>0.34832558000000002</v>
      </c>
      <c r="E105">
        <v>0.31157494000000002</v>
      </c>
      <c r="F105"/>
      <c r="G105"/>
      <c r="H105"/>
      <c r="I105"/>
      <c r="J105"/>
    </row>
    <row r="106" spans="2:10" ht="0.5" customHeight="1">
      <c r="B106" t="s">
        <v>360</v>
      </c>
      <c r="C106">
        <v>6.8726726000000002E-2</v>
      </c>
      <c r="D106">
        <v>0.22555333</v>
      </c>
      <c r="E106">
        <v>0.11766717</v>
      </c>
      <c r="F106"/>
      <c r="G106"/>
      <c r="H106"/>
      <c r="I106"/>
      <c r="J106"/>
    </row>
    <row r="107" spans="2:10" ht="0.5" customHeight="1">
      <c r="B107" t="s">
        <v>81</v>
      </c>
      <c r="C107">
        <v>0.54922009000000005</v>
      </c>
      <c r="D107">
        <v>0.77418779999999998</v>
      </c>
      <c r="E107">
        <v>0.78305267999999995</v>
      </c>
      <c r="F107">
        <v>1</v>
      </c>
      <c r="G107"/>
      <c r="H107"/>
      <c r="I107"/>
      <c r="J107"/>
    </row>
    <row r="108" spans="2:10" ht="0.5" customHeight="1">
      <c r="B108" t="s">
        <v>128</v>
      </c>
      <c r="C108">
        <v>0.81641494999999997</v>
      </c>
      <c r="D108">
        <v>0.74345665999999999</v>
      </c>
      <c r="E108">
        <v>0.93415391000000003</v>
      </c>
      <c r="F108">
        <v>1</v>
      </c>
      <c r="G108"/>
      <c r="H108"/>
      <c r="I108"/>
      <c r="J108"/>
    </row>
    <row r="109" spans="2:10" ht="0.5" customHeight="1">
      <c r="B109" t="s">
        <v>361</v>
      </c>
      <c r="C109">
        <v>0.42982598999999999</v>
      </c>
      <c r="D109">
        <v>0.45775113000000001</v>
      </c>
      <c r="E109">
        <v>0.84300929000000002</v>
      </c>
      <c r="F109"/>
      <c r="G109">
        <v>1</v>
      </c>
      <c r="H109"/>
      <c r="I109"/>
      <c r="J109"/>
    </row>
    <row r="110" spans="2:10" ht="0.5" customHeight="1">
      <c r="B110" t="s">
        <v>362</v>
      </c>
      <c r="C110">
        <v>5.7122339000000001E-2</v>
      </c>
      <c r="D110">
        <v>0.29038000000000003</v>
      </c>
      <c r="E110">
        <v>0.16297179000000001</v>
      </c>
      <c r="F110"/>
      <c r="G110"/>
      <c r="H110"/>
      <c r="I110"/>
      <c r="J110"/>
    </row>
    <row r="111" spans="2:10" ht="0.5" customHeight="1">
      <c r="B111" t="s">
        <v>363</v>
      </c>
      <c r="C111">
        <v>0.43252786999999998</v>
      </c>
      <c r="D111">
        <v>0.84794336999999997</v>
      </c>
      <c r="E111">
        <v>0.79623538000000005</v>
      </c>
      <c r="F111"/>
      <c r="G111">
        <v>1</v>
      </c>
      <c r="H111"/>
      <c r="I111"/>
      <c r="J111"/>
    </row>
    <row r="112" spans="2:10" ht="0.5" customHeight="1">
      <c r="B112" t="s">
        <v>364</v>
      </c>
      <c r="C112">
        <v>0.11144100999999999</v>
      </c>
      <c r="D112">
        <v>0.39600447</v>
      </c>
      <c r="E112">
        <v>0.23670062</v>
      </c>
      <c r="F112"/>
      <c r="G112"/>
      <c r="H112"/>
      <c r="I112"/>
      <c r="J112"/>
    </row>
    <row r="113" spans="2:10" ht="0.5" customHeight="1">
      <c r="B113" t="s">
        <v>152</v>
      </c>
      <c r="C113">
        <v>0.62553263000000003</v>
      </c>
      <c r="D113">
        <v>0.70052331999999995</v>
      </c>
      <c r="E113">
        <v>0.90308368000000006</v>
      </c>
      <c r="F113"/>
      <c r="G113"/>
      <c r="H113"/>
      <c r="I113"/>
      <c r="J113"/>
    </row>
    <row r="114" spans="2:10" ht="0.5" customHeight="1">
      <c r="B114" t="s">
        <v>365</v>
      </c>
      <c r="C114">
        <v>0.16681501000000001</v>
      </c>
      <c r="D114">
        <v>0.38796779999999997</v>
      </c>
      <c r="E114">
        <v>0.50482905</v>
      </c>
      <c r="F114"/>
      <c r="G114"/>
      <c r="H114"/>
      <c r="I114"/>
      <c r="J114"/>
    </row>
    <row r="115" spans="2:10" ht="0.5" customHeight="1">
      <c r="B115" t="s">
        <v>366</v>
      </c>
      <c r="C115">
        <v>0.42776956999999999</v>
      </c>
      <c r="D115">
        <v>0.57414781999999998</v>
      </c>
      <c r="E115">
        <v>0.68997549999999996</v>
      </c>
      <c r="F115"/>
      <c r="G115"/>
      <c r="H115"/>
      <c r="I115"/>
      <c r="J115"/>
    </row>
    <row r="116" spans="2:10" ht="0.5" customHeight="1">
      <c r="B116" t="s">
        <v>52</v>
      </c>
      <c r="C116">
        <v>0.43169674000000002</v>
      </c>
      <c r="D116">
        <v>0.69408113000000005</v>
      </c>
      <c r="E116">
        <v>0.42426738000000003</v>
      </c>
      <c r="F116"/>
      <c r="G116"/>
      <c r="H116"/>
      <c r="I116"/>
      <c r="J116"/>
    </row>
    <row r="117" spans="2:10" ht="0.5" customHeight="1">
      <c r="B117" t="s">
        <v>367</v>
      </c>
      <c r="C117">
        <v>0.36757049000000003</v>
      </c>
      <c r="D117">
        <v>0.65472448000000005</v>
      </c>
      <c r="E117">
        <v>0.71275889999999997</v>
      </c>
      <c r="F117"/>
      <c r="G117"/>
      <c r="H117"/>
      <c r="I117"/>
      <c r="J117"/>
    </row>
    <row r="118" spans="2:10" ht="0.5" customHeight="1">
      <c r="B118" t="s">
        <v>109</v>
      </c>
      <c r="C118">
        <v>0.30408966999999998</v>
      </c>
      <c r="D118">
        <v>0.61430222000000001</v>
      </c>
      <c r="E118">
        <v>0.63655603000000005</v>
      </c>
      <c r="F118"/>
      <c r="G118">
        <v>1</v>
      </c>
      <c r="H118"/>
      <c r="I118"/>
      <c r="J118"/>
    </row>
    <row r="119" spans="2:10" ht="0.5" customHeight="1">
      <c r="B119" t="s">
        <v>368</v>
      </c>
      <c r="C119">
        <v>0.12250309</v>
      </c>
      <c r="D119">
        <v>0.37026554</v>
      </c>
      <c r="E119">
        <v>0.24655604</v>
      </c>
      <c r="F119"/>
      <c r="G119"/>
      <c r="H119"/>
      <c r="I119"/>
      <c r="J119"/>
    </row>
    <row r="120" spans="2:10" ht="0.5" customHeight="1">
      <c r="B120" t="s">
        <v>369</v>
      </c>
      <c r="C120">
        <v>0.20398938999999999</v>
      </c>
      <c r="D120">
        <v>0.20717999000000001</v>
      </c>
      <c r="E120">
        <v>0.26538466999999999</v>
      </c>
      <c r="F120"/>
      <c r="G120"/>
      <c r="H120"/>
      <c r="I120"/>
      <c r="J120"/>
    </row>
    <row r="121" spans="2:10" ht="0.5" customHeight="1">
      <c r="B121" t="s">
        <v>370</v>
      </c>
      <c r="C121">
        <v>0.23423599000000001</v>
      </c>
      <c r="D121">
        <v>0.33955555999999998</v>
      </c>
      <c r="E121">
        <v>0.51672244000000001</v>
      </c>
      <c r="F121"/>
      <c r="G121"/>
      <c r="H121"/>
      <c r="I121"/>
      <c r="J121"/>
    </row>
    <row r="122" spans="2:10" ht="0.5" customHeight="1">
      <c r="B122" t="s">
        <v>371</v>
      </c>
      <c r="C122">
        <v>0.26393026000000003</v>
      </c>
      <c r="D122">
        <v>0.43860443999999998</v>
      </c>
      <c r="E122">
        <v>0.47862937999999999</v>
      </c>
      <c r="F122"/>
      <c r="G122"/>
      <c r="H122"/>
      <c r="I122"/>
      <c r="J122"/>
    </row>
    <row r="123" spans="2:10" ht="0.5" customHeight="1">
      <c r="B123" t="s">
        <v>100</v>
      </c>
      <c r="C123">
        <v>0.82399993999999999</v>
      </c>
      <c r="D123">
        <v>0.83748668000000004</v>
      </c>
      <c r="E123">
        <v>0.93391906999999996</v>
      </c>
      <c r="F123">
        <v>1</v>
      </c>
      <c r="G123"/>
      <c r="H123"/>
      <c r="I123"/>
      <c r="J123"/>
    </row>
    <row r="124" spans="2:10" ht="0.5" customHeight="1">
      <c r="B124" t="s">
        <v>99</v>
      </c>
      <c r="C124">
        <v>0.62672435999999998</v>
      </c>
      <c r="D124">
        <v>0.55861329999999998</v>
      </c>
      <c r="E124">
        <v>0.93796641000000003</v>
      </c>
      <c r="F124">
        <v>1</v>
      </c>
      <c r="G124"/>
      <c r="H124"/>
      <c r="I124"/>
      <c r="J124"/>
    </row>
    <row r="125" spans="2:10" ht="0.5" customHeight="1">
      <c r="B125" t="s">
        <v>53</v>
      </c>
      <c r="C125">
        <v>0.30830060999999997</v>
      </c>
      <c r="D125">
        <v>0.43010446000000002</v>
      </c>
      <c r="E125">
        <v>0.46832642000000002</v>
      </c>
      <c r="F125"/>
      <c r="G125"/>
      <c r="H125"/>
      <c r="I125"/>
      <c r="J125"/>
    </row>
    <row r="126" spans="2:10" ht="0.5" customHeight="1">
      <c r="B126" t="s">
        <v>372</v>
      </c>
      <c r="C126">
        <v>4.8280246999999998E-2</v>
      </c>
      <c r="D126">
        <v>0.18574333000000001</v>
      </c>
      <c r="E126">
        <v>0.4731226</v>
      </c>
      <c r="F126"/>
      <c r="G126"/>
      <c r="H126"/>
      <c r="I126"/>
      <c r="J126"/>
    </row>
    <row r="127" spans="2:10" ht="0.5" customHeight="1">
      <c r="B127" t="s">
        <v>373</v>
      </c>
      <c r="C127">
        <v>0.20783703000000001</v>
      </c>
      <c r="D127">
        <v>0.63569330999999996</v>
      </c>
      <c r="E127">
        <v>0.96735680000000002</v>
      </c>
      <c r="F127"/>
      <c r="G127"/>
      <c r="H127"/>
      <c r="I127"/>
      <c r="J127"/>
    </row>
    <row r="128" spans="2:10" ht="0.5" customHeight="1">
      <c r="B128" t="s">
        <v>374</v>
      </c>
      <c r="C128">
        <v>0.17886682000000001</v>
      </c>
      <c r="D128">
        <v>0.56872111999999997</v>
      </c>
      <c r="E128">
        <v>0.38811456999999999</v>
      </c>
      <c r="F128"/>
      <c r="G128"/>
      <c r="H128"/>
      <c r="I128"/>
      <c r="J128"/>
    </row>
    <row r="129" spans="2:10" ht="0.5" customHeight="1">
      <c r="B129" t="s">
        <v>54</v>
      </c>
      <c r="C129">
        <v>0.37841745999999998</v>
      </c>
      <c r="D129">
        <v>0.56224447</v>
      </c>
      <c r="E129">
        <v>0.67383932999999996</v>
      </c>
      <c r="F129"/>
      <c r="G129"/>
      <c r="H129"/>
      <c r="I129"/>
      <c r="J129"/>
    </row>
    <row r="130" spans="2:10" ht="0.5" customHeight="1">
      <c r="B130" t="s">
        <v>375</v>
      </c>
      <c r="C130">
        <v>0.17406869999999999</v>
      </c>
      <c r="D130">
        <v>0.32067888999999999</v>
      </c>
      <c r="E130">
        <v>0.54479694000000001</v>
      </c>
      <c r="F130"/>
      <c r="G130"/>
      <c r="H130"/>
      <c r="I130"/>
      <c r="J130"/>
    </row>
    <row r="131" spans="2:10" ht="0.5" customHeight="1">
      <c r="B131" t="s">
        <v>55</v>
      </c>
      <c r="C131">
        <v>0.33686334000000001</v>
      </c>
      <c r="D131">
        <v>0.52750111</v>
      </c>
      <c r="E131">
        <v>0.48008591</v>
      </c>
      <c r="F131"/>
      <c r="G131"/>
      <c r="H131"/>
      <c r="I131"/>
      <c r="J131"/>
    </row>
    <row r="132" spans="2:10" ht="0.5" customHeight="1">
      <c r="B132" t="s">
        <v>376</v>
      </c>
      <c r="C132">
        <v>0.33471358000000001</v>
      </c>
      <c r="D132">
        <v>0.42607665</v>
      </c>
      <c r="E132">
        <v>0.50282806000000002</v>
      </c>
      <c r="F132"/>
      <c r="G132">
        <v>1</v>
      </c>
      <c r="H132"/>
      <c r="I132"/>
      <c r="J132"/>
    </row>
    <row r="133" spans="2:10" ht="0.5" customHeight="1">
      <c r="B133" t="s">
        <v>129</v>
      </c>
      <c r="C133">
        <v>0.57493042999999999</v>
      </c>
      <c r="D133">
        <v>0.60193443000000002</v>
      </c>
      <c r="E133">
        <v>0.85379273</v>
      </c>
      <c r="F133"/>
      <c r="G133">
        <v>1</v>
      </c>
      <c r="H133"/>
      <c r="I133"/>
      <c r="J133"/>
    </row>
    <row r="134" spans="2:10" ht="0.5" customHeight="1">
      <c r="B134" t="s">
        <v>130</v>
      </c>
      <c r="C134">
        <v>0.53821461999999998</v>
      </c>
      <c r="D134">
        <v>0.83482003000000005</v>
      </c>
      <c r="E134">
        <v>0.79952787999999997</v>
      </c>
      <c r="F134">
        <v>1</v>
      </c>
      <c r="G134"/>
      <c r="H134"/>
      <c r="I134"/>
      <c r="J134"/>
    </row>
    <row r="135" spans="2:10" ht="0.5" customHeight="1">
      <c r="B135" t="s">
        <v>111</v>
      </c>
      <c r="C135">
        <v>0.52326136999999995</v>
      </c>
      <c r="D135">
        <v>0.60118115000000005</v>
      </c>
      <c r="E135">
        <v>0.91226207999999998</v>
      </c>
      <c r="F135"/>
      <c r="G135"/>
      <c r="H135"/>
      <c r="I135"/>
      <c r="J135"/>
    </row>
    <row r="136" spans="2:10" ht="0.5" customHeight="1">
      <c r="B136" t="s">
        <v>155</v>
      </c>
      <c r="C136">
        <v>0.60769921999999998</v>
      </c>
      <c r="D136">
        <v>0.68031441999999998</v>
      </c>
      <c r="E136">
        <v>0.73941159000000001</v>
      </c>
      <c r="F136"/>
      <c r="G136">
        <v>1</v>
      </c>
      <c r="H136"/>
      <c r="I136"/>
      <c r="J136"/>
    </row>
    <row r="137" spans="2:10" ht="0.5" customHeight="1">
      <c r="B137" t="s">
        <v>98</v>
      </c>
      <c r="C137">
        <v>0.48253590000000002</v>
      </c>
      <c r="D137">
        <v>0.80288780000000004</v>
      </c>
      <c r="E137">
        <v>0.84048909000000005</v>
      </c>
      <c r="F137"/>
      <c r="G137"/>
      <c r="H137"/>
      <c r="I137"/>
      <c r="J137"/>
    </row>
    <row r="138" spans="2:10" ht="0.5" customHeight="1">
      <c r="B138" t="s">
        <v>377</v>
      </c>
      <c r="C138">
        <v>0.25090637999999998</v>
      </c>
      <c r="D138">
        <v>0.68171448000000001</v>
      </c>
      <c r="E138">
        <v>0.25715517999999998</v>
      </c>
      <c r="F138"/>
      <c r="G138"/>
      <c r="H138"/>
      <c r="I138"/>
      <c r="J138"/>
    </row>
    <row r="139" spans="2:10" ht="0.5" customHeight="1">
      <c r="B139" t="s">
        <v>378</v>
      </c>
      <c r="C139">
        <v>0.46028256000000001</v>
      </c>
      <c r="D139">
        <v>0.65166115999999996</v>
      </c>
      <c r="E139">
        <v>0.84908645999999999</v>
      </c>
      <c r="F139"/>
      <c r="G139"/>
      <c r="H139"/>
      <c r="I139"/>
      <c r="J139"/>
    </row>
    <row r="140" spans="2:10" ht="0.5" customHeight="1">
      <c r="B140" t="s">
        <v>379</v>
      </c>
      <c r="C140">
        <v>0.18652827</v>
      </c>
      <c r="D140">
        <v>0.43430445000000001</v>
      </c>
      <c r="E140">
        <v>0.41497647999999998</v>
      </c>
      <c r="F140"/>
      <c r="G140"/>
      <c r="H140"/>
      <c r="I140"/>
      <c r="J140"/>
    </row>
    <row r="141" spans="2:10" ht="0.5" customHeight="1">
      <c r="B141" t="s">
        <v>380</v>
      </c>
      <c r="C141">
        <v>0.40973920000000003</v>
      </c>
      <c r="D141">
        <v>0.65345447999999995</v>
      </c>
      <c r="E141">
        <v>0.77564955000000002</v>
      </c>
      <c r="F141"/>
      <c r="G141">
        <v>1</v>
      </c>
      <c r="H141"/>
      <c r="I141"/>
      <c r="J141"/>
    </row>
    <row r="142" spans="2:10" ht="0.5" customHeight="1">
      <c r="B142" t="s">
        <v>381</v>
      </c>
      <c r="C142">
        <v>0.36328882000000001</v>
      </c>
      <c r="D142">
        <v>0.50467777000000003</v>
      </c>
      <c r="E142">
        <v>0.60901326</v>
      </c>
      <c r="F142"/>
      <c r="G142"/>
      <c r="H142"/>
      <c r="I142"/>
      <c r="J142"/>
    </row>
    <row r="143" spans="2:10" ht="0.5" customHeight="1">
      <c r="B143" t="s">
        <v>382</v>
      </c>
      <c r="C143">
        <v>0.13847512000000001</v>
      </c>
      <c r="D143">
        <v>0.39908111000000002</v>
      </c>
      <c r="E143">
        <v>0.10889008</v>
      </c>
      <c r="F143"/>
      <c r="G143"/>
      <c r="H143"/>
      <c r="I143"/>
      <c r="J143"/>
    </row>
    <row r="144" spans="2:10" ht="0.5" customHeight="1">
      <c r="B144" t="s">
        <v>85</v>
      </c>
      <c r="C144">
        <v>0.74238753000000002</v>
      </c>
      <c r="D144">
        <v>0.96543002</v>
      </c>
      <c r="E144">
        <v>0.92347836000000005</v>
      </c>
      <c r="F144"/>
      <c r="G144"/>
      <c r="H144"/>
      <c r="I144"/>
      <c r="J144"/>
    </row>
    <row r="145" spans="2:10" ht="0.5" customHeight="1">
      <c r="B145" t="s">
        <v>91</v>
      </c>
      <c r="C145">
        <v>0.56279665000000001</v>
      </c>
      <c r="D145">
        <v>0.64328110000000005</v>
      </c>
      <c r="E145">
        <v>0.85514420000000002</v>
      </c>
      <c r="F145"/>
      <c r="G145"/>
      <c r="H145"/>
      <c r="I145"/>
      <c r="J145"/>
    </row>
    <row r="146" spans="2:10" ht="0.5" customHeight="1">
      <c r="B146" t="s">
        <v>80</v>
      </c>
      <c r="C146">
        <v>0.57899624000000005</v>
      </c>
      <c r="D146">
        <v>0.52853446999999998</v>
      </c>
      <c r="E146">
        <v>0.89735805999999996</v>
      </c>
      <c r="F146"/>
      <c r="G146"/>
      <c r="H146"/>
      <c r="I146"/>
      <c r="J146"/>
    </row>
    <row r="147" spans="2:10" ht="0.5" customHeight="1">
      <c r="B147" t="s">
        <v>383</v>
      </c>
      <c r="C147">
        <v>0.40841981999999999</v>
      </c>
      <c r="D147">
        <v>0.63971781999999999</v>
      </c>
      <c r="E147">
        <v>0.53353375000000003</v>
      </c>
      <c r="F147"/>
      <c r="G147"/>
      <c r="H147"/>
      <c r="I147"/>
      <c r="J147"/>
    </row>
    <row r="148" spans="2:10" ht="0.5" customHeight="1">
      <c r="B148" t="s">
        <v>131</v>
      </c>
      <c r="C148">
        <v>0.55700110999999997</v>
      </c>
      <c r="D148">
        <v>0.85940444000000005</v>
      </c>
      <c r="E148">
        <v>0.95329273000000003</v>
      </c>
      <c r="F148">
        <v>1</v>
      </c>
      <c r="G148"/>
      <c r="H148"/>
      <c r="I148"/>
      <c r="J148"/>
    </row>
    <row r="149" spans="2:10" ht="0.5" customHeight="1">
      <c r="B149" t="s">
        <v>384</v>
      </c>
      <c r="C149">
        <v>0.32517087</v>
      </c>
      <c r="D149">
        <v>0.61229115999999995</v>
      </c>
      <c r="E149">
        <v>0.51926017000000002</v>
      </c>
      <c r="F149"/>
      <c r="G149"/>
      <c r="H149"/>
      <c r="I149"/>
      <c r="J149"/>
    </row>
    <row r="150" spans="2:10" ht="0.5" customHeight="1">
      <c r="B150" t="s">
        <v>385</v>
      </c>
      <c r="C150">
        <v>0.15285109999999999</v>
      </c>
      <c r="D150">
        <v>0.24392333999999999</v>
      </c>
      <c r="E150">
        <v>0.37329679999999998</v>
      </c>
      <c r="F150"/>
      <c r="G150"/>
      <c r="H150"/>
      <c r="I150"/>
      <c r="J150"/>
    </row>
    <row r="151" spans="2:10" ht="0.5" customHeight="1">
      <c r="B151" t="s">
        <v>88</v>
      </c>
      <c r="C151">
        <v>0.73953325000000003</v>
      </c>
      <c r="D151">
        <v>0.66414773000000005</v>
      </c>
      <c r="E151">
        <v>0.95595801000000002</v>
      </c>
      <c r="F151">
        <v>1</v>
      </c>
      <c r="G151"/>
      <c r="H151"/>
      <c r="I151"/>
      <c r="J151"/>
    </row>
    <row r="152" spans="2:10" ht="0.5" customHeight="1">
      <c r="B152" t="s">
        <v>132</v>
      </c>
      <c r="C152">
        <v>0.84692012999999999</v>
      </c>
      <c r="D152">
        <v>0.68256110000000003</v>
      </c>
      <c r="E152">
        <v>0.90090919000000003</v>
      </c>
      <c r="F152">
        <v>1</v>
      </c>
      <c r="G152"/>
      <c r="H152"/>
      <c r="I152"/>
      <c r="J152"/>
    </row>
    <row r="153" spans="2:10" ht="0.5" customHeight="1">
      <c r="B153" t="s">
        <v>386</v>
      </c>
      <c r="C153">
        <v>0.34431805999999998</v>
      </c>
      <c r="D153">
        <v>0.31960889999999997</v>
      </c>
      <c r="E153">
        <v>0.50860178</v>
      </c>
      <c r="F153"/>
      <c r="G153"/>
      <c r="H153"/>
      <c r="I153"/>
      <c r="J153"/>
    </row>
    <row r="154" spans="2:10" ht="0.5" customHeight="1">
      <c r="B154" t="s">
        <v>387</v>
      </c>
      <c r="C154">
        <v>9.9895410000000004E-2</v>
      </c>
      <c r="D154">
        <v>0.48445779</v>
      </c>
      <c r="E154">
        <v>0.23480627000000001</v>
      </c>
      <c r="F154"/>
      <c r="G154"/>
      <c r="H154"/>
      <c r="I154"/>
      <c r="J154"/>
    </row>
    <row r="155" spans="2:10" ht="0.5" customHeight="1">
      <c r="B155" t="s">
        <v>157</v>
      </c>
      <c r="C155">
        <v>0.42317202999999998</v>
      </c>
      <c r="D155">
        <v>0.56364554</v>
      </c>
      <c r="E155">
        <v>0.63893580000000005</v>
      </c>
      <c r="F155"/>
      <c r="G155">
        <v>1</v>
      </c>
      <c r="H155"/>
      <c r="I155"/>
      <c r="J155"/>
    </row>
    <row r="156" spans="2:10" ht="0.5" customHeight="1">
      <c r="B156" t="s">
        <v>72</v>
      </c>
      <c r="C156">
        <v>0.31146726000000002</v>
      </c>
      <c r="D156">
        <v>0.49495446999999998</v>
      </c>
      <c r="E156">
        <v>0.81944680000000003</v>
      </c>
      <c r="F156"/>
      <c r="G156"/>
      <c r="H156"/>
      <c r="I156"/>
      <c r="J156"/>
    </row>
    <row r="157" spans="2:10" ht="0.5" customHeight="1">
      <c r="B157" t="s">
        <v>110</v>
      </c>
      <c r="C157">
        <v>0.34913638000000002</v>
      </c>
      <c r="D157">
        <v>0.58898448999999997</v>
      </c>
      <c r="E157">
        <v>0.64572607999999998</v>
      </c>
      <c r="F157"/>
      <c r="G157">
        <v>1</v>
      </c>
      <c r="H157"/>
      <c r="I157"/>
      <c r="J157"/>
    </row>
    <row r="158" spans="2:10" ht="0.5" customHeight="1">
      <c r="B158" t="s">
        <v>133</v>
      </c>
      <c r="C158">
        <v>0.45109477999999997</v>
      </c>
      <c r="D158">
        <v>0.75301777999999997</v>
      </c>
      <c r="E158">
        <v>0.80895817000000003</v>
      </c>
      <c r="F158"/>
      <c r="G158">
        <v>1</v>
      </c>
      <c r="H158"/>
      <c r="I158"/>
      <c r="J158"/>
    </row>
    <row r="159" spans="2:10" ht="0.5" customHeight="1">
      <c r="B159" t="s">
        <v>388</v>
      </c>
      <c r="C159">
        <v>0.13669966</v>
      </c>
      <c r="D159">
        <v>0.45681113000000001</v>
      </c>
      <c r="E159">
        <v>0.21479619999999999</v>
      </c>
      <c r="F159"/>
      <c r="G159"/>
      <c r="H159"/>
      <c r="I159"/>
      <c r="J159"/>
    </row>
    <row r="160" spans="2:10" ht="0.5" customHeight="1">
      <c r="B160" t="s">
        <v>104</v>
      </c>
      <c r="C160">
        <v>0.40990829000000001</v>
      </c>
      <c r="D160">
        <v>0.41006890000000001</v>
      </c>
      <c r="E160">
        <v>0.70966815999999999</v>
      </c>
      <c r="F160"/>
      <c r="G160"/>
      <c r="H160"/>
      <c r="I160"/>
      <c r="J160"/>
    </row>
    <row r="161" spans="2:10" ht="0.5" customHeight="1">
      <c r="B161" t="s">
        <v>158</v>
      </c>
      <c r="C161">
        <v>0.52100038999999998</v>
      </c>
      <c r="D161">
        <v>0.87173665</v>
      </c>
      <c r="E161">
        <v>0.93211597000000002</v>
      </c>
      <c r="F161"/>
      <c r="G161"/>
      <c r="H161"/>
      <c r="I161"/>
      <c r="J161"/>
    </row>
    <row r="162" spans="2:10" ht="0.5" customHeight="1">
      <c r="B162" t="s">
        <v>134</v>
      </c>
      <c r="C162">
        <v>0.67570293000000003</v>
      </c>
      <c r="D162">
        <v>0.58810001999999995</v>
      </c>
      <c r="E162">
        <v>0.92837488999999995</v>
      </c>
      <c r="F162">
        <v>1</v>
      </c>
      <c r="G162"/>
      <c r="H162"/>
      <c r="I162"/>
      <c r="J162"/>
    </row>
    <row r="163" spans="2:10" ht="0.5" customHeight="1">
      <c r="B163" t="s">
        <v>90</v>
      </c>
      <c r="C163">
        <v>0.66209017999999997</v>
      </c>
      <c r="D163">
        <v>0.7663489</v>
      </c>
      <c r="E163">
        <v>0.89278144000000004</v>
      </c>
      <c r="F163"/>
      <c r="G163"/>
      <c r="H163"/>
      <c r="I163"/>
      <c r="J163"/>
    </row>
    <row r="164" spans="2:10" ht="0.5" customHeight="1">
      <c r="B164" t="s">
        <v>58</v>
      </c>
      <c r="C164">
        <v>0.46638560000000001</v>
      </c>
      <c r="D164">
        <v>0.89457333000000006</v>
      </c>
      <c r="E164">
        <v>0.80060213999999996</v>
      </c>
      <c r="F164"/>
      <c r="G164"/>
      <c r="H164"/>
      <c r="I164"/>
      <c r="J164"/>
    </row>
    <row r="165" spans="2:10" ht="0.5" customHeight="1">
      <c r="B165" t="s">
        <v>389</v>
      </c>
      <c r="C165">
        <v>0.21205296000000001</v>
      </c>
      <c r="D165">
        <v>0.49265777999999999</v>
      </c>
      <c r="E165">
        <v>0.62618594999999999</v>
      </c>
      <c r="F165"/>
      <c r="G165"/>
      <c r="H165"/>
      <c r="I165"/>
      <c r="J165"/>
    </row>
    <row r="166" spans="2:10" ht="0.5" customHeight="1">
      <c r="B166" t="s">
        <v>274</v>
      </c>
      <c r="C166">
        <v>0.39129436000000001</v>
      </c>
      <c r="D166">
        <v>0.57817112999999998</v>
      </c>
      <c r="E166">
        <v>0.62712097</v>
      </c>
      <c r="F166"/>
      <c r="G166"/>
      <c r="H166"/>
      <c r="I166"/>
      <c r="J166"/>
    </row>
    <row r="167" spans="2:10" ht="0.5" customHeight="1">
      <c r="B167" t="s">
        <v>390</v>
      </c>
      <c r="C167">
        <v>0.26231143000000001</v>
      </c>
      <c r="D167">
        <v>0.49049556</v>
      </c>
      <c r="E167">
        <v>0.61113960000000001</v>
      </c>
      <c r="F167"/>
      <c r="G167"/>
      <c r="H167"/>
      <c r="I167"/>
      <c r="J167"/>
    </row>
    <row r="168" spans="2:10" ht="0.5" customHeight="1">
      <c r="B168" t="s">
        <v>391</v>
      </c>
      <c r="C168">
        <v>0.24302936</v>
      </c>
      <c r="D168">
        <v>0.45374780999999997</v>
      </c>
      <c r="E168">
        <v>0.39522678</v>
      </c>
      <c r="F168"/>
      <c r="G168"/>
      <c r="H168"/>
      <c r="I168"/>
      <c r="J168"/>
    </row>
    <row r="169" spans="2:10" ht="0.5" customHeight="1">
      <c r="B169" t="s">
        <v>392</v>
      </c>
      <c r="C169">
        <v>0.12047072</v>
      </c>
      <c r="D169">
        <v>0.45279776999999999</v>
      </c>
      <c r="E169">
        <v>0.40677273000000003</v>
      </c>
      <c r="F169"/>
      <c r="G169"/>
      <c r="H169"/>
      <c r="I169"/>
      <c r="J169"/>
    </row>
    <row r="170" spans="2:10" ht="0.5" customHeight="1">
      <c r="B170" t="s">
        <v>393</v>
      </c>
      <c r="C170">
        <v>0.14529191</v>
      </c>
      <c r="D170">
        <v>0.38708221999999998</v>
      </c>
      <c r="E170">
        <v>0.43111229000000001</v>
      </c>
      <c r="F170"/>
      <c r="G170"/>
      <c r="H170"/>
      <c r="I170"/>
      <c r="J170"/>
    </row>
    <row r="171" spans="2:10" ht="0.5" customHeight="1">
      <c r="B171"/>
      <c r="C171">
        <v>0.39</v>
      </c>
      <c r="D171">
        <v>0.56000000000000005</v>
      </c>
      <c r="E171">
        <v>0.67</v>
      </c>
      <c r="F171">
        <f>AVERAGEIF(F40:F170,1,$C40:$C170)</f>
        <v>0.65447156880000013</v>
      </c>
      <c r="G171">
        <f>AVERAGEIF(G40:G170,1,$C40:$C170)</f>
        <v>0.41721962499999998</v>
      </c>
      <c r="H171"/>
      <c r="I171"/>
      <c r="J171"/>
    </row>
    <row r="172" spans="2:10">
      <c r="B172"/>
      <c r="C172"/>
      <c r="D172"/>
      <c r="E172"/>
      <c r="F172"/>
      <c r="G172"/>
      <c r="H172"/>
      <c r="I172"/>
      <c r="J172"/>
    </row>
    <row r="173" spans="2:10">
      <c r="B173"/>
      <c r="C173"/>
      <c r="D173"/>
      <c r="E173"/>
      <c r="F173"/>
      <c r="G173"/>
      <c r="H173"/>
      <c r="I173"/>
      <c r="J173"/>
    </row>
  </sheetData>
  <mergeCells count="1">
    <mergeCell ref="B34:N34"/>
  </mergeCells>
  <pageMargins left="0.7" right="0.7" top="0.75" bottom="0.75" header="0.3" footer="0.3"/>
  <pageSetup scale="5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0"/>
  <sheetViews>
    <sheetView zoomScaleNormal="100" zoomScaleSheetLayoutView="100" workbookViewId="0"/>
  </sheetViews>
  <sheetFormatPr defaultColWidth="9.1796875" defaultRowHeight="14.5"/>
  <cols>
    <col min="1" max="1" width="3.7265625" style="9" customWidth="1"/>
    <col min="2" max="14" width="9.1796875" style="9"/>
    <col min="15" max="15" width="5.7265625" style="9" customWidth="1"/>
    <col min="16" max="16384" width="9.1796875" style="9"/>
  </cols>
  <sheetData>
    <row r="1" spans="1:15">
      <c r="A1" s="1"/>
      <c r="B1" s="1"/>
      <c r="C1" s="1"/>
      <c r="D1" s="1"/>
      <c r="E1" s="1"/>
      <c r="F1" s="1"/>
      <c r="G1" s="1"/>
      <c r="H1" s="1"/>
      <c r="I1" s="1"/>
      <c r="J1" s="1"/>
      <c r="K1" s="1"/>
      <c r="L1" s="1"/>
      <c r="M1" s="1"/>
      <c r="N1" s="1"/>
      <c r="O1" s="1"/>
    </row>
    <row r="2" spans="1:15" ht="17.5">
      <c r="A2" s="1"/>
      <c r="B2" s="171" t="s">
        <v>394</v>
      </c>
      <c r="C2" s="1"/>
      <c r="D2" s="1"/>
      <c r="E2" s="1"/>
      <c r="F2" s="1"/>
      <c r="G2" s="1"/>
      <c r="H2" s="1"/>
      <c r="I2" s="1"/>
      <c r="J2" s="1"/>
      <c r="K2" s="1"/>
      <c r="L2" s="1"/>
      <c r="M2" s="1"/>
      <c r="N2" s="1"/>
      <c r="O2" s="1"/>
    </row>
    <row r="3" spans="1:15">
      <c r="A3" s="1"/>
      <c r="B3" s="1"/>
      <c r="C3" s="1"/>
      <c r="D3" s="1"/>
      <c r="E3" s="1"/>
      <c r="F3" s="1"/>
      <c r="G3" s="1"/>
      <c r="H3" s="1"/>
      <c r="I3" s="1"/>
      <c r="J3" s="1"/>
      <c r="K3" s="1"/>
      <c r="L3" s="1"/>
      <c r="M3" s="1"/>
      <c r="N3" s="1"/>
      <c r="O3" s="1"/>
    </row>
    <row r="4" spans="1:15">
      <c r="A4" s="1"/>
      <c r="B4" s="1"/>
      <c r="C4" s="1"/>
      <c r="D4" s="1"/>
      <c r="E4" s="1"/>
      <c r="F4" s="1"/>
      <c r="G4" s="1"/>
      <c r="H4" s="1"/>
      <c r="I4" s="1"/>
      <c r="J4" s="1"/>
      <c r="K4" s="1"/>
      <c r="L4" s="1"/>
      <c r="M4" s="1"/>
      <c r="N4" s="1"/>
      <c r="O4" s="1"/>
    </row>
    <row r="5" spans="1:15">
      <c r="A5" s="1"/>
      <c r="B5" s="1"/>
      <c r="C5" s="1"/>
      <c r="D5" s="1"/>
      <c r="E5" s="1"/>
      <c r="F5" s="1"/>
      <c r="G5" s="1"/>
      <c r="H5" s="1"/>
      <c r="I5" s="1"/>
      <c r="J5" s="1"/>
      <c r="K5" s="1"/>
      <c r="L5" s="1"/>
      <c r="M5" s="1"/>
      <c r="N5" s="1"/>
      <c r="O5" s="1"/>
    </row>
    <row r="6" spans="1:15">
      <c r="A6" s="1"/>
      <c r="B6" s="1"/>
      <c r="C6" s="1"/>
      <c r="D6" s="1"/>
      <c r="E6" s="1"/>
      <c r="F6" s="1"/>
      <c r="G6" s="1"/>
      <c r="H6" s="1"/>
      <c r="I6" s="1"/>
      <c r="J6" s="1"/>
      <c r="K6" s="1"/>
      <c r="L6" s="1"/>
      <c r="M6" s="1"/>
      <c r="N6" s="1"/>
      <c r="O6" s="1"/>
    </row>
    <row r="7" spans="1:15">
      <c r="A7" s="1"/>
      <c r="B7" s="1"/>
      <c r="C7" s="1"/>
      <c r="D7" s="1"/>
      <c r="E7" s="1"/>
      <c r="F7" s="1"/>
      <c r="G7" s="1"/>
      <c r="H7" s="1"/>
      <c r="I7" s="1"/>
      <c r="J7" s="1"/>
      <c r="K7" s="1"/>
      <c r="L7" s="1"/>
      <c r="M7" s="1"/>
      <c r="N7" s="1"/>
      <c r="O7" s="1"/>
    </row>
    <row r="8" spans="1:15">
      <c r="A8" s="1"/>
      <c r="B8" s="1"/>
      <c r="C8" s="1"/>
      <c r="D8" s="1"/>
      <c r="E8" s="1"/>
      <c r="F8" s="1"/>
      <c r="G8" s="1"/>
      <c r="H8" s="1"/>
      <c r="I8" s="1"/>
      <c r="J8" s="1"/>
      <c r="K8" s="1"/>
      <c r="L8" s="1"/>
      <c r="M8" s="1"/>
      <c r="N8" s="1"/>
      <c r="O8" s="1"/>
    </row>
    <row r="9" spans="1:15">
      <c r="A9" s="1"/>
      <c r="B9" s="1"/>
      <c r="C9" s="1"/>
      <c r="D9" s="1"/>
      <c r="E9" s="1"/>
      <c r="F9" s="1"/>
      <c r="G9" s="1"/>
      <c r="H9" s="1"/>
      <c r="I9" s="1"/>
      <c r="J9" s="1"/>
      <c r="K9" s="1"/>
      <c r="L9" s="1"/>
      <c r="M9" s="1"/>
      <c r="N9" s="1"/>
      <c r="O9" s="1"/>
    </row>
    <row r="10" spans="1:15">
      <c r="A10" s="1"/>
      <c r="B10" s="1"/>
      <c r="C10" s="1"/>
      <c r="D10" s="1"/>
      <c r="E10" s="1"/>
      <c r="F10" s="1"/>
      <c r="G10" s="1"/>
      <c r="H10" s="1"/>
      <c r="I10" s="1"/>
      <c r="J10" s="1"/>
      <c r="K10" s="1"/>
      <c r="L10" s="1"/>
      <c r="M10" s="1"/>
      <c r="N10" s="1"/>
      <c r="O10" s="1"/>
    </row>
    <row r="11" spans="1:15">
      <c r="A11" s="1"/>
      <c r="B11" s="1"/>
      <c r="C11" s="1"/>
      <c r="D11" s="1"/>
      <c r="E11" s="1"/>
      <c r="F11" s="1"/>
      <c r="G11" s="1"/>
      <c r="H11" s="1"/>
      <c r="I11" s="1"/>
      <c r="J11" s="1"/>
      <c r="K11" s="1"/>
      <c r="L11" s="1"/>
      <c r="M11" s="1"/>
      <c r="N11" s="1"/>
      <c r="O11" s="1"/>
    </row>
    <row r="12" spans="1:15">
      <c r="A12" s="1"/>
      <c r="B12" s="1"/>
      <c r="C12" s="1"/>
      <c r="D12" s="1"/>
      <c r="E12" s="1"/>
      <c r="F12" s="1"/>
      <c r="G12" s="1"/>
      <c r="H12" s="1"/>
      <c r="I12" s="1"/>
      <c r="J12" s="1"/>
      <c r="K12" s="1"/>
      <c r="L12" s="1"/>
      <c r="M12" s="1"/>
      <c r="N12" s="1"/>
      <c r="O12" s="1"/>
    </row>
    <row r="13" spans="1:15">
      <c r="A13" s="1"/>
      <c r="B13" s="1"/>
      <c r="C13" s="1"/>
      <c r="D13" s="1"/>
      <c r="E13" s="1"/>
      <c r="F13" s="1"/>
      <c r="G13" s="1"/>
      <c r="H13" s="1"/>
      <c r="I13" s="1"/>
      <c r="J13" s="1"/>
      <c r="K13" s="1"/>
      <c r="L13" s="1"/>
      <c r="M13" s="1"/>
      <c r="N13" s="1"/>
      <c r="O13" s="1"/>
    </row>
    <row r="14" spans="1:15">
      <c r="A14" s="1"/>
      <c r="B14" s="1"/>
      <c r="C14" s="1"/>
      <c r="D14" s="1"/>
      <c r="E14" s="1"/>
      <c r="F14" s="1"/>
      <c r="G14" s="1"/>
      <c r="H14" s="1"/>
      <c r="I14" s="1"/>
      <c r="J14" s="1"/>
      <c r="K14" s="1"/>
      <c r="L14" s="1"/>
      <c r="M14" s="1"/>
      <c r="N14" s="1"/>
      <c r="O14" s="1"/>
    </row>
    <row r="15" spans="1:15">
      <c r="A15" s="1"/>
      <c r="B15" s="1"/>
      <c r="C15" s="1"/>
      <c r="D15" s="1"/>
      <c r="E15" s="1"/>
      <c r="F15" s="1"/>
      <c r="G15" s="1"/>
      <c r="H15" s="1"/>
      <c r="I15" s="1"/>
      <c r="J15" s="1"/>
      <c r="K15" s="1"/>
      <c r="L15" s="1"/>
      <c r="M15" s="1"/>
      <c r="N15" s="1"/>
      <c r="O15" s="1"/>
    </row>
    <row r="16" spans="1:15">
      <c r="A16" s="1"/>
      <c r="B16" s="1"/>
      <c r="C16" s="1"/>
      <c r="D16" s="1"/>
      <c r="E16" s="1"/>
      <c r="F16" s="1"/>
      <c r="G16" s="1"/>
      <c r="H16" s="1"/>
      <c r="I16" s="1"/>
      <c r="J16" s="1"/>
      <c r="K16" s="1"/>
      <c r="L16" s="1"/>
      <c r="M16" s="1"/>
      <c r="N16" s="1"/>
      <c r="O16" s="1"/>
    </row>
    <row r="17" spans="1:15">
      <c r="A17" s="1"/>
      <c r="B17" s="1"/>
      <c r="C17" s="1"/>
      <c r="D17" s="1"/>
      <c r="E17" s="1"/>
      <c r="F17" s="1"/>
      <c r="G17" s="1"/>
      <c r="H17" s="1"/>
      <c r="I17" s="1"/>
      <c r="J17" s="1"/>
      <c r="K17" s="1"/>
      <c r="L17" s="1"/>
      <c r="M17" s="1"/>
      <c r="N17" s="1"/>
      <c r="O17" s="1"/>
    </row>
    <row r="18" spans="1:15">
      <c r="A18" s="1"/>
      <c r="B18" s="1"/>
      <c r="C18" s="1"/>
      <c r="D18" s="1"/>
      <c r="E18" s="1"/>
      <c r="F18" s="1"/>
      <c r="G18" s="1"/>
      <c r="H18" s="1"/>
      <c r="I18" s="1"/>
      <c r="J18" s="1"/>
      <c r="K18" s="1"/>
      <c r="L18" s="1"/>
      <c r="M18" s="1"/>
      <c r="N18" s="1"/>
      <c r="O18" s="1"/>
    </row>
    <row r="19" spans="1:15">
      <c r="A19" s="1"/>
      <c r="B19" s="1"/>
      <c r="C19" s="1"/>
      <c r="D19" s="1"/>
      <c r="E19" s="1"/>
      <c r="F19" s="1"/>
      <c r="G19" s="1"/>
      <c r="H19" s="1"/>
      <c r="I19" s="1"/>
      <c r="J19" s="1"/>
      <c r="K19" s="1"/>
      <c r="L19" s="1"/>
      <c r="M19" s="1"/>
      <c r="N19" s="1"/>
      <c r="O19" s="1"/>
    </row>
    <row r="20" spans="1:15">
      <c r="A20" s="1"/>
      <c r="B20" s="1"/>
      <c r="C20" s="1"/>
      <c r="D20" s="1"/>
      <c r="E20" s="1"/>
      <c r="F20" s="1"/>
      <c r="G20" s="1"/>
      <c r="H20" s="1"/>
      <c r="I20" s="1"/>
      <c r="J20" s="1"/>
      <c r="K20" s="1"/>
      <c r="L20" s="1"/>
      <c r="M20" s="1"/>
      <c r="N20" s="1"/>
      <c r="O20" s="1"/>
    </row>
    <row r="21" spans="1:15">
      <c r="A21" s="1"/>
      <c r="B21" s="1"/>
      <c r="C21" s="1"/>
      <c r="D21" s="1"/>
      <c r="E21" s="1"/>
      <c r="F21" s="1"/>
      <c r="G21" s="1"/>
      <c r="H21" s="1"/>
      <c r="I21" s="1"/>
      <c r="J21" s="1"/>
      <c r="K21" s="1"/>
      <c r="L21" s="1"/>
      <c r="M21" s="1"/>
      <c r="N21" s="1"/>
      <c r="O21" s="1"/>
    </row>
    <row r="22" spans="1:15">
      <c r="A22" s="1"/>
      <c r="B22" s="1"/>
      <c r="C22" s="1"/>
      <c r="D22" s="1"/>
      <c r="E22" s="1"/>
      <c r="F22" s="1"/>
      <c r="G22" s="1"/>
      <c r="H22" s="1"/>
      <c r="I22" s="1"/>
      <c r="J22" s="1"/>
      <c r="K22" s="1"/>
      <c r="L22" s="1"/>
      <c r="M22" s="1"/>
      <c r="N22" s="1"/>
      <c r="O22" s="1"/>
    </row>
    <row r="23" spans="1:15">
      <c r="A23" s="1"/>
      <c r="B23" s="1"/>
      <c r="C23" s="1"/>
      <c r="D23" s="1"/>
      <c r="E23" s="1"/>
      <c r="F23" s="1"/>
      <c r="G23" s="1"/>
      <c r="H23" s="1"/>
      <c r="I23" s="1"/>
      <c r="J23" s="1"/>
      <c r="K23" s="1"/>
      <c r="L23" s="1"/>
      <c r="M23" s="1"/>
      <c r="N23" s="1"/>
      <c r="O23" s="1"/>
    </row>
    <row r="24" spans="1:15">
      <c r="A24" s="1"/>
      <c r="B24" s="1"/>
      <c r="C24" s="1"/>
      <c r="D24" s="1"/>
      <c r="E24" s="1"/>
      <c r="F24" s="1"/>
      <c r="G24" s="1"/>
      <c r="H24" s="1"/>
      <c r="I24" s="1"/>
      <c r="J24" s="1"/>
      <c r="K24" s="1"/>
      <c r="L24" s="1"/>
      <c r="M24" s="1"/>
      <c r="N24" s="1"/>
      <c r="O24" s="1"/>
    </row>
    <row r="25" spans="1:15">
      <c r="A25" s="1"/>
      <c r="B25" s="1"/>
      <c r="C25" s="1"/>
      <c r="D25" s="1"/>
      <c r="E25" s="1"/>
      <c r="F25" s="1"/>
      <c r="G25" s="1"/>
      <c r="H25" s="1"/>
      <c r="I25" s="1"/>
      <c r="J25" s="1"/>
      <c r="K25" s="1"/>
      <c r="L25" s="1"/>
      <c r="M25" s="1"/>
      <c r="N25" s="1"/>
      <c r="O25" s="1"/>
    </row>
    <row r="26" spans="1:15">
      <c r="A26" s="1"/>
      <c r="B26" s="1"/>
      <c r="C26" s="1"/>
      <c r="D26" s="1"/>
      <c r="E26" s="1"/>
      <c r="F26" s="1"/>
      <c r="G26" s="1"/>
      <c r="H26" s="1"/>
      <c r="I26" s="1"/>
      <c r="J26" s="1"/>
      <c r="K26" s="1"/>
      <c r="L26" s="1"/>
      <c r="M26" s="1"/>
      <c r="N26" s="1"/>
      <c r="O26" s="1"/>
    </row>
    <row r="27" spans="1:15">
      <c r="A27" s="1"/>
      <c r="B27" s="1"/>
      <c r="C27" s="1"/>
      <c r="D27" s="1"/>
      <c r="E27" s="1"/>
      <c r="F27" s="1"/>
      <c r="G27" s="1"/>
      <c r="H27" s="1"/>
      <c r="I27" s="1"/>
      <c r="J27" s="1"/>
      <c r="K27" s="1"/>
      <c r="L27" s="1"/>
      <c r="M27" s="1"/>
      <c r="N27" s="1"/>
      <c r="O27" s="1"/>
    </row>
    <row r="28" spans="1:15">
      <c r="A28" s="1"/>
      <c r="B28" s="1"/>
      <c r="C28" s="1"/>
      <c r="D28" s="1"/>
      <c r="E28" s="1"/>
      <c r="F28" s="1"/>
      <c r="G28" s="1"/>
      <c r="H28" s="1"/>
      <c r="I28" s="1"/>
      <c r="J28" s="1"/>
      <c r="K28" s="1"/>
      <c r="L28" s="1"/>
      <c r="M28" s="1"/>
      <c r="N28" s="1"/>
      <c r="O28" s="1"/>
    </row>
    <row r="29" spans="1:15">
      <c r="A29" s="1"/>
      <c r="B29" s="1"/>
      <c r="C29" s="1"/>
      <c r="D29" s="1"/>
      <c r="E29" s="1"/>
      <c r="F29" s="1"/>
      <c r="G29" s="1"/>
      <c r="H29" s="1"/>
      <c r="I29" s="1"/>
      <c r="J29" s="1"/>
      <c r="K29" s="1"/>
      <c r="L29" s="1"/>
      <c r="M29" s="1"/>
      <c r="N29" s="1"/>
      <c r="O29" s="1"/>
    </row>
    <row r="30" spans="1:15">
      <c r="A30" s="1"/>
      <c r="B30" s="1"/>
      <c r="C30" s="1"/>
      <c r="D30" s="1"/>
      <c r="E30" s="1"/>
      <c r="F30" s="1"/>
      <c r="G30" s="1"/>
      <c r="H30" s="1"/>
      <c r="I30" s="1"/>
      <c r="J30" s="1"/>
      <c r="K30" s="1"/>
      <c r="L30" s="1"/>
      <c r="M30" s="1"/>
      <c r="N30" s="1"/>
      <c r="O30" s="1"/>
    </row>
    <row r="31" spans="1:15">
      <c r="A31" s="1"/>
      <c r="B31" s="1"/>
      <c r="C31" s="1"/>
      <c r="D31" s="1"/>
      <c r="E31" s="1"/>
      <c r="F31" s="1"/>
      <c r="G31" s="1"/>
      <c r="H31" s="1"/>
      <c r="I31" s="1"/>
      <c r="J31" s="1"/>
      <c r="K31" s="1"/>
      <c r="L31" s="1"/>
      <c r="M31" s="1"/>
      <c r="N31" s="1"/>
      <c r="O31" s="1"/>
    </row>
    <row r="32" spans="1:15" ht="18.75" customHeight="1">
      <c r="A32" s="1"/>
      <c r="B32" s="445" t="s">
        <v>395</v>
      </c>
      <c r="C32" s="445"/>
      <c r="D32" s="445"/>
      <c r="E32" s="445"/>
      <c r="F32" s="445"/>
      <c r="G32" s="445"/>
      <c r="H32" s="445"/>
      <c r="I32" s="445"/>
      <c r="J32" s="445"/>
      <c r="K32" s="445"/>
      <c r="L32" s="445"/>
      <c r="M32" s="445"/>
      <c r="N32" s="445"/>
      <c r="O32" s="1"/>
    </row>
    <row r="33" spans="1:15">
      <c r="A33" s="1"/>
      <c r="B33" s="1"/>
      <c r="C33" s="1"/>
      <c r="D33" s="1"/>
      <c r="E33" s="1"/>
      <c r="F33" s="1"/>
      <c r="G33" s="1"/>
      <c r="H33" s="1"/>
      <c r="I33" s="1"/>
      <c r="J33" s="1"/>
      <c r="K33" s="1"/>
      <c r="L33" s="1"/>
      <c r="M33" s="1"/>
      <c r="N33" s="1"/>
      <c r="O33" s="1"/>
    </row>
    <row r="34" spans="1:15">
      <c r="A34" s="1"/>
      <c r="B34" s="1"/>
      <c r="C34" s="1"/>
      <c r="D34" s="1"/>
      <c r="E34" s="1"/>
      <c r="F34" s="1"/>
      <c r="G34" s="1"/>
      <c r="H34" s="1"/>
      <c r="I34" s="1"/>
      <c r="J34" s="1"/>
      <c r="K34" s="1"/>
      <c r="L34" s="1"/>
      <c r="M34" s="1"/>
      <c r="N34" s="1"/>
      <c r="O34" s="1"/>
    </row>
    <row r="36" spans="1:15">
      <c r="C36" s="128"/>
    </row>
    <row r="37" spans="1:15" ht="0.5" customHeight="1">
      <c r="B37" s="446" t="s">
        <v>396</v>
      </c>
      <c r="C37" s="446"/>
      <c r="D37" s="446"/>
      <c r="E37" s="446"/>
      <c r="F37"/>
      <c r="G37"/>
      <c r="H37"/>
      <c r="I37"/>
      <c r="J37"/>
    </row>
    <row r="38" spans="1:15" ht="0.5" customHeight="1">
      <c r="B38" s="172" t="s">
        <v>31</v>
      </c>
      <c r="C38" s="173" t="s">
        <v>397</v>
      </c>
      <c r="D38" s="173" t="s">
        <v>398</v>
      </c>
      <c r="E38" s="173" t="s">
        <v>24</v>
      </c>
      <c r="F38"/>
      <c r="G38"/>
      <c r="H38"/>
      <c r="I38"/>
      <c r="J38"/>
    </row>
    <row r="39" spans="1:15" ht="0.5" customHeight="1">
      <c r="B39" s="174" t="s">
        <v>42</v>
      </c>
      <c r="C39" s="175">
        <v>0.29737209999999997</v>
      </c>
      <c r="D39" s="175">
        <v>0.64077669999999998</v>
      </c>
      <c r="E39" s="175">
        <v>0.40019379999999999</v>
      </c>
      <c r="F39"/>
      <c r="G39"/>
      <c r="H39"/>
      <c r="I39"/>
      <c r="J39"/>
    </row>
    <row r="40" spans="1:15" ht="0.5" customHeight="1">
      <c r="B40" s="174" t="s">
        <v>39</v>
      </c>
      <c r="C40" s="175">
        <v>0.36202190000000001</v>
      </c>
      <c r="D40" s="175">
        <v>0.68918919999999995</v>
      </c>
      <c r="E40" s="175">
        <v>0.43815510000000002</v>
      </c>
      <c r="F40"/>
      <c r="G40"/>
      <c r="H40"/>
      <c r="I40"/>
      <c r="J40"/>
    </row>
    <row r="41" spans="1:15" ht="0.5" customHeight="1">
      <c r="B41" s="174" t="s">
        <v>41</v>
      </c>
      <c r="C41" s="175">
        <v>0.42948717948717946</v>
      </c>
      <c r="D41" s="175">
        <v>0.66179775280898878</v>
      </c>
      <c r="E41" s="176">
        <v>0.50900000000000001</v>
      </c>
      <c r="F41"/>
      <c r="G41"/>
      <c r="H41"/>
      <c r="I41"/>
      <c r="J41"/>
    </row>
    <row r="42" spans="1:15" ht="0.5" customHeight="1">
      <c r="B42" s="177" t="s">
        <v>103</v>
      </c>
      <c r="C42" s="178">
        <v>0.46691179999999999</v>
      </c>
      <c r="D42" s="178">
        <v>0.46327679999999999</v>
      </c>
      <c r="E42" s="178">
        <v>0.46547880000000003</v>
      </c>
      <c r="F42"/>
      <c r="G42"/>
      <c r="H42"/>
      <c r="I42"/>
      <c r="J42"/>
    </row>
    <row r="43" spans="1:15" ht="0.5" customHeight="1">
      <c r="B43" s="174" t="s">
        <v>345</v>
      </c>
      <c r="C43" s="175">
        <v>0.53658539999999999</v>
      </c>
      <c r="D43" s="175">
        <v>0.68778280000000003</v>
      </c>
      <c r="E43" s="175">
        <v>0.59744989999999998</v>
      </c>
      <c r="F43"/>
      <c r="G43"/>
      <c r="H43"/>
      <c r="I43"/>
      <c r="J43"/>
    </row>
    <row r="44" spans="1:15" ht="0.5" customHeight="1">
      <c r="B44" s="174" t="s">
        <v>105</v>
      </c>
      <c r="C44" s="175">
        <v>0.43647540000000001</v>
      </c>
      <c r="D44" s="175">
        <v>0.54205610000000004</v>
      </c>
      <c r="E44" s="175">
        <v>0.47836830000000002</v>
      </c>
      <c r="F44"/>
      <c r="G44"/>
      <c r="H44"/>
      <c r="I44"/>
      <c r="J44"/>
    </row>
    <row r="45" spans="1:15" ht="0.5" customHeight="1">
      <c r="B45" s="174" t="s">
        <v>355</v>
      </c>
      <c r="C45" s="175">
        <v>0.22102160000000001</v>
      </c>
      <c r="D45" s="175">
        <v>0.56857139999999995</v>
      </c>
      <c r="E45" s="175">
        <v>0.30994149999999998</v>
      </c>
      <c r="F45"/>
      <c r="G45"/>
      <c r="H45"/>
      <c r="I45"/>
      <c r="J45"/>
    </row>
    <row r="46" spans="1:15" ht="0.5" customHeight="1">
      <c r="B46" s="174" t="s">
        <v>399</v>
      </c>
      <c r="C46" s="175">
        <v>0.2083333</v>
      </c>
      <c r="D46" s="175">
        <v>0.49101800000000001</v>
      </c>
      <c r="E46" s="175">
        <v>0.26625769999999999</v>
      </c>
      <c r="F46"/>
      <c r="G46"/>
      <c r="H46"/>
      <c r="I46"/>
      <c r="J46"/>
    </row>
    <row r="47" spans="1:15" ht="0.5" customHeight="1">
      <c r="B47" s="174" t="s">
        <v>400</v>
      </c>
      <c r="C47" s="175">
        <v>0.15264800000000001</v>
      </c>
      <c r="D47" s="175">
        <v>0.38437500000000002</v>
      </c>
      <c r="E47" s="175">
        <v>0.22972970000000001</v>
      </c>
      <c r="F47"/>
      <c r="G47"/>
      <c r="H47"/>
      <c r="I47"/>
      <c r="J47"/>
    </row>
    <row r="48" spans="1:15" ht="0.5" customHeight="1">
      <c r="B48" s="179" t="s">
        <v>390</v>
      </c>
      <c r="C48" s="180">
        <v>0.40375</v>
      </c>
      <c r="D48" s="180">
        <v>0.5753646</v>
      </c>
      <c r="E48" s="180">
        <v>0.4784757</v>
      </c>
      <c r="F48"/>
      <c r="G48"/>
      <c r="H48"/>
      <c r="I48"/>
      <c r="J48"/>
    </row>
    <row r="49" spans="2:10" ht="0.5" customHeight="1">
      <c r="B49" s="174" t="s">
        <v>94</v>
      </c>
      <c r="C49" s="175">
        <v>0.68794330000000004</v>
      </c>
      <c r="D49" s="175">
        <v>0.83131670000000002</v>
      </c>
      <c r="E49" s="175">
        <v>0.75015399999999999</v>
      </c>
      <c r="F49"/>
      <c r="G49"/>
      <c r="H49"/>
      <c r="I49"/>
      <c r="J49"/>
    </row>
    <row r="50" spans="2:10" ht="0.5" customHeight="1">
      <c r="B50" s="174" t="s">
        <v>118</v>
      </c>
      <c r="C50" s="175">
        <v>0.68110789999999999</v>
      </c>
      <c r="D50" s="175">
        <v>0.7934426</v>
      </c>
      <c r="E50" s="175">
        <v>0.73951599999999995</v>
      </c>
      <c r="F50"/>
      <c r="G50"/>
      <c r="H50"/>
      <c r="I50"/>
      <c r="J50"/>
    </row>
    <row r="51" spans="2:10" ht="0.5" customHeight="1">
      <c r="B51" s="174" t="s">
        <v>119</v>
      </c>
      <c r="C51" s="175">
        <v>0.69382690000000002</v>
      </c>
      <c r="D51" s="175">
        <v>0.80914240000000004</v>
      </c>
      <c r="E51" s="175">
        <v>0.74319999999999997</v>
      </c>
      <c r="F51"/>
      <c r="G51"/>
      <c r="H51"/>
      <c r="I51"/>
      <c r="J51"/>
    </row>
    <row r="52" spans="2:10" ht="0.5" customHeight="1">
      <c r="B52" s="174" t="s">
        <v>347</v>
      </c>
      <c r="C52" s="175">
        <v>0.61595869999999997</v>
      </c>
      <c r="D52" s="175">
        <v>0.69683910000000004</v>
      </c>
      <c r="E52" s="175">
        <v>0.63904799999999995</v>
      </c>
      <c r="F52"/>
      <c r="G52"/>
      <c r="H52"/>
      <c r="I52"/>
      <c r="J52"/>
    </row>
    <row r="53" spans="2:10" ht="0.5" customHeight="1">
      <c r="B53" s="174" t="s">
        <v>93</v>
      </c>
      <c r="C53" s="175">
        <v>0.63297049999999999</v>
      </c>
      <c r="D53" s="175">
        <v>0.74733099999999997</v>
      </c>
      <c r="E53" s="175">
        <v>0.67507399999999995</v>
      </c>
      <c r="F53"/>
      <c r="G53"/>
      <c r="H53"/>
      <c r="I53"/>
      <c r="J53"/>
    </row>
    <row r="54" spans="2:10" ht="0.5" customHeight="1">
      <c r="B54" s="174" t="s">
        <v>82</v>
      </c>
      <c r="C54" s="175">
        <v>0.75507899999999994</v>
      </c>
      <c r="D54" s="175">
        <v>0.88899209999999995</v>
      </c>
      <c r="E54" s="175">
        <v>0.81500700000000004</v>
      </c>
      <c r="F54"/>
      <c r="G54"/>
      <c r="H54"/>
      <c r="I54"/>
      <c r="J54"/>
    </row>
    <row r="55" spans="2:10" ht="0.5" customHeight="1">
      <c r="B55" s="174" t="s">
        <v>120</v>
      </c>
      <c r="C55" s="175">
        <v>0.59757990000000005</v>
      </c>
      <c r="D55" s="175">
        <v>0.72644569999999997</v>
      </c>
      <c r="E55" s="175">
        <v>0.63922699999999999</v>
      </c>
      <c r="F55"/>
      <c r="G55"/>
      <c r="H55"/>
      <c r="I55"/>
      <c r="J55"/>
    </row>
    <row r="56" spans="2:10" ht="0.5" customHeight="1">
      <c r="B56" s="174" t="s">
        <v>121</v>
      </c>
      <c r="C56" s="175">
        <v>0.79073040000000006</v>
      </c>
      <c r="D56" s="175">
        <v>0.91058830000000002</v>
      </c>
      <c r="E56" s="175">
        <v>0.83553200000000005</v>
      </c>
      <c r="F56"/>
      <c r="G56"/>
      <c r="H56"/>
      <c r="I56"/>
      <c r="J56"/>
    </row>
    <row r="57" spans="2:10" ht="0.5" customHeight="1">
      <c r="B57" s="174" t="s">
        <v>122</v>
      </c>
      <c r="C57" s="175">
        <v>0.62295820000000002</v>
      </c>
      <c r="D57" s="175">
        <v>0.79258399999999996</v>
      </c>
      <c r="E57" s="175">
        <v>0.69745500000000005</v>
      </c>
      <c r="F57"/>
      <c r="G57"/>
      <c r="H57"/>
      <c r="I57"/>
      <c r="J57"/>
    </row>
    <row r="58" spans="2:10" ht="0.5" customHeight="1">
      <c r="B58" s="174" t="s">
        <v>102</v>
      </c>
      <c r="C58" s="175">
        <v>0.62547430000000004</v>
      </c>
      <c r="D58" s="175">
        <v>0.81543620000000006</v>
      </c>
      <c r="E58" s="175">
        <v>0.71896499999999997</v>
      </c>
      <c r="F58"/>
      <c r="G58"/>
      <c r="H58"/>
      <c r="I58"/>
      <c r="J58"/>
    </row>
    <row r="59" spans="2:10" ht="0.5" customHeight="1">
      <c r="B59" s="174" t="s">
        <v>125</v>
      </c>
      <c r="C59" s="175">
        <v>0.64578829999999998</v>
      </c>
      <c r="D59" s="175">
        <v>0.83265299999999998</v>
      </c>
      <c r="E59" s="175">
        <v>0.72018199999999999</v>
      </c>
      <c r="F59"/>
      <c r="G59"/>
      <c r="H59"/>
      <c r="I59"/>
      <c r="J59"/>
    </row>
    <row r="60" spans="2:10" ht="0.5" customHeight="1">
      <c r="B60" s="174" t="s">
        <v>87</v>
      </c>
      <c r="C60" s="175">
        <v>0.5038705</v>
      </c>
      <c r="D60" s="175">
        <v>0.71088859999999998</v>
      </c>
      <c r="E60" s="175">
        <v>0.57837799999999995</v>
      </c>
      <c r="F60"/>
      <c r="G60"/>
      <c r="H60"/>
      <c r="I60"/>
      <c r="J60"/>
    </row>
    <row r="61" spans="2:10" ht="0.5" customHeight="1">
      <c r="B61" s="174" t="s">
        <v>86</v>
      </c>
      <c r="C61" s="175">
        <v>0.65331360000000005</v>
      </c>
      <c r="D61" s="175">
        <v>0.83367840000000004</v>
      </c>
      <c r="E61" s="175">
        <v>0.72860800000000003</v>
      </c>
      <c r="F61"/>
      <c r="G61"/>
      <c r="H61"/>
      <c r="I61"/>
      <c r="J61"/>
    </row>
    <row r="62" spans="2:10" ht="0.5" customHeight="1">
      <c r="B62" s="174" t="s">
        <v>127</v>
      </c>
      <c r="C62" s="175">
        <v>0.58946370000000003</v>
      </c>
      <c r="D62" s="175">
        <v>0.78457670000000002</v>
      </c>
      <c r="E62" s="175">
        <v>0.66</v>
      </c>
      <c r="F62"/>
      <c r="G62"/>
      <c r="H62"/>
      <c r="I62"/>
      <c r="J62"/>
    </row>
    <row r="63" spans="2:10" ht="0.5" customHeight="1">
      <c r="B63" s="174" t="s">
        <v>100</v>
      </c>
      <c r="C63" s="175">
        <v>0.75385460000000004</v>
      </c>
      <c r="D63" s="175">
        <v>0.86179360000000005</v>
      </c>
      <c r="E63" s="175">
        <v>0.80487799999999998</v>
      </c>
      <c r="F63"/>
      <c r="G63"/>
      <c r="H63"/>
      <c r="I63"/>
      <c r="J63"/>
    </row>
    <row r="64" spans="2:10" ht="0.5" customHeight="1">
      <c r="B64" s="174" t="s">
        <v>92</v>
      </c>
      <c r="C64" s="175">
        <v>0.8147044</v>
      </c>
      <c r="D64" s="175">
        <v>0.91293840000000004</v>
      </c>
      <c r="E64" s="175">
        <v>0.85901300000000003</v>
      </c>
      <c r="F64"/>
      <c r="G64"/>
      <c r="H64"/>
      <c r="I64"/>
      <c r="J64"/>
    </row>
    <row r="65" spans="2:10" ht="0.5" customHeight="1">
      <c r="B65" s="174" t="s">
        <v>129</v>
      </c>
      <c r="C65" s="175">
        <v>0.50604979999999999</v>
      </c>
      <c r="D65" s="175">
        <v>0.62515339999999997</v>
      </c>
      <c r="E65" s="175">
        <v>0.54977500000000001</v>
      </c>
      <c r="F65"/>
      <c r="G65"/>
      <c r="H65"/>
      <c r="I65"/>
      <c r="J65"/>
    </row>
    <row r="66" spans="2:10" ht="0.5" customHeight="1">
      <c r="B66" s="174" t="s">
        <v>98</v>
      </c>
      <c r="C66" s="175">
        <v>0.52548660000000003</v>
      </c>
      <c r="D66" s="175">
        <v>0.60416669999999995</v>
      </c>
      <c r="E66" s="175">
        <v>0.56047400000000003</v>
      </c>
      <c r="F66"/>
      <c r="G66"/>
      <c r="H66"/>
      <c r="I66"/>
      <c r="J66"/>
    </row>
    <row r="67" spans="2:10" ht="0.5" customHeight="1">
      <c r="B67" s="174" t="s">
        <v>91</v>
      </c>
      <c r="C67" s="175">
        <v>0.54401520000000003</v>
      </c>
      <c r="D67" s="175">
        <v>0.56525360000000002</v>
      </c>
      <c r="E67" s="175">
        <v>0.553199</v>
      </c>
      <c r="F67"/>
      <c r="G67"/>
      <c r="H67"/>
      <c r="I67"/>
      <c r="J67"/>
    </row>
    <row r="68" spans="2:10" ht="0.5" customHeight="1">
      <c r="B68" s="174" t="s">
        <v>131</v>
      </c>
      <c r="C68" s="175">
        <v>0.51168829999999998</v>
      </c>
      <c r="D68" s="175">
        <v>0.72266070000000004</v>
      </c>
      <c r="E68" s="175">
        <v>0.57823599999999997</v>
      </c>
      <c r="F68"/>
      <c r="G68"/>
      <c r="H68"/>
      <c r="I68"/>
      <c r="J68"/>
    </row>
    <row r="69" spans="2:10" ht="0.5" customHeight="1">
      <c r="B69" s="174" t="s">
        <v>88</v>
      </c>
      <c r="C69" s="175">
        <v>0.82605989999999996</v>
      </c>
      <c r="D69" s="175">
        <v>0.92026339999999995</v>
      </c>
      <c r="E69" s="175">
        <v>0.86940399999999995</v>
      </c>
      <c r="F69"/>
      <c r="G69"/>
      <c r="H69"/>
      <c r="I69"/>
      <c r="J69"/>
    </row>
    <row r="70" spans="2:10" ht="0.5" customHeight="1">
      <c r="B70" s="174" t="s">
        <v>134</v>
      </c>
      <c r="C70" s="175">
        <v>0.70787829999999996</v>
      </c>
      <c r="D70" s="175">
        <v>0.84126369999999995</v>
      </c>
      <c r="E70" s="175">
        <v>0.77457100000000001</v>
      </c>
      <c r="F70"/>
      <c r="G70"/>
      <c r="H70"/>
      <c r="I70"/>
      <c r="J70"/>
    </row>
    <row r="71" spans="2:10" ht="0.5" customHeight="1">
      <c r="B71" s="174" t="s">
        <v>90</v>
      </c>
      <c r="C71" s="175">
        <v>0.7095709</v>
      </c>
      <c r="D71" s="175">
        <v>0.84159689999999998</v>
      </c>
      <c r="E71" s="175">
        <v>0.77640200000000004</v>
      </c>
      <c r="F71"/>
      <c r="G71"/>
      <c r="H71"/>
      <c r="I71"/>
      <c r="J71"/>
    </row>
    <row r="72" spans="2:10" ht="0.5" customHeight="1">
      <c r="B72" s="181" t="s">
        <v>60</v>
      </c>
      <c r="C72" s="182">
        <f>AVERAGE(C40:C41)</f>
        <v>0.39575453974358976</v>
      </c>
      <c r="D72" s="182">
        <f>AVERAGE(D40:D41)</f>
        <v>0.67549347640449442</v>
      </c>
      <c r="E72" s="182">
        <f>AVERAGE(E40:E41)</f>
        <v>0.47357755000000001</v>
      </c>
      <c r="F72"/>
      <c r="G72"/>
      <c r="H72"/>
      <c r="I72"/>
      <c r="J72"/>
    </row>
    <row r="73" spans="2:10" ht="0.5" customHeight="1">
      <c r="B73" s="183" t="s">
        <v>401</v>
      </c>
      <c r="C73" s="184">
        <f>AVERAGE(C39:C47)</f>
        <v>0.34565074216524216</v>
      </c>
      <c r="D73" s="184">
        <f>+AVERAGE(D39:D47)</f>
        <v>0.56987152808988772</v>
      </c>
      <c r="E73" s="184">
        <f>+AVERAGE(E39:E47)</f>
        <v>0.41050831111111113</v>
      </c>
      <c r="F73"/>
      <c r="G73"/>
      <c r="H73"/>
      <c r="I73"/>
      <c r="J73"/>
    </row>
    <row r="74" spans="2:10" ht="0.5" customHeight="1">
      <c r="B74" s="185" t="s">
        <v>18</v>
      </c>
      <c r="C74" s="186">
        <f>AVERAGE(C49:C71)</f>
        <v>0.65197274782608694</v>
      </c>
      <c r="D74" s="186">
        <f>AVERAGE(D49:D71)</f>
        <v>0.78560892173913055</v>
      </c>
      <c r="E74" s="186">
        <f>AVERAGE(E49:E71)</f>
        <v>0.70723034782608674</v>
      </c>
      <c r="F74"/>
      <c r="G74"/>
      <c r="H74"/>
      <c r="I74"/>
      <c r="J74"/>
    </row>
    <row r="75" spans="2:10" ht="0.5" customHeight="1">
      <c r="B75"/>
      <c r="C75"/>
      <c r="D75"/>
      <c r="E75"/>
      <c r="F75"/>
      <c r="G75"/>
      <c r="H75"/>
      <c r="I75"/>
      <c r="J75"/>
    </row>
    <row r="76" spans="2:10" ht="0.5" customHeight="1">
      <c r="B76"/>
      <c r="C76"/>
      <c r="D76"/>
      <c r="E76"/>
      <c r="F76"/>
      <c r="G76"/>
      <c r="H76"/>
      <c r="I76"/>
      <c r="J76"/>
    </row>
    <row r="77" spans="2:10" ht="0.5" customHeight="1">
      <c r="B77"/>
      <c r="C77"/>
      <c r="D77"/>
      <c r="E77"/>
      <c r="F77"/>
      <c r="G77"/>
      <c r="H77"/>
      <c r="I77"/>
      <c r="J77"/>
    </row>
    <row r="78" spans="2:10" ht="0.5" customHeight="1">
      <c r="B78" s="172" t="s">
        <v>31</v>
      </c>
      <c r="C78" s="173" t="s">
        <v>397</v>
      </c>
      <c r="D78" s="173" t="s">
        <v>398</v>
      </c>
      <c r="E78" s="173" t="s">
        <v>24</v>
      </c>
      <c r="F78"/>
      <c r="G78"/>
      <c r="H78"/>
      <c r="I78"/>
      <c r="J78"/>
    </row>
    <row r="79" spans="2:10" ht="0.5" customHeight="1">
      <c r="B79" s="174" t="s">
        <v>42</v>
      </c>
      <c r="C79" s="175">
        <v>0.29737209999999997</v>
      </c>
      <c r="D79" s="175">
        <v>0.64077669999999998</v>
      </c>
      <c r="E79" s="175">
        <v>0.40019379999999999</v>
      </c>
      <c r="F79"/>
      <c r="G79"/>
      <c r="H79"/>
      <c r="I79"/>
      <c r="J79"/>
    </row>
    <row r="80" spans="2:10" ht="0.5" customHeight="1">
      <c r="B80" s="174" t="s">
        <v>39</v>
      </c>
      <c r="C80" s="175">
        <v>0.36202190000000001</v>
      </c>
      <c r="D80" s="175">
        <v>0.68918919999999995</v>
      </c>
      <c r="E80" s="175">
        <v>0.43815510000000002</v>
      </c>
      <c r="F80"/>
      <c r="G80"/>
      <c r="H80"/>
      <c r="I80"/>
      <c r="J80"/>
    </row>
    <row r="81" spans="2:10" ht="0.5" customHeight="1">
      <c r="B81" s="174" t="s">
        <v>41</v>
      </c>
      <c r="C81" s="175">
        <v>0.42948717948717946</v>
      </c>
      <c r="D81" s="175">
        <v>0.66179775280898878</v>
      </c>
      <c r="E81" s="187">
        <v>0.50900000000000001</v>
      </c>
      <c r="F81"/>
      <c r="G81"/>
      <c r="H81"/>
      <c r="I81"/>
      <c r="J81"/>
    </row>
    <row r="82" spans="2:10" ht="0.5" customHeight="1">
      <c r="B82" s="188" t="s">
        <v>18</v>
      </c>
      <c r="C82" s="189">
        <v>0.65197274782608694</v>
      </c>
      <c r="D82" s="189">
        <v>0.78560892173913055</v>
      </c>
      <c r="E82" s="189">
        <v>0.70723034782608674</v>
      </c>
      <c r="F82"/>
      <c r="G82"/>
      <c r="H82"/>
      <c r="I82"/>
      <c r="J82"/>
    </row>
    <row r="83" spans="2:10">
      <c r="B83"/>
      <c r="C83"/>
      <c r="D83"/>
      <c r="E83"/>
      <c r="F83"/>
      <c r="G83"/>
      <c r="H83"/>
      <c r="I83"/>
      <c r="J83"/>
    </row>
    <row r="84" spans="2:10">
      <c r="B84"/>
      <c r="C84"/>
      <c r="D84"/>
      <c r="E84"/>
      <c r="F84"/>
      <c r="G84"/>
      <c r="H84"/>
      <c r="I84"/>
      <c r="J84"/>
    </row>
    <row r="85" spans="2:10">
      <c r="B85"/>
      <c r="C85"/>
      <c r="D85"/>
      <c r="E85"/>
      <c r="F85"/>
      <c r="G85"/>
      <c r="H85"/>
      <c r="I85"/>
      <c r="J85"/>
    </row>
    <row r="86" spans="2:10">
      <c r="B86"/>
      <c r="C86"/>
      <c r="D86"/>
      <c r="E86"/>
      <c r="F86"/>
      <c r="G86"/>
      <c r="H86"/>
      <c r="I86"/>
      <c r="J86"/>
    </row>
    <row r="87" spans="2:10">
      <c r="B87"/>
      <c r="C87"/>
      <c r="D87"/>
      <c r="E87"/>
      <c r="F87"/>
      <c r="G87"/>
      <c r="H87"/>
      <c r="I87"/>
      <c r="J87"/>
    </row>
    <row r="88" spans="2:10">
      <c r="B88"/>
      <c r="C88"/>
      <c r="D88"/>
      <c r="E88"/>
      <c r="F88"/>
      <c r="G88"/>
      <c r="H88"/>
      <c r="I88"/>
      <c r="J88"/>
    </row>
    <row r="89" spans="2:10">
      <c r="B89"/>
      <c r="C89"/>
      <c r="D89"/>
      <c r="E89"/>
      <c r="F89"/>
      <c r="G89"/>
      <c r="H89"/>
      <c r="I89"/>
      <c r="J89"/>
    </row>
    <row r="90" spans="2:10">
      <c r="B90"/>
      <c r="C90"/>
      <c r="D90"/>
      <c r="E90"/>
      <c r="F90"/>
      <c r="G90"/>
      <c r="H90"/>
      <c r="I90"/>
      <c r="J90"/>
    </row>
    <row r="91" spans="2:10">
      <c r="B91"/>
      <c r="C91"/>
      <c r="D91"/>
      <c r="E91"/>
      <c r="F91"/>
      <c r="G91"/>
      <c r="H91"/>
      <c r="I91"/>
      <c r="J91"/>
    </row>
    <row r="92" spans="2:10">
      <c r="B92"/>
      <c r="C92"/>
      <c r="D92"/>
      <c r="E92"/>
      <c r="F92"/>
      <c r="G92"/>
      <c r="H92"/>
      <c r="I92"/>
      <c r="J92"/>
    </row>
    <row r="93" spans="2:10">
      <c r="B93"/>
      <c r="C93"/>
      <c r="D93"/>
      <c r="E93"/>
      <c r="F93"/>
      <c r="G93"/>
      <c r="H93"/>
      <c r="I93"/>
      <c r="J93"/>
    </row>
    <row r="94" spans="2:10">
      <c r="B94"/>
      <c r="C94"/>
      <c r="D94"/>
      <c r="E94"/>
      <c r="F94"/>
      <c r="G94"/>
      <c r="H94"/>
      <c r="I94"/>
      <c r="J94"/>
    </row>
    <row r="95" spans="2:10">
      <c r="B95"/>
      <c r="C95"/>
      <c r="D95"/>
      <c r="E95"/>
      <c r="F95"/>
      <c r="G95"/>
      <c r="H95"/>
      <c r="I95"/>
      <c r="J95"/>
    </row>
    <row r="96" spans="2:10">
      <c r="B96"/>
      <c r="C96"/>
      <c r="D96"/>
      <c r="E96"/>
      <c r="F96"/>
      <c r="G96"/>
      <c r="H96"/>
      <c r="I96"/>
      <c r="J96"/>
    </row>
    <row r="97" spans="2:10">
      <c r="B97"/>
      <c r="C97"/>
      <c r="D97"/>
      <c r="E97"/>
      <c r="F97"/>
      <c r="G97"/>
      <c r="H97"/>
      <c r="I97"/>
      <c r="J97"/>
    </row>
    <row r="98" spans="2:10">
      <c r="B98"/>
      <c r="C98"/>
      <c r="D98"/>
      <c r="E98"/>
      <c r="F98"/>
      <c r="G98"/>
      <c r="H98"/>
      <c r="I98"/>
      <c r="J98"/>
    </row>
    <row r="99" spans="2:10">
      <c r="B99"/>
      <c r="C99"/>
      <c r="D99"/>
      <c r="E99"/>
      <c r="F99"/>
      <c r="G99"/>
      <c r="H99"/>
      <c r="I99"/>
      <c r="J99"/>
    </row>
    <row r="100" spans="2:10">
      <c r="B100"/>
      <c r="C100"/>
      <c r="D100"/>
      <c r="E100"/>
      <c r="F100"/>
      <c r="G100"/>
      <c r="H100"/>
      <c r="I100"/>
      <c r="J100"/>
    </row>
    <row r="101" spans="2:10">
      <c r="B101"/>
      <c r="C101"/>
      <c r="D101"/>
      <c r="E101"/>
      <c r="F101"/>
      <c r="G101"/>
      <c r="H101"/>
      <c r="I101"/>
      <c r="J101"/>
    </row>
    <row r="102" spans="2:10">
      <c r="B102"/>
      <c r="C102"/>
      <c r="D102"/>
      <c r="E102"/>
      <c r="F102"/>
      <c r="G102"/>
      <c r="H102"/>
      <c r="I102"/>
      <c r="J102"/>
    </row>
    <row r="103" spans="2:10">
      <c r="B103"/>
      <c r="C103"/>
      <c r="D103"/>
      <c r="E103"/>
      <c r="F103"/>
      <c r="G103"/>
      <c r="H103"/>
      <c r="I103"/>
      <c r="J103"/>
    </row>
    <row r="104" spans="2:10">
      <c r="B104"/>
      <c r="C104"/>
      <c r="D104"/>
      <c r="E104"/>
      <c r="F104"/>
      <c r="G104"/>
      <c r="H104"/>
      <c r="I104"/>
      <c r="J104"/>
    </row>
    <row r="105" spans="2:10">
      <c r="B105"/>
      <c r="C105"/>
      <c r="D105"/>
      <c r="E105"/>
      <c r="F105"/>
      <c r="G105"/>
      <c r="H105"/>
      <c r="I105"/>
      <c r="J105"/>
    </row>
    <row r="106" spans="2:10">
      <c r="B106"/>
      <c r="C106"/>
      <c r="D106"/>
      <c r="E106"/>
      <c r="F106"/>
      <c r="G106"/>
      <c r="H106"/>
      <c r="I106"/>
      <c r="J106"/>
    </row>
    <row r="107" spans="2:10">
      <c r="B107"/>
      <c r="C107"/>
      <c r="D107"/>
      <c r="E107"/>
      <c r="F107"/>
      <c r="G107"/>
      <c r="H107"/>
      <c r="I107"/>
      <c r="J107"/>
    </row>
    <row r="108" spans="2:10">
      <c r="B108"/>
      <c r="C108"/>
      <c r="D108"/>
      <c r="E108"/>
      <c r="F108"/>
      <c r="G108"/>
      <c r="H108"/>
      <c r="I108"/>
      <c r="J108"/>
    </row>
    <row r="109" spans="2:10">
      <c r="B109"/>
      <c r="C109"/>
      <c r="D109"/>
      <c r="E109"/>
      <c r="F109"/>
      <c r="G109"/>
      <c r="H109"/>
      <c r="I109"/>
      <c r="J109"/>
    </row>
    <row r="110" spans="2:10">
      <c r="B110"/>
      <c r="C110"/>
      <c r="D110"/>
      <c r="E110"/>
      <c r="F110"/>
      <c r="G110"/>
      <c r="H110"/>
      <c r="I110"/>
      <c r="J110"/>
    </row>
    <row r="111" spans="2:10">
      <c r="B111"/>
      <c r="C111"/>
      <c r="D111"/>
      <c r="E111"/>
      <c r="F111"/>
      <c r="G111"/>
      <c r="H111"/>
      <c r="I111"/>
      <c r="J111"/>
    </row>
    <row r="112" spans="2:10">
      <c r="B112"/>
      <c r="C112"/>
      <c r="D112"/>
      <c r="E112"/>
      <c r="F112"/>
      <c r="G112"/>
      <c r="H112"/>
      <c r="I112"/>
      <c r="J112"/>
    </row>
    <row r="113" spans="2:10">
      <c r="B113"/>
      <c r="C113"/>
      <c r="D113"/>
      <c r="E113"/>
      <c r="F113"/>
      <c r="G113"/>
      <c r="H113"/>
      <c r="I113"/>
      <c r="J113"/>
    </row>
    <row r="114" spans="2:10">
      <c r="B114"/>
      <c r="C114"/>
      <c r="D114"/>
      <c r="E114"/>
      <c r="F114"/>
      <c r="G114"/>
      <c r="H114"/>
      <c r="I114"/>
      <c r="J114"/>
    </row>
    <row r="115" spans="2:10">
      <c r="B115"/>
      <c r="C115"/>
      <c r="D115"/>
      <c r="E115"/>
      <c r="F115"/>
      <c r="G115"/>
      <c r="H115"/>
      <c r="I115"/>
      <c r="J115"/>
    </row>
    <row r="116" spans="2:10">
      <c r="B116"/>
      <c r="C116"/>
      <c r="D116"/>
      <c r="E116"/>
      <c r="F116"/>
      <c r="G116"/>
      <c r="H116"/>
      <c r="I116"/>
      <c r="J116"/>
    </row>
    <row r="117" spans="2:10">
      <c r="B117"/>
      <c r="C117"/>
      <c r="D117"/>
      <c r="E117"/>
      <c r="F117"/>
      <c r="G117"/>
      <c r="H117"/>
      <c r="I117"/>
      <c r="J117"/>
    </row>
    <row r="118" spans="2:10">
      <c r="B118"/>
      <c r="C118"/>
      <c r="D118"/>
      <c r="E118"/>
      <c r="F118"/>
      <c r="G118"/>
      <c r="H118"/>
      <c r="I118"/>
      <c r="J118"/>
    </row>
    <row r="119" spans="2:10">
      <c r="B119"/>
      <c r="C119"/>
      <c r="D119"/>
      <c r="E119"/>
      <c r="F119"/>
      <c r="G119"/>
      <c r="H119"/>
      <c r="I119"/>
      <c r="J119"/>
    </row>
    <row r="120" spans="2:10">
      <c r="B120"/>
      <c r="C120"/>
      <c r="D120"/>
      <c r="E120"/>
      <c r="F120"/>
      <c r="G120"/>
      <c r="H120"/>
      <c r="I120"/>
      <c r="J120"/>
    </row>
    <row r="121" spans="2:10">
      <c r="B121"/>
      <c r="C121"/>
      <c r="D121"/>
      <c r="E121"/>
      <c r="F121"/>
      <c r="G121"/>
      <c r="H121"/>
      <c r="I121"/>
      <c r="J121"/>
    </row>
    <row r="122" spans="2:10">
      <c r="B122"/>
      <c r="C122"/>
      <c r="D122"/>
      <c r="E122"/>
      <c r="F122"/>
      <c r="G122"/>
      <c r="H122"/>
      <c r="I122"/>
      <c r="J122"/>
    </row>
    <row r="123" spans="2:10">
      <c r="B123"/>
      <c r="C123"/>
      <c r="D123"/>
      <c r="E123"/>
      <c r="F123"/>
      <c r="G123"/>
      <c r="H123"/>
      <c r="I123"/>
      <c r="J123"/>
    </row>
    <row r="124" spans="2:10">
      <c r="B124"/>
      <c r="C124"/>
      <c r="D124"/>
      <c r="E124"/>
      <c r="F124"/>
      <c r="G124"/>
      <c r="H124"/>
      <c r="I124"/>
      <c r="J124"/>
    </row>
    <row r="125" spans="2:10">
      <c r="B125"/>
      <c r="C125"/>
      <c r="D125"/>
      <c r="E125"/>
      <c r="F125"/>
      <c r="G125"/>
      <c r="H125"/>
      <c r="I125"/>
      <c r="J125"/>
    </row>
    <row r="126" spans="2:10">
      <c r="B126"/>
      <c r="C126"/>
      <c r="D126"/>
      <c r="E126"/>
      <c r="F126"/>
      <c r="G126"/>
      <c r="H126"/>
      <c r="I126"/>
      <c r="J126"/>
    </row>
    <row r="127" spans="2:10">
      <c r="B127"/>
      <c r="C127"/>
      <c r="D127"/>
      <c r="E127"/>
      <c r="F127"/>
      <c r="G127"/>
      <c r="H127"/>
      <c r="I127"/>
      <c r="J127"/>
    </row>
    <row r="128" spans="2:10">
      <c r="B128"/>
      <c r="C128"/>
      <c r="D128"/>
      <c r="E128"/>
      <c r="F128"/>
      <c r="G128"/>
      <c r="H128"/>
      <c r="I128"/>
      <c r="J128"/>
    </row>
    <row r="129" spans="2:10">
      <c r="B129"/>
      <c r="C129"/>
      <c r="D129"/>
      <c r="E129"/>
      <c r="F129"/>
      <c r="G129"/>
      <c r="H129"/>
      <c r="I129"/>
      <c r="J129"/>
    </row>
    <row r="130" spans="2:10">
      <c r="B130"/>
      <c r="C130"/>
      <c r="D130"/>
      <c r="E130"/>
      <c r="F130"/>
      <c r="G130"/>
      <c r="H130"/>
      <c r="I130"/>
      <c r="J130"/>
    </row>
    <row r="131" spans="2:10">
      <c r="B131"/>
      <c r="C131"/>
      <c r="D131"/>
      <c r="E131"/>
      <c r="F131"/>
      <c r="G131"/>
      <c r="H131"/>
      <c r="I131"/>
      <c r="J131"/>
    </row>
    <row r="132" spans="2:10">
      <c r="B132"/>
      <c r="C132"/>
      <c r="D132"/>
      <c r="E132"/>
      <c r="F132"/>
      <c r="G132"/>
      <c r="H132"/>
      <c r="I132"/>
      <c r="J132"/>
    </row>
    <row r="133" spans="2:10">
      <c r="B133"/>
      <c r="C133"/>
      <c r="D133"/>
      <c r="E133"/>
      <c r="F133"/>
      <c r="G133"/>
      <c r="H133"/>
      <c r="I133"/>
      <c r="J133"/>
    </row>
    <row r="134" spans="2:10">
      <c r="B134"/>
      <c r="C134"/>
      <c r="D134"/>
      <c r="E134"/>
      <c r="F134"/>
      <c r="G134"/>
      <c r="H134"/>
      <c r="I134"/>
      <c r="J134"/>
    </row>
    <row r="135" spans="2:10">
      <c r="B135"/>
      <c r="C135"/>
      <c r="D135"/>
      <c r="E135"/>
      <c r="F135"/>
      <c r="G135"/>
      <c r="H135"/>
      <c r="I135"/>
      <c r="J135"/>
    </row>
    <row r="136" spans="2:10">
      <c r="B136"/>
      <c r="C136"/>
      <c r="D136"/>
      <c r="E136"/>
      <c r="F136"/>
      <c r="G136"/>
      <c r="H136"/>
      <c r="I136"/>
      <c r="J136"/>
    </row>
    <row r="137" spans="2:10">
      <c r="B137"/>
      <c r="C137"/>
      <c r="D137"/>
      <c r="E137"/>
      <c r="F137"/>
      <c r="G137"/>
      <c r="H137"/>
      <c r="I137"/>
      <c r="J137"/>
    </row>
    <row r="138" spans="2:10">
      <c r="B138"/>
      <c r="C138"/>
      <c r="D138"/>
      <c r="E138"/>
      <c r="F138"/>
      <c r="G138"/>
      <c r="H138"/>
      <c r="I138"/>
      <c r="J138"/>
    </row>
    <row r="139" spans="2:10">
      <c r="B139"/>
      <c r="C139"/>
      <c r="D139"/>
      <c r="E139"/>
      <c r="F139"/>
      <c r="G139"/>
      <c r="H139"/>
      <c r="I139"/>
      <c r="J139"/>
    </row>
    <row r="140" spans="2:10">
      <c r="B140"/>
      <c r="C140"/>
      <c r="D140"/>
      <c r="E140"/>
      <c r="F140"/>
      <c r="G140"/>
      <c r="H140"/>
      <c r="I140"/>
      <c r="J140"/>
    </row>
    <row r="141" spans="2:10">
      <c r="B141"/>
      <c r="C141"/>
      <c r="D141"/>
      <c r="E141"/>
      <c r="F141"/>
      <c r="G141"/>
      <c r="H141"/>
      <c r="I141"/>
      <c r="J141"/>
    </row>
    <row r="142" spans="2:10">
      <c r="B142"/>
      <c r="C142"/>
      <c r="D142"/>
      <c r="E142"/>
      <c r="F142"/>
      <c r="G142"/>
      <c r="H142"/>
      <c r="I142"/>
      <c r="J142"/>
    </row>
    <row r="143" spans="2:10">
      <c r="B143"/>
      <c r="C143"/>
      <c r="D143"/>
      <c r="E143"/>
      <c r="F143"/>
      <c r="G143"/>
      <c r="H143"/>
      <c r="I143"/>
      <c r="J143"/>
    </row>
    <row r="144" spans="2:10">
      <c r="B144"/>
      <c r="C144"/>
      <c r="D144"/>
      <c r="E144"/>
      <c r="F144"/>
      <c r="G144"/>
      <c r="H144"/>
      <c r="I144"/>
      <c r="J144"/>
    </row>
    <row r="145" spans="2:10">
      <c r="B145"/>
      <c r="C145"/>
      <c r="D145"/>
      <c r="E145"/>
      <c r="F145"/>
      <c r="G145"/>
      <c r="H145"/>
      <c r="I145"/>
      <c r="J145"/>
    </row>
    <row r="146" spans="2:10">
      <c r="B146"/>
      <c r="C146"/>
      <c r="D146"/>
      <c r="E146"/>
      <c r="F146"/>
      <c r="G146"/>
      <c r="H146"/>
      <c r="I146"/>
      <c r="J146"/>
    </row>
    <row r="147" spans="2:10">
      <c r="B147"/>
      <c r="C147"/>
      <c r="D147"/>
      <c r="E147"/>
      <c r="F147"/>
      <c r="G147"/>
      <c r="H147"/>
      <c r="I147"/>
      <c r="J147"/>
    </row>
    <row r="148" spans="2:10">
      <c r="B148"/>
      <c r="C148"/>
      <c r="D148"/>
      <c r="E148"/>
      <c r="F148"/>
      <c r="G148"/>
      <c r="H148"/>
      <c r="I148"/>
      <c r="J148"/>
    </row>
    <row r="149" spans="2:10">
      <c r="B149"/>
      <c r="C149"/>
      <c r="D149"/>
      <c r="E149"/>
      <c r="F149"/>
      <c r="G149"/>
      <c r="H149"/>
      <c r="I149"/>
      <c r="J149"/>
    </row>
    <row r="150" spans="2:10">
      <c r="B150"/>
      <c r="C150"/>
      <c r="D150"/>
      <c r="E150"/>
      <c r="F150"/>
      <c r="G150"/>
      <c r="H150"/>
      <c r="I150"/>
      <c r="J150"/>
    </row>
    <row r="151" spans="2:10">
      <c r="B151"/>
      <c r="C151"/>
      <c r="D151"/>
      <c r="E151"/>
      <c r="F151"/>
      <c r="G151"/>
      <c r="H151"/>
      <c r="I151"/>
      <c r="J151"/>
    </row>
    <row r="152" spans="2:10">
      <c r="B152"/>
      <c r="C152"/>
      <c r="D152"/>
      <c r="E152"/>
      <c r="F152"/>
      <c r="G152"/>
      <c r="H152"/>
      <c r="I152"/>
      <c r="J152"/>
    </row>
    <row r="153" spans="2:10">
      <c r="B153"/>
      <c r="C153"/>
      <c r="D153"/>
      <c r="E153"/>
      <c r="F153"/>
      <c r="G153"/>
      <c r="H153"/>
      <c r="I153"/>
      <c r="J153"/>
    </row>
    <row r="154" spans="2:10">
      <c r="B154"/>
      <c r="C154"/>
      <c r="D154"/>
      <c r="E154"/>
      <c r="F154"/>
      <c r="G154"/>
      <c r="H154"/>
      <c r="I154"/>
      <c r="J154"/>
    </row>
    <row r="155" spans="2:10">
      <c r="B155"/>
      <c r="C155"/>
      <c r="D155"/>
      <c r="E155"/>
      <c r="F155"/>
      <c r="G155"/>
      <c r="H155"/>
      <c r="I155"/>
      <c r="J155"/>
    </row>
    <row r="156" spans="2:10">
      <c r="B156"/>
      <c r="C156"/>
      <c r="D156"/>
      <c r="E156"/>
      <c r="F156"/>
      <c r="G156"/>
      <c r="H156"/>
      <c r="I156"/>
      <c r="J156"/>
    </row>
    <row r="157" spans="2:10">
      <c r="B157"/>
      <c r="C157"/>
      <c r="D157"/>
      <c r="E157"/>
      <c r="F157"/>
      <c r="G157"/>
      <c r="H157"/>
      <c r="I157"/>
      <c r="J157"/>
    </row>
    <row r="158" spans="2:10">
      <c r="B158"/>
      <c r="C158"/>
      <c r="D158"/>
      <c r="E158"/>
      <c r="F158"/>
      <c r="G158"/>
      <c r="H158"/>
      <c r="I158"/>
      <c r="J158"/>
    </row>
    <row r="159" spans="2:10">
      <c r="B159"/>
      <c r="C159"/>
      <c r="D159"/>
      <c r="E159"/>
      <c r="F159"/>
      <c r="G159"/>
      <c r="H159"/>
      <c r="I159"/>
      <c r="J159"/>
    </row>
    <row r="160" spans="2:10">
      <c r="B160"/>
      <c r="C160"/>
      <c r="D160"/>
      <c r="E160"/>
      <c r="F160"/>
      <c r="G160"/>
      <c r="H160"/>
      <c r="I160"/>
      <c r="J160"/>
    </row>
    <row r="161" spans="2:10">
      <c r="B161"/>
      <c r="C161"/>
      <c r="D161"/>
      <c r="E161"/>
      <c r="F161"/>
      <c r="G161"/>
      <c r="H161"/>
      <c r="I161"/>
      <c r="J161"/>
    </row>
    <row r="162" spans="2:10">
      <c r="B162"/>
      <c r="C162"/>
      <c r="D162"/>
      <c r="E162"/>
      <c r="F162"/>
      <c r="G162"/>
      <c r="H162"/>
      <c r="I162"/>
      <c r="J162"/>
    </row>
    <row r="163" spans="2:10">
      <c r="B163"/>
      <c r="C163"/>
      <c r="D163"/>
      <c r="E163"/>
      <c r="F163"/>
      <c r="G163"/>
      <c r="H163"/>
      <c r="I163"/>
      <c r="J163"/>
    </row>
    <row r="164" spans="2:10">
      <c r="B164"/>
      <c r="C164"/>
      <c r="D164"/>
      <c r="E164"/>
      <c r="F164"/>
      <c r="G164"/>
      <c r="H164"/>
      <c r="I164"/>
      <c r="J164"/>
    </row>
    <row r="165" spans="2:10">
      <c r="B165"/>
      <c r="C165"/>
      <c r="D165"/>
      <c r="E165"/>
      <c r="F165"/>
      <c r="G165"/>
      <c r="H165"/>
      <c r="I165"/>
      <c r="J165"/>
    </row>
    <row r="166" spans="2:10">
      <c r="B166"/>
      <c r="C166"/>
      <c r="D166"/>
      <c r="E166"/>
      <c r="F166"/>
      <c r="G166"/>
      <c r="H166"/>
      <c r="I166"/>
      <c r="J166"/>
    </row>
    <row r="167" spans="2:10">
      <c r="B167"/>
      <c r="C167"/>
      <c r="D167"/>
      <c r="E167"/>
      <c r="F167"/>
      <c r="G167"/>
      <c r="H167"/>
      <c r="I167"/>
      <c r="J167"/>
    </row>
    <row r="168" spans="2:10">
      <c r="B168"/>
      <c r="C168"/>
      <c r="D168"/>
      <c r="E168"/>
      <c r="F168"/>
      <c r="G168"/>
      <c r="H168"/>
      <c r="I168"/>
      <c r="J168"/>
    </row>
    <row r="169" spans="2:10">
      <c r="B169"/>
      <c r="C169"/>
      <c r="D169"/>
      <c r="E169"/>
      <c r="F169"/>
      <c r="G169"/>
      <c r="H169"/>
      <c r="I169"/>
      <c r="J169"/>
    </row>
    <row r="170" spans="2:10">
      <c r="B170"/>
      <c r="C170"/>
      <c r="D170"/>
      <c r="E170"/>
      <c r="F170"/>
      <c r="G170"/>
      <c r="H170"/>
      <c r="I170"/>
      <c r="J170"/>
    </row>
  </sheetData>
  <mergeCells count="2">
    <mergeCell ref="B32:N32"/>
    <mergeCell ref="B37:E37"/>
  </mergeCells>
  <pageMargins left="0.7" right="0.7" top="0.75" bottom="0.75" header="0.3" footer="0.3"/>
  <pageSetup scale="5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4"/>
  <sheetViews>
    <sheetView zoomScale="90" zoomScaleNormal="90" zoomScaleSheetLayoutView="100" zoomScalePageLayoutView="90" workbookViewId="0">
      <selection activeCell="B31" sqref="B31:G31"/>
    </sheetView>
  </sheetViews>
  <sheetFormatPr defaultColWidth="8.81640625" defaultRowHeight="15.5"/>
  <cols>
    <col min="1" max="1" width="3.81640625" style="142" customWidth="1"/>
    <col min="2" max="2" width="36.81640625" style="142" customWidth="1"/>
    <col min="3" max="3" width="14.453125" style="230" customWidth="1"/>
    <col min="4" max="7" width="13" style="230" customWidth="1"/>
    <col min="8" max="8" width="13" style="142" hidden="1" customWidth="1"/>
    <col min="9" max="12" width="13" style="230" hidden="1" customWidth="1"/>
    <col min="13" max="13" width="13" style="142" hidden="1" customWidth="1"/>
    <col min="14" max="16" width="16.1796875" style="142" hidden="1" customWidth="1"/>
    <col min="17" max="17" width="35.453125" style="142" customWidth="1"/>
    <col min="18" max="20" width="9.1796875" style="142" customWidth="1"/>
    <col min="21" max="16384" width="8.81640625" style="142"/>
  </cols>
  <sheetData>
    <row r="1" spans="1:17">
      <c r="A1" s="141"/>
      <c r="B1" s="141"/>
      <c r="C1" s="202"/>
      <c r="D1" s="202"/>
      <c r="E1" s="202"/>
      <c r="F1" s="202"/>
      <c r="G1" s="202"/>
      <c r="H1" s="141"/>
      <c r="I1" s="202"/>
      <c r="J1" s="202"/>
      <c r="K1" s="202"/>
      <c r="L1" s="202"/>
      <c r="M1" s="141"/>
      <c r="N1" s="141"/>
      <c r="O1" s="141"/>
      <c r="P1" s="141"/>
      <c r="Q1" s="141"/>
    </row>
    <row r="2" spans="1:17" ht="17.5">
      <c r="A2" s="141"/>
      <c r="B2" s="203" t="s">
        <v>472</v>
      </c>
      <c r="C2" s="202"/>
      <c r="D2" s="202"/>
      <c r="E2" s="202"/>
      <c r="F2" s="202"/>
      <c r="G2" s="202"/>
      <c r="H2" s="141"/>
      <c r="I2" s="202"/>
      <c r="J2" s="202"/>
      <c r="K2" s="202"/>
      <c r="L2" s="202"/>
      <c r="M2" s="141"/>
      <c r="N2" s="141"/>
      <c r="O2" s="141"/>
      <c r="P2" s="141"/>
      <c r="Q2" s="141"/>
    </row>
    <row r="3" spans="1:17">
      <c r="A3" s="141"/>
      <c r="B3" s="141"/>
      <c r="C3" s="202"/>
      <c r="D3" s="202" t="s">
        <v>1</v>
      </c>
      <c r="E3" s="202"/>
      <c r="F3" s="202"/>
      <c r="G3" s="202"/>
      <c r="H3" s="141"/>
      <c r="I3" s="202"/>
      <c r="J3" s="202"/>
      <c r="K3" s="202"/>
      <c r="L3" s="202"/>
      <c r="M3" s="141"/>
      <c r="N3" s="141"/>
      <c r="O3" s="141"/>
      <c r="P3" s="141"/>
      <c r="Q3" s="141"/>
    </row>
    <row r="4" spans="1:17" s="208" customFormat="1" ht="15">
      <c r="A4" s="204"/>
      <c r="B4" s="205"/>
      <c r="C4" s="447" t="s">
        <v>473</v>
      </c>
      <c r="D4" s="447"/>
      <c r="E4" s="447"/>
      <c r="F4" s="447"/>
      <c r="G4" s="447"/>
      <c r="H4" s="206"/>
      <c r="I4" s="206"/>
      <c r="J4" s="206"/>
      <c r="K4" s="206"/>
      <c r="L4" s="206"/>
      <c r="M4" s="206"/>
      <c r="N4" s="207"/>
      <c r="O4" s="207"/>
      <c r="P4" s="207"/>
      <c r="Q4" s="204"/>
    </row>
    <row r="5" spans="1:17" s="208" customFormat="1" ht="15">
      <c r="A5" s="204"/>
      <c r="B5" s="209"/>
      <c r="C5" s="448" t="s">
        <v>474</v>
      </c>
      <c r="D5" s="448"/>
      <c r="E5" s="448"/>
      <c r="F5" s="448"/>
      <c r="G5" s="448"/>
      <c r="H5" s="449"/>
      <c r="I5" s="449"/>
      <c r="J5" s="449"/>
      <c r="K5" s="449"/>
      <c r="L5" s="449"/>
      <c r="M5" s="449"/>
      <c r="N5" s="450" t="s">
        <v>475</v>
      </c>
      <c r="O5" s="450"/>
      <c r="P5" s="450"/>
      <c r="Q5" s="204"/>
    </row>
    <row r="6" spans="1:17" ht="31">
      <c r="A6" s="141"/>
      <c r="B6" s="210" t="s">
        <v>31</v>
      </c>
      <c r="C6" s="160" t="s">
        <v>24</v>
      </c>
      <c r="D6" s="160" t="s">
        <v>476</v>
      </c>
      <c r="E6" s="160" t="s">
        <v>14</v>
      </c>
      <c r="F6" s="160" t="s">
        <v>15</v>
      </c>
      <c r="G6" s="211" t="s">
        <v>477</v>
      </c>
      <c r="H6" s="211" t="s">
        <v>24</v>
      </c>
      <c r="I6" s="160" t="s">
        <v>476</v>
      </c>
      <c r="J6" s="160" t="s">
        <v>14</v>
      </c>
      <c r="K6" s="160" t="s">
        <v>15</v>
      </c>
      <c r="L6" s="211" t="s">
        <v>477</v>
      </c>
      <c r="M6" s="211" t="s">
        <v>478</v>
      </c>
      <c r="N6" s="167" t="s">
        <v>14</v>
      </c>
      <c r="O6" s="167" t="s">
        <v>15</v>
      </c>
      <c r="P6" s="212" t="s">
        <v>477</v>
      </c>
      <c r="Q6" s="141"/>
    </row>
    <row r="7" spans="1:17">
      <c r="A7" s="141"/>
      <c r="B7" s="168" t="s">
        <v>36</v>
      </c>
      <c r="C7" s="213">
        <v>5.3441000000000002E-2</v>
      </c>
      <c r="D7" s="213">
        <f t="shared" ref="D7:G22" si="0">(I7/$H7)*$C7</f>
        <v>4.0332830188679249E-3</v>
      </c>
      <c r="E7" s="213">
        <f t="shared" si="0"/>
        <v>1.61331320754717E-2</v>
      </c>
      <c r="F7" s="213">
        <f t="shared" si="0"/>
        <v>2.2183056603773586E-2</v>
      </c>
      <c r="G7" s="213">
        <f t="shared" si="0"/>
        <v>1.1091528301886793E-2</v>
      </c>
      <c r="H7" s="213">
        <f>SUM(I7:M7)</f>
        <v>5.3000000000000005E-2</v>
      </c>
      <c r="I7" s="213">
        <v>4.0000000000000001E-3</v>
      </c>
      <c r="J7" s="213">
        <v>1.6E-2</v>
      </c>
      <c r="K7" s="213">
        <v>2.2000000000000002E-2</v>
      </c>
      <c r="L7" s="213">
        <v>1.1000000000000001E-2</v>
      </c>
      <c r="M7" s="213"/>
      <c r="N7" s="214">
        <v>2815</v>
      </c>
      <c r="O7" s="214">
        <v>4091</v>
      </c>
      <c r="P7" s="214">
        <v>3160</v>
      </c>
      <c r="Q7" s="214"/>
    </row>
    <row r="8" spans="1:17">
      <c r="A8" s="141"/>
      <c r="B8" s="215" t="s">
        <v>479</v>
      </c>
      <c r="C8" s="213">
        <v>6.2E-2</v>
      </c>
      <c r="D8" s="213">
        <f t="shared" si="0"/>
        <v>1.0689655172413793E-3</v>
      </c>
      <c r="E8" s="213">
        <f t="shared" si="0"/>
        <v>2.6724137931034484E-2</v>
      </c>
      <c r="F8" s="213">
        <f t="shared" si="0"/>
        <v>2.5655172413793104E-2</v>
      </c>
      <c r="G8" s="213">
        <f t="shared" si="0"/>
        <v>8.5517241379310348E-3</v>
      </c>
      <c r="H8" s="213">
        <f t="shared" ref="H8:H26" si="1">SUM(I8:M8)</f>
        <v>5.8000000000000003E-2</v>
      </c>
      <c r="I8" s="213">
        <v>1E-3</v>
      </c>
      <c r="J8" s="213">
        <v>2.5000000000000001E-2</v>
      </c>
      <c r="K8" s="213">
        <v>2.4E-2</v>
      </c>
      <c r="L8" s="213">
        <v>8.0000000000000002E-3</v>
      </c>
      <c r="M8" s="213"/>
      <c r="N8" s="214">
        <v>1271.7</v>
      </c>
      <c r="O8" s="214">
        <v>1731</v>
      </c>
      <c r="P8" s="214">
        <v>2744</v>
      </c>
      <c r="Q8" s="141"/>
    </row>
    <row r="9" spans="1:17">
      <c r="A9" s="141"/>
      <c r="B9" s="168" t="s">
        <v>39</v>
      </c>
      <c r="C9" s="213">
        <v>6.5338559000000004E-2</v>
      </c>
      <c r="D9" s="213">
        <f t="shared" si="0"/>
        <v>3.6810455774647886E-3</v>
      </c>
      <c r="E9" s="213">
        <f t="shared" si="0"/>
        <v>2.1166012070422534E-2</v>
      </c>
      <c r="F9" s="213">
        <f t="shared" si="0"/>
        <v>2.3926796253521128E-2</v>
      </c>
      <c r="G9" s="213">
        <f t="shared" si="0"/>
        <v>1.6564705098591551E-2</v>
      </c>
      <c r="H9" s="213">
        <f t="shared" si="1"/>
        <v>7.1000000000000008E-2</v>
      </c>
      <c r="I9" s="213">
        <v>4.0000000000000001E-3</v>
      </c>
      <c r="J9" s="213">
        <v>2.3E-2</v>
      </c>
      <c r="K9" s="213">
        <v>2.6000000000000002E-2</v>
      </c>
      <c r="L9" s="213">
        <v>1.8000000000000002E-2</v>
      </c>
      <c r="M9" s="213"/>
      <c r="N9" s="214">
        <v>1073.3</v>
      </c>
      <c r="O9" s="214">
        <v>1169</v>
      </c>
      <c r="P9" s="214">
        <v>1975</v>
      </c>
      <c r="Q9" s="216"/>
    </row>
    <row r="10" spans="1:17">
      <c r="A10" s="141"/>
      <c r="B10" s="168" t="s">
        <v>40</v>
      </c>
      <c r="C10" s="213">
        <v>6.059092E-2</v>
      </c>
      <c r="D10" s="213">
        <f t="shared" si="0"/>
        <v>4.0393946666666663E-3</v>
      </c>
      <c r="E10" s="213">
        <f t="shared" si="0"/>
        <v>1.8177276000000003E-2</v>
      </c>
      <c r="F10" s="213">
        <f t="shared" si="0"/>
        <v>2.6256065333333339E-2</v>
      </c>
      <c r="G10" s="213">
        <f t="shared" si="0"/>
        <v>1.2118184000000001E-2</v>
      </c>
      <c r="H10" s="213">
        <f t="shared" si="1"/>
        <v>0.06</v>
      </c>
      <c r="I10" s="213">
        <v>4.0000000000000001E-3</v>
      </c>
      <c r="J10" s="213">
        <v>1.8000000000000002E-2</v>
      </c>
      <c r="K10" s="213">
        <v>2.6000000000000002E-2</v>
      </c>
      <c r="L10" s="213">
        <v>1.2E-2</v>
      </c>
      <c r="M10" s="213"/>
      <c r="N10" s="214">
        <v>3262.7</v>
      </c>
      <c r="O10" s="214">
        <v>3514</v>
      </c>
      <c r="P10" s="214">
        <v>4360</v>
      </c>
      <c r="Q10" s="216"/>
    </row>
    <row r="11" spans="1:17">
      <c r="A11" s="141"/>
      <c r="B11" s="168" t="s">
        <v>41</v>
      </c>
      <c r="C11" s="213">
        <v>4.5574398000000002E-2</v>
      </c>
      <c r="D11" s="213">
        <f t="shared" si="0"/>
        <v>7.419088046511626E-3</v>
      </c>
      <c r="E11" s="213">
        <f t="shared" si="0"/>
        <v>1.3778306372093024E-2</v>
      </c>
      <c r="F11" s="213">
        <f t="shared" si="0"/>
        <v>1.4838176093023252E-2</v>
      </c>
      <c r="G11" s="213">
        <f t="shared" si="0"/>
        <v>9.5388274883720942E-3</v>
      </c>
      <c r="H11" s="213">
        <f t="shared" si="1"/>
        <v>4.3000000000000003E-2</v>
      </c>
      <c r="I11" s="213">
        <v>6.9999999999999993E-3</v>
      </c>
      <c r="J11" s="213">
        <v>1.3000000000000001E-2</v>
      </c>
      <c r="K11" s="213">
        <v>1.3999999999999999E-2</v>
      </c>
      <c r="L11" s="213">
        <v>9.0000000000000011E-3</v>
      </c>
      <c r="M11" s="213"/>
      <c r="N11" s="214">
        <v>3470.7</v>
      </c>
      <c r="O11" s="214">
        <v>3301</v>
      </c>
      <c r="P11" s="214">
        <v>3748</v>
      </c>
      <c r="Q11" s="216"/>
    </row>
    <row r="12" spans="1:17">
      <c r="A12" s="141"/>
      <c r="B12" s="168" t="s">
        <v>42</v>
      </c>
      <c r="C12" s="213">
        <v>4.9049001000000002E-2</v>
      </c>
      <c r="D12" s="213">
        <f t="shared" si="0"/>
        <v>3.0030000612244895E-3</v>
      </c>
      <c r="E12" s="213">
        <f t="shared" si="0"/>
        <v>1.7017000346938774E-2</v>
      </c>
      <c r="F12" s="213">
        <f t="shared" si="0"/>
        <v>1.8018000367346937E-2</v>
      </c>
      <c r="G12" s="213">
        <f t="shared" si="0"/>
        <v>1.1011000224489795E-2</v>
      </c>
      <c r="H12" s="213">
        <f t="shared" si="1"/>
        <v>4.9000000000000009E-2</v>
      </c>
      <c r="I12" s="213">
        <v>3.0000000000000001E-3</v>
      </c>
      <c r="J12" s="213">
        <v>1.7000000000000001E-2</v>
      </c>
      <c r="K12" s="213">
        <v>1.8000000000000002E-2</v>
      </c>
      <c r="L12" s="213">
        <v>1.1000000000000001E-2</v>
      </c>
      <c r="M12" s="213"/>
      <c r="N12" s="214">
        <v>2269.1999999999998</v>
      </c>
      <c r="O12" s="214">
        <v>2248</v>
      </c>
      <c r="P12" s="214">
        <v>2718</v>
      </c>
      <c r="Q12" s="216"/>
    </row>
    <row r="13" spans="1:17">
      <c r="A13" s="141"/>
      <c r="B13" s="168" t="s">
        <v>43</v>
      </c>
      <c r="C13" s="213">
        <v>7.5898990999999999E-2</v>
      </c>
      <c r="D13" s="213">
        <f t="shared" si="0"/>
        <v>5.3190341474964277E-3</v>
      </c>
      <c r="E13" s="213">
        <f t="shared" si="0"/>
        <v>2.9254687811230355E-2</v>
      </c>
      <c r="F13" s="213">
        <f t="shared" si="0"/>
        <v>1.8616619516237491E-2</v>
      </c>
      <c r="G13" s="213">
        <f t="shared" si="0"/>
        <v>2.2708649525035728E-2</v>
      </c>
      <c r="H13" s="213">
        <f t="shared" si="1"/>
        <v>5.7077272975000003E-2</v>
      </c>
      <c r="I13" s="213">
        <v>4.0000000000000001E-3</v>
      </c>
      <c r="J13" s="213">
        <v>2.2000000000000002E-2</v>
      </c>
      <c r="K13" s="213">
        <v>1.3999999999999999E-2</v>
      </c>
      <c r="L13" s="213">
        <f>C13*0.225</f>
        <v>1.7077272975000002E-2</v>
      </c>
      <c r="M13" s="213"/>
      <c r="N13" s="214">
        <v>1759.9</v>
      </c>
      <c r="O13" s="214">
        <v>1759</v>
      </c>
      <c r="P13" s="214">
        <v>3729</v>
      </c>
      <c r="Q13" s="216"/>
    </row>
    <row r="14" spans="1:17">
      <c r="A14" s="141"/>
      <c r="B14" s="168" t="s">
        <v>113</v>
      </c>
      <c r="C14" s="213">
        <v>2.5522256E-2</v>
      </c>
      <c r="D14" s="213">
        <f t="shared" si="0"/>
        <v>1.9779105303910712E-3</v>
      </c>
      <c r="E14" s="213">
        <f t="shared" si="0"/>
        <v>1.2526766692476782E-2</v>
      </c>
      <c r="F14" s="213">
        <f t="shared" si="0"/>
        <v>8.570945631694641E-3</v>
      </c>
      <c r="G14" s="213">
        <f t="shared" si="0"/>
        <v>2.4466331454375051E-3</v>
      </c>
      <c r="H14" s="213">
        <f t="shared" si="1"/>
        <v>3.87109360224E-2</v>
      </c>
      <c r="I14" s="213">
        <v>3.0000000000000001E-3</v>
      </c>
      <c r="J14" s="213">
        <v>1.9E-2</v>
      </c>
      <c r="K14" s="213">
        <v>1.3000000000000001E-2</v>
      </c>
      <c r="L14" s="213">
        <f>C14*0.1454</f>
        <v>3.7109360224E-3</v>
      </c>
      <c r="M14" s="213"/>
      <c r="N14" s="214">
        <v>2011</v>
      </c>
      <c r="O14" s="214">
        <v>1858</v>
      </c>
      <c r="P14" s="214">
        <v>2169</v>
      </c>
      <c r="Q14" s="216"/>
    </row>
    <row r="15" spans="1:17">
      <c r="A15" s="141"/>
      <c r="B15" s="168" t="s">
        <v>45</v>
      </c>
      <c r="C15" s="213">
        <v>4.7591533999999998E-2</v>
      </c>
      <c r="D15" s="213">
        <f t="shared" si="0"/>
        <v>6.6406791627906976E-3</v>
      </c>
      <c r="E15" s="213">
        <f t="shared" si="0"/>
        <v>2.1028817348837207E-2</v>
      </c>
      <c r="F15" s="213">
        <f t="shared" si="0"/>
        <v>7.7474590232558113E-3</v>
      </c>
      <c r="G15" s="213">
        <f t="shared" si="0"/>
        <v>1.2174578465116279E-2</v>
      </c>
      <c r="H15" s="213">
        <f t="shared" si="1"/>
        <v>4.3000000000000003E-2</v>
      </c>
      <c r="I15" s="213">
        <v>6.0000000000000001E-3</v>
      </c>
      <c r="J15" s="213">
        <v>1.9E-2</v>
      </c>
      <c r="K15" s="213">
        <v>6.9999999999999993E-3</v>
      </c>
      <c r="L15" s="213">
        <v>1.1000000000000001E-2</v>
      </c>
      <c r="M15" s="213"/>
      <c r="N15" s="214">
        <v>1583.6</v>
      </c>
      <c r="O15" s="214">
        <v>693</v>
      </c>
      <c r="P15" s="214">
        <v>1177</v>
      </c>
      <c r="Q15" s="216"/>
    </row>
    <row r="16" spans="1:17">
      <c r="A16" s="141"/>
      <c r="B16" s="168" t="s">
        <v>46</v>
      </c>
      <c r="C16" s="213">
        <v>3.8324496999999999E-2</v>
      </c>
      <c r="D16" s="213">
        <f t="shared" si="0"/>
        <v>3.5929215937499999E-3</v>
      </c>
      <c r="E16" s="213">
        <f t="shared" si="0"/>
        <v>1.7964607968750001E-2</v>
      </c>
      <c r="F16" s="213">
        <f t="shared" si="0"/>
        <v>1.1976405312500001E-2</v>
      </c>
      <c r="G16" s="213">
        <f t="shared" si="0"/>
        <v>4.7905621249999999E-3</v>
      </c>
      <c r="H16" s="213">
        <f t="shared" si="1"/>
        <v>3.2000000000000001E-2</v>
      </c>
      <c r="I16" s="213">
        <v>3.0000000000000001E-3</v>
      </c>
      <c r="J16" s="213">
        <v>1.4999999999999999E-2</v>
      </c>
      <c r="K16" s="213">
        <v>0.01</v>
      </c>
      <c r="L16" s="213">
        <v>4.0000000000000001E-3</v>
      </c>
      <c r="M16" s="213"/>
      <c r="N16" s="214">
        <v>725.2</v>
      </c>
      <c r="O16" s="214">
        <v>832</v>
      </c>
      <c r="P16" s="214">
        <v>1042</v>
      </c>
      <c r="Q16" s="141"/>
    </row>
    <row r="17" spans="1:19">
      <c r="A17" s="141"/>
      <c r="B17" s="168" t="s">
        <v>47</v>
      </c>
      <c r="C17" s="213">
        <v>2.8422599000000003E-2</v>
      </c>
      <c r="D17" s="213">
        <f t="shared" si="0"/>
        <v>3.4107118800000007E-3</v>
      </c>
      <c r="E17" s="213">
        <f t="shared" si="0"/>
        <v>1.7053559400000001E-2</v>
      </c>
      <c r="F17" s="213">
        <f t="shared" si="0"/>
        <v>4.5476158400000006E-3</v>
      </c>
      <c r="G17" s="213">
        <f t="shared" si="0"/>
        <v>3.4107118800000007E-3</v>
      </c>
      <c r="H17" s="213">
        <f t="shared" si="1"/>
        <v>2.4999999999999998E-2</v>
      </c>
      <c r="I17" s="213">
        <v>3.0000000000000001E-3</v>
      </c>
      <c r="J17" s="213">
        <v>1.4999999999999999E-2</v>
      </c>
      <c r="K17" s="213">
        <v>4.0000000000000001E-3</v>
      </c>
      <c r="L17" s="213">
        <v>3.0000000000000001E-3</v>
      </c>
      <c r="M17" s="213"/>
      <c r="N17" s="214">
        <v>666.7</v>
      </c>
      <c r="O17" s="214">
        <v>390</v>
      </c>
      <c r="P17" s="214">
        <v>704</v>
      </c>
      <c r="Q17" s="216"/>
    </row>
    <row r="18" spans="1:19">
      <c r="A18" s="141"/>
      <c r="B18" s="168" t="s">
        <v>50</v>
      </c>
      <c r="C18" s="213">
        <v>5.8749298999999998E-2</v>
      </c>
      <c r="D18" s="213">
        <f t="shared" si="0"/>
        <v>4.0516757931034477E-3</v>
      </c>
      <c r="E18" s="213">
        <f t="shared" si="0"/>
        <v>2.9374649499999995E-2</v>
      </c>
      <c r="F18" s="213">
        <f t="shared" si="0"/>
        <v>1.5193784224137929E-2</v>
      </c>
      <c r="G18" s="213">
        <f t="shared" si="0"/>
        <v>1.012918948275862E-2</v>
      </c>
      <c r="H18" s="213">
        <f t="shared" si="1"/>
        <v>5.8000000000000003E-2</v>
      </c>
      <c r="I18" s="213">
        <v>4.0000000000000001E-3</v>
      </c>
      <c r="J18" s="213">
        <v>2.8999999999999998E-2</v>
      </c>
      <c r="K18" s="213">
        <v>1.4999999999999999E-2</v>
      </c>
      <c r="L18" s="213">
        <v>0.01</v>
      </c>
      <c r="M18" s="213"/>
      <c r="N18" s="214">
        <v>834.4</v>
      </c>
      <c r="O18" s="214">
        <v>791</v>
      </c>
      <c r="P18" s="214">
        <v>912</v>
      </c>
      <c r="Q18" s="216"/>
    </row>
    <row r="19" spans="1:19">
      <c r="A19" s="141"/>
      <c r="B19" s="168" t="s">
        <v>71</v>
      </c>
      <c r="C19" s="213">
        <v>6.2561998000000008E-2</v>
      </c>
      <c r="D19" s="213">
        <f t="shared" si="0"/>
        <v>2.0853999333333337E-3</v>
      </c>
      <c r="E19" s="213">
        <f t="shared" si="0"/>
        <v>2.2939399266666671E-2</v>
      </c>
      <c r="F19" s="213">
        <f t="shared" si="0"/>
        <v>1.9811299366666667E-2</v>
      </c>
      <c r="G19" s="213">
        <v>1.0999999999999999E-2</v>
      </c>
      <c r="H19" s="213">
        <f t="shared" si="1"/>
        <v>0.06</v>
      </c>
      <c r="I19" s="213">
        <v>2E-3</v>
      </c>
      <c r="J19" s="213">
        <v>2.2000000000000002E-2</v>
      </c>
      <c r="K19" s="213">
        <v>1.9E-2</v>
      </c>
      <c r="L19" s="213">
        <v>0.01</v>
      </c>
      <c r="M19" s="213">
        <v>7.0000000000000001E-3</v>
      </c>
      <c r="N19" s="214">
        <v>1814</v>
      </c>
      <c r="O19" s="214">
        <v>2341</v>
      </c>
      <c r="P19" s="214">
        <v>1814</v>
      </c>
      <c r="Q19" s="141"/>
    </row>
    <row r="20" spans="1:19">
      <c r="A20" s="141"/>
      <c r="B20" s="168" t="s">
        <v>52</v>
      </c>
      <c r="C20" s="213">
        <v>5.3127912999999999E-2</v>
      </c>
      <c r="D20" s="213">
        <f t="shared" si="0"/>
        <v>5.3127912999999995E-3</v>
      </c>
      <c r="E20" s="213">
        <f t="shared" si="0"/>
        <v>2.0188606939999996E-2</v>
      </c>
      <c r="F20" s="213">
        <f t="shared" si="0"/>
        <v>1.7000932159999999E-2</v>
      </c>
      <c r="G20" s="213">
        <f>(L20/$H20)*$C20</f>
        <v>1.0625582599999999E-2</v>
      </c>
      <c r="H20" s="213">
        <f t="shared" si="1"/>
        <v>0.05</v>
      </c>
      <c r="I20" s="213">
        <v>5.0000000000000001E-3</v>
      </c>
      <c r="J20" s="213">
        <v>1.9E-2</v>
      </c>
      <c r="K20" s="213">
        <v>1.6E-2</v>
      </c>
      <c r="L20" s="213">
        <v>0.01</v>
      </c>
      <c r="M20" s="213"/>
      <c r="N20" s="214">
        <v>2282.6999999999998</v>
      </c>
      <c r="O20" s="214">
        <v>2449</v>
      </c>
      <c r="P20" s="214">
        <v>5793</v>
      </c>
      <c r="Q20" s="214"/>
    </row>
    <row r="21" spans="1:19">
      <c r="A21" s="141"/>
      <c r="B21" s="168" t="s">
        <v>53</v>
      </c>
      <c r="C21" s="213">
        <v>4.5327238999999998E-2</v>
      </c>
      <c r="D21" s="213">
        <f t="shared" si="0"/>
        <v>2.1082436744186044E-3</v>
      </c>
      <c r="E21" s="213">
        <f t="shared" si="0"/>
        <v>1.8974193069767442E-2</v>
      </c>
      <c r="F21" s="213">
        <f t="shared" si="0"/>
        <v>6.324731023255814E-3</v>
      </c>
      <c r="G21" s="213">
        <v>1.2999999999999999E-2</v>
      </c>
      <c r="H21" s="213">
        <f t="shared" si="1"/>
        <v>4.3000000000000003E-2</v>
      </c>
      <c r="I21" s="213">
        <v>2E-3</v>
      </c>
      <c r="J21" s="213">
        <v>1.8000000000000002E-2</v>
      </c>
      <c r="K21" s="213">
        <v>6.0000000000000001E-3</v>
      </c>
      <c r="L21" s="213">
        <v>1.2E-2</v>
      </c>
      <c r="M21" s="213">
        <v>5.0000000000000001E-3</v>
      </c>
      <c r="N21" s="214">
        <v>455.2</v>
      </c>
      <c r="O21" s="214">
        <v>300</v>
      </c>
      <c r="P21" s="214">
        <v>463</v>
      </c>
      <c r="Q21" s="141"/>
    </row>
    <row r="22" spans="1:19">
      <c r="A22" s="141"/>
      <c r="B22" s="215" t="s">
        <v>480</v>
      </c>
      <c r="C22" s="213">
        <v>3.3000000000000002E-2</v>
      </c>
      <c r="D22" s="213">
        <f t="shared" si="0"/>
        <v>1.4347826086956522E-3</v>
      </c>
      <c r="E22" s="213">
        <f t="shared" si="0"/>
        <v>1.1478260869565217E-2</v>
      </c>
      <c r="F22" s="213">
        <f t="shared" si="0"/>
        <v>1.0043478260869565E-2</v>
      </c>
      <c r="G22" s="213">
        <f>(L22/$H22)*$C22</f>
        <v>1.0043478260869565E-2</v>
      </c>
      <c r="H22" s="213">
        <f t="shared" si="1"/>
        <v>2.3E-2</v>
      </c>
      <c r="I22" s="213">
        <v>1E-3</v>
      </c>
      <c r="J22" s="213">
        <v>8.0000000000000002E-3</v>
      </c>
      <c r="K22" s="213">
        <v>6.9999999999999993E-3</v>
      </c>
      <c r="L22" s="213">
        <v>6.9999999999999993E-3</v>
      </c>
      <c r="M22" s="213"/>
      <c r="N22" s="214">
        <v>1088</v>
      </c>
      <c r="O22" s="214">
        <v>1599</v>
      </c>
      <c r="P22" s="214">
        <v>2980</v>
      </c>
      <c r="Q22" s="216"/>
    </row>
    <row r="23" spans="1:19">
      <c r="A23" s="141"/>
      <c r="B23" s="168" t="s">
        <v>55</v>
      </c>
      <c r="C23" s="213">
        <v>5.1944375000000001E-2</v>
      </c>
      <c r="D23" s="213">
        <f t="shared" ref="D23:F26" si="2">(I23/$H23)*$C23</f>
        <v>3.1802678571428572E-3</v>
      </c>
      <c r="E23" s="213">
        <f t="shared" si="2"/>
        <v>2.0141696428571429E-2</v>
      </c>
      <c r="F23" s="213">
        <f t="shared" si="2"/>
        <v>1.6961428571428572E-2</v>
      </c>
      <c r="G23" s="213">
        <f>(L23/$H23)*$C23</f>
        <v>1.1660982142857145E-2</v>
      </c>
      <c r="H23" s="213">
        <f t="shared" si="1"/>
        <v>4.9000000000000002E-2</v>
      </c>
      <c r="I23" s="213">
        <v>3.0000000000000001E-3</v>
      </c>
      <c r="J23" s="213">
        <v>1.9E-2</v>
      </c>
      <c r="K23" s="213">
        <v>1.6E-2</v>
      </c>
      <c r="L23" s="213">
        <v>1.1000000000000001E-2</v>
      </c>
      <c r="M23" s="213"/>
      <c r="N23" s="214">
        <v>1075.5999999999999</v>
      </c>
      <c r="O23" s="214">
        <v>1232</v>
      </c>
      <c r="P23" s="214">
        <v>1301</v>
      </c>
      <c r="Q23" s="141"/>
    </row>
    <row r="24" spans="1:19">
      <c r="A24" s="141"/>
      <c r="B24" s="215" t="s">
        <v>481</v>
      </c>
      <c r="C24" s="213">
        <v>3.7000000000000005E-2</v>
      </c>
      <c r="D24" s="213">
        <f t="shared" si="2"/>
        <v>6.1666666666666684E-3</v>
      </c>
      <c r="E24" s="213">
        <f t="shared" si="2"/>
        <v>1.438888888888889E-2</v>
      </c>
      <c r="F24" s="213">
        <f t="shared" si="2"/>
        <v>1.130555555555556E-2</v>
      </c>
      <c r="G24" s="213">
        <f>(L24/$H24)*$C24</f>
        <v>5.1388888888888899E-3</v>
      </c>
      <c r="H24" s="213">
        <f t="shared" si="1"/>
        <v>3.5999999999999997E-2</v>
      </c>
      <c r="I24" s="213">
        <v>6.0000000000000001E-3</v>
      </c>
      <c r="J24" s="213">
        <v>1.3999999999999999E-2</v>
      </c>
      <c r="K24" s="213">
        <v>1.1000000000000001E-2</v>
      </c>
      <c r="L24" s="213">
        <v>5.0000000000000001E-3</v>
      </c>
      <c r="M24" s="213"/>
      <c r="N24" s="214">
        <v>1451.4</v>
      </c>
      <c r="O24" s="214">
        <v>1516</v>
      </c>
      <c r="P24" s="214">
        <v>923</v>
      </c>
      <c r="Q24" s="216"/>
    </row>
    <row r="25" spans="1:19">
      <c r="A25" s="141"/>
      <c r="B25" s="168" t="s">
        <v>58</v>
      </c>
      <c r="C25" s="213">
        <v>4.5286306999999998E-2</v>
      </c>
      <c r="D25" s="213">
        <f t="shared" si="2"/>
        <v>4.6447494358974354E-3</v>
      </c>
      <c r="E25" s="213">
        <f t="shared" si="2"/>
        <v>1.0450686230769233E-2</v>
      </c>
      <c r="F25" s="213">
        <f t="shared" si="2"/>
        <v>1.6256623025641022E-2</v>
      </c>
      <c r="G25" s="213">
        <f>(L25/$H25)*$C25</f>
        <v>1.3934248307692307E-2</v>
      </c>
      <c r="H25" s="213">
        <f t="shared" si="1"/>
        <v>3.9E-2</v>
      </c>
      <c r="I25" s="213">
        <v>4.0000000000000001E-3</v>
      </c>
      <c r="J25" s="213">
        <v>9.0000000000000011E-3</v>
      </c>
      <c r="K25" s="213">
        <v>1.3999999999999999E-2</v>
      </c>
      <c r="L25" s="213">
        <v>1.2E-2</v>
      </c>
      <c r="M25" s="213"/>
      <c r="N25" s="214">
        <v>1102.2</v>
      </c>
      <c r="O25" s="214">
        <v>1310</v>
      </c>
      <c r="P25" s="214">
        <v>2556</v>
      </c>
      <c r="Q25" s="216"/>
    </row>
    <row r="26" spans="1:19">
      <c r="A26" s="141"/>
      <c r="B26" s="217" t="s">
        <v>59</v>
      </c>
      <c r="C26" s="218">
        <v>7.4505458000000011E-2</v>
      </c>
      <c r="D26" s="213">
        <f t="shared" si="2"/>
        <v>9.8509075857182854E-3</v>
      </c>
      <c r="E26" s="213">
        <f t="shared" si="2"/>
        <v>2.8945010416052946E-2</v>
      </c>
      <c r="F26" s="213">
        <f t="shared" si="2"/>
        <v>1.6007724826792216E-2</v>
      </c>
      <c r="G26" s="213">
        <f>(L26/$H26)*$C26</f>
        <v>1.9701815171436571E-2</v>
      </c>
      <c r="H26" s="213">
        <f t="shared" si="1"/>
        <v>6.0506471999E-2</v>
      </c>
      <c r="I26" s="218">
        <v>8.0000000000000002E-3</v>
      </c>
      <c r="J26" s="218">
        <f>C26*0.3155</f>
        <v>2.3506471999000002E-2</v>
      </c>
      <c r="K26" s="218">
        <v>1.3000000000000001E-2</v>
      </c>
      <c r="L26" s="218">
        <v>1.6E-2</v>
      </c>
      <c r="M26" s="218"/>
      <c r="N26" s="214">
        <v>3108.9</v>
      </c>
      <c r="O26" s="214">
        <v>2883</v>
      </c>
      <c r="P26" s="214">
        <v>3161</v>
      </c>
      <c r="Q26" s="141"/>
    </row>
    <row r="27" spans="1:19">
      <c r="A27" s="141"/>
      <c r="B27" s="219" t="s">
        <v>20</v>
      </c>
      <c r="C27" s="220">
        <f>AVERAGE(C7:C26)</f>
        <v>5.0662817200000008E-2</v>
      </c>
      <c r="D27" s="220">
        <f t="shared" ref="D27:P27" si="3">AVERAGE(D7:D26)</f>
        <v>4.1510759528690681E-3</v>
      </c>
      <c r="E27" s="220">
        <f t="shared" si="3"/>
        <v>1.9385284781376837E-2</v>
      </c>
      <c r="F27" s="220">
        <f t="shared" si="3"/>
        <v>1.5562093470141331E-2</v>
      </c>
      <c r="G27" s="220">
        <f>AVERAGE(G7:G26)</f>
        <v>1.0982064462318194E-2</v>
      </c>
      <c r="H27" s="220"/>
      <c r="I27" s="220">
        <f t="shared" si="3"/>
        <v>3.8500000000000006E-3</v>
      </c>
      <c r="J27" s="220">
        <f t="shared" si="3"/>
        <v>1.8175323599950007E-2</v>
      </c>
      <c r="K27" s="220">
        <f t="shared" si="3"/>
        <v>1.4750000000000004E-2</v>
      </c>
      <c r="L27" s="220">
        <f>AVERAGE(L7:L26)</f>
        <v>1.0039410449870004E-2</v>
      </c>
      <c r="M27" s="220">
        <f t="shared" si="3"/>
        <v>6.0000000000000001E-3</v>
      </c>
      <c r="N27" s="221">
        <f t="shared" si="3"/>
        <v>1706.0700000000002</v>
      </c>
      <c r="O27" s="221">
        <f t="shared" si="3"/>
        <v>1800.35</v>
      </c>
      <c r="P27" s="221">
        <f t="shared" si="3"/>
        <v>2371.4499999999998</v>
      </c>
      <c r="Q27" s="222"/>
      <c r="R27" s="223"/>
      <c r="S27" s="223"/>
    </row>
    <row r="28" spans="1:19">
      <c r="A28" s="141"/>
      <c r="B28" s="219" t="s">
        <v>21</v>
      </c>
      <c r="C28" s="220">
        <v>3.8095838553630398E-2</v>
      </c>
      <c r="D28" s="220">
        <v>3.7829545817591901E-3</v>
      </c>
      <c r="E28" s="220">
        <v>1.34178498387337E-2</v>
      </c>
      <c r="F28" s="220">
        <v>1.45932617554298E-2</v>
      </c>
      <c r="G28" s="220">
        <v>7.9159076855732802E-3</v>
      </c>
      <c r="H28" s="141"/>
      <c r="I28" s="202"/>
      <c r="J28" s="202"/>
      <c r="K28" s="202"/>
      <c r="L28" s="202"/>
      <c r="M28" s="141"/>
      <c r="N28" s="221">
        <v>3209.0374866832399</v>
      </c>
      <c r="O28" s="221">
        <v>3311.8562266031918</v>
      </c>
      <c r="P28" s="221">
        <v>3800.8511352539063</v>
      </c>
      <c r="Q28" s="216"/>
    </row>
    <row r="29" spans="1:19">
      <c r="A29" s="141"/>
      <c r="B29" s="219" t="s">
        <v>22</v>
      </c>
      <c r="C29" s="220">
        <f>SUM(D29:G29)</f>
        <v>5.0999999999999997E-2</v>
      </c>
      <c r="D29" s="220">
        <v>3.0000000000000001E-3</v>
      </c>
      <c r="E29" s="220">
        <v>1.6E-2</v>
      </c>
      <c r="F29" s="220">
        <v>1.7999999999999999E-2</v>
      </c>
      <c r="G29" s="220">
        <v>1.4E-2</v>
      </c>
      <c r="H29" s="168"/>
      <c r="I29" s="164"/>
      <c r="J29" s="164"/>
      <c r="K29" s="164"/>
      <c r="L29" s="164"/>
      <c r="M29" s="168"/>
      <c r="N29" s="221">
        <v>10500.6</v>
      </c>
      <c r="O29" s="221">
        <v>12032</v>
      </c>
      <c r="P29" s="221">
        <v>10091.6</v>
      </c>
      <c r="Q29" s="216"/>
    </row>
    <row r="30" spans="1:19" ht="16" thickBot="1">
      <c r="A30" s="141"/>
      <c r="B30" s="224" t="s">
        <v>115</v>
      </c>
      <c r="C30" s="225">
        <f>SUM(D30:G30)</f>
        <v>4.9399999999999972E-2</v>
      </c>
      <c r="D30" s="225">
        <v>5.0159268653361703E-3</v>
      </c>
      <c r="E30" s="225">
        <v>1.34195171198479E-2</v>
      </c>
      <c r="F30" s="225">
        <v>1.8642785350047E-2</v>
      </c>
      <c r="G30" s="225">
        <v>1.2321770664768901E-2</v>
      </c>
      <c r="H30" s="226"/>
      <c r="I30" s="227"/>
      <c r="J30" s="227"/>
      <c r="K30" s="227"/>
      <c r="L30" s="227"/>
      <c r="M30" s="226"/>
      <c r="N30" s="221">
        <v>7928.5810714285735</v>
      </c>
      <c r="O30" s="221">
        <v>9001.4985714285722</v>
      </c>
      <c r="P30" s="221">
        <v>11137.45</v>
      </c>
      <c r="Q30" s="141"/>
    </row>
    <row r="31" spans="1:19" ht="54" customHeight="1" thickTop="1">
      <c r="A31" s="141"/>
      <c r="B31" s="444" t="s">
        <v>482</v>
      </c>
      <c r="C31" s="444"/>
      <c r="D31" s="444"/>
      <c r="E31" s="444"/>
      <c r="F31" s="444"/>
      <c r="G31" s="444"/>
      <c r="H31" s="228"/>
      <c r="I31" s="228"/>
      <c r="J31" s="228"/>
      <c r="K31" s="228"/>
      <c r="L31" s="228"/>
      <c r="M31" s="228"/>
      <c r="N31" s="229"/>
      <c r="O31" s="229"/>
      <c r="P31" s="229"/>
      <c r="Q31" s="141"/>
    </row>
    <row r="50" spans="2:10">
      <c r="B50" s="2" t="s">
        <v>483</v>
      </c>
      <c r="C50" s="2" t="s">
        <v>24</v>
      </c>
      <c r="D50" s="2" t="s">
        <v>484</v>
      </c>
      <c r="E50" s="2" t="s">
        <v>485</v>
      </c>
      <c r="F50" s="2" t="s">
        <v>486</v>
      </c>
      <c r="G50" s="2" t="s">
        <v>487</v>
      </c>
      <c r="H50" s="2" t="s">
        <v>488</v>
      </c>
      <c r="I50" s="2" t="s">
        <v>489</v>
      </c>
      <c r="J50" s="2" t="s">
        <v>490</v>
      </c>
    </row>
    <row r="51" spans="2:10">
      <c r="B51" s="2" t="s">
        <v>139</v>
      </c>
      <c r="C51" s="231">
        <f>SUM(D51:G51)</f>
        <v>3.4918799996375998</v>
      </c>
      <c r="D51" s="231" t="s">
        <v>491</v>
      </c>
      <c r="E51" s="231">
        <v>2.0143899917602499</v>
      </c>
      <c r="F51" s="231">
        <v>0.70164000988006603</v>
      </c>
      <c r="G51" s="231">
        <v>0.77584999799728405</v>
      </c>
      <c r="H51" s="2">
        <v>2882.05932617188</v>
      </c>
      <c r="I51" s="2">
        <v>576.45782470703102</v>
      </c>
      <c r="J51" s="2">
        <v>1275.98486328125</v>
      </c>
    </row>
    <row r="52" spans="2:10">
      <c r="B52" s="2" t="s">
        <v>103</v>
      </c>
      <c r="C52" s="231">
        <f t="shared" ref="C52:C63" si="4">SUM(D52:G52)</f>
        <v>2.348699986934661</v>
      </c>
      <c r="D52" s="231">
        <v>0.29030001163482699</v>
      </c>
      <c r="E52" s="231">
        <v>0.532970011234283</v>
      </c>
      <c r="F52" s="231">
        <v>1.22021996974945</v>
      </c>
      <c r="G52" s="231">
        <v>0.30520999431610102</v>
      </c>
      <c r="H52" s="2">
        <v>875.46813964843795</v>
      </c>
      <c r="I52" s="2">
        <v>1193.06091308594</v>
      </c>
      <c r="J52" s="2">
        <v>645.298095703125</v>
      </c>
    </row>
    <row r="53" spans="2:10">
      <c r="B53" s="2" t="s">
        <v>141</v>
      </c>
      <c r="C53" s="231">
        <f t="shared" si="4"/>
        <v>3.5202299952506975</v>
      </c>
      <c r="D53" s="231">
        <v>0.85683000087738004</v>
      </c>
      <c r="E53" s="231">
        <v>0.65635997056961104</v>
      </c>
      <c r="F53" s="231">
        <v>1.3796800374984699</v>
      </c>
      <c r="G53" s="231">
        <v>0.62735998630523704</v>
      </c>
      <c r="H53" s="2">
        <v>2996.65966796875</v>
      </c>
      <c r="I53" s="2">
        <v>3155.51440429688</v>
      </c>
      <c r="J53" s="2">
        <v>2536.38793945313</v>
      </c>
    </row>
    <row r="54" spans="2:10">
      <c r="B54" s="2" t="s">
        <v>96</v>
      </c>
      <c r="C54" s="231">
        <f t="shared" si="4"/>
        <v>3.8822000622749284</v>
      </c>
      <c r="D54" s="231">
        <v>0.63590002059936501</v>
      </c>
      <c r="E54" s="231">
        <v>0.73136001825332597</v>
      </c>
      <c r="F54" s="231">
        <v>1.7140200138092001</v>
      </c>
      <c r="G54" s="231">
        <v>0.800920009613037</v>
      </c>
      <c r="H54" s="2">
        <v>4337.712890625</v>
      </c>
      <c r="I54" s="2">
        <v>4525.97314453125</v>
      </c>
      <c r="J54" s="2">
        <v>4801.14208984375</v>
      </c>
    </row>
    <row r="55" spans="2:10">
      <c r="B55" s="2" t="s">
        <v>147</v>
      </c>
      <c r="C55" s="231">
        <f t="shared" si="4"/>
        <v>2.8772499673068568</v>
      </c>
      <c r="D55" s="231">
        <v>5.7859998196363401E-2</v>
      </c>
      <c r="E55" s="231">
        <v>1.43976998329163</v>
      </c>
      <c r="F55" s="231">
        <v>0.883419990539551</v>
      </c>
      <c r="G55" s="231">
        <v>0.49619999527931202</v>
      </c>
      <c r="H55" s="2">
        <v>1272.71765136719</v>
      </c>
      <c r="I55" s="2">
        <v>1031.62927246094</v>
      </c>
      <c r="J55" s="2">
        <v>2024.97619628906</v>
      </c>
    </row>
    <row r="56" spans="2:10">
      <c r="B56" s="2" t="s">
        <v>101</v>
      </c>
      <c r="C56" s="231">
        <f t="shared" si="4"/>
        <v>2.5866500437259701</v>
      </c>
      <c r="D56" s="231">
        <v>0.283069998025894</v>
      </c>
      <c r="E56" s="231" t="s">
        <v>491</v>
      </c>
      <c r="F56" s="231">
        <v>1.90883004665375</v>
      </c>
      <c r="G56" s="231">
        <v>0.39474999904632602</v>
      </c>
      <c r="H56" s="2" t="s">
        <v>491</v>
      </c>
      <c r="I56" s="2">
        <v>4742.8857421875</v>
      </c>
      <c r="J56" s="2">
        <v>2240.49853515625</v>
      </c>
    </row>
    <row r="57" spans="2:10">
      <c r="B57" s="2" t="s">
        <v>97</v>
      </c>
      <c r="C57" s="231">
        <f t="shared" si="4"/>
        <v>4.8659500479698199</v>
      </c>
      <c r="D57" s="231">
        <v>0.82574999332428001</v>
      </c>
      <c r="E57" s="231">
        <v>1.4754099845886199</v>
      </c>
      <c r="F57" s="231">
        <v>1.60871005058289</v>
      </c>
      <c r="G57" s="231">
        <v>0.95608001947402999</v>
      </c>
      <c r="H57" s="2">
        <v>5738.32373046875</v>
      </c>
      <c r="I57" s="2">
        <v>5623.3583984375</v>
      </c>
      <c r="J57" s="2">
        <v>4490.61865234375</v>
      </c>
    </row>
    <row r="58" spans="2:10">
      <c r="B58" s="2" t="s">
        <v>363</v>
      </c>
      <c r="C58" s="231">
        <f t="shared" si="4"/>
        <v>6.0939301326870936</v>
      </c>
      <c r="D58" s="231">
        <v>9.4709999859332997E-2</v>
      </c>
      <c r="E58" s="231">
        <v>1.84636998176575</v>
      </c>
      <c r="F58" s="231">
        <v>2.08029007911682</v>
      </c>
      <c r="G58" s="231">
        <v>2.07256007194519</v>
      </c>
      <c r="H58" s="2">
        <v>4055.21215820313</v>
      </c>
      <c r="I58" s="2">
        <v>5390.72802734375</v>
      </c>
      <c r="J58" s="2">
        <v>13230.75</v>
      </c>
    </row>
    <row r="59" spans="2:10">
      <c r="B59" s="2" t="s">
        <v>109</v>
      </c>
      <c r="C59" s="231">
        <f t="shared" si="4"/>
        <v>6.04531002044678</v>
      </c>
      <c r="D59" s="231" t="s">
        <v>491</v>
      </c>
      <c r="E59" s="231">
        <v>2.28245997428894</v>
      </c>
      <c r="F59" s="231">
        <v>2.7010800838470499</v>
      </c>
      <c r="G59" s="231">
        <v>1.0617699623107899</v>
      </c>
      <c r="H59" s="2">
        <v>1410.97216796875</v>
      </c>
      <c r="I59" s="2">
        <v>2558.02368164063</v>
      </c>
      <c r="J59" s="2">
        <v>5342.919921875</v>
      </c>
    </row>
    <row r="60" spans="2:10">
      <c r="B60" s="2" t="s">
        <v>376</v>
      </c>
      <c r="C60" s="231">
        <f t="shared" si="4"/>
        <v>2.6081999950110952</v>
      </c>
      <c r="D60" s="231">
        <v>4.47599999606609E-2</v>
      </c>
      <c r="E60" s="231">
        <v>1.4584599733352701</v>
      </c>
      <c r="F60" s="231">
        <v>0.78776001930236805</v>
      </c>
      <c r="G60" s="231">
        <v>0.31722000241279602</v>
      </c>
      <c r="H60" s="2" t="s">
        <v>491</v>
      </c>
      <c r="I60" s="2" t="s">
        <v>491</v>
      </c>
      <c r="J60" s="2">
        <v>575.71990966796898</v>
      </c>
    </row>
    <row r="61" spans="2:10">
      <c r="B61" s="2" t="s">
        <v>129</v>
      </c>
      <c r="C61" s="231">
        <f t="shared" si="4"/>
        <v>4.7774699330329842</v>
      </c>
      <c r="D61" s="231">
        <v>0.55089002847671498</v>
      </c>
      <c r="E61" s="231">
        <v>1.4666899442672701</v>
      </c>
      <c r="F61" s="231">
        <v>1.6342300176620499</v>
      </c>
      <c r="G61" s="231">
        <v>1.12565994262695</v>
      </c>
      <c r="H61" s="2">
        <v>6021.29541015625</v>
      </c>
      <c r="I61" s="2">
        <v>5619.86474609375</v>
      </c>
      <c r="J61" s="2">
        <v>5035.54541015625</v>
      </c>
    </row>
    <row r="62" spans="2:10">
      <c r="B62" s="2" t="s">
        <v>155</v>
      </c>
      <c r="C62" s="231">
        <f t="shared" si="4"/>
        <v>2.6356899738311759</v>
      </c>
      <c r="D62" s="231">
        <v>0.29769998788833602</v>
      </c>
      <c r="E62" s="231">
        <v>0.50128000974655196</v>
      </c>
      <c r="F62" s="231">
        <v>1.1212899684905999</v>
      </c>
      <c r="G62" s="231">
        <v>0.71542000770568803</v>
      </c>
      <c r="H62" s="2">
        <v>2144.65771484375</v>
      </c>
      <c r="I62" s="2">
        <v>2573.30297851563</v>
      </c>
      <c r="J62" s="2">
        <v>4432.97021484375</v>
      </c>
    </row>
    <row r="63" spans="2:10">
      <c r="B63" s="2" t="s">
        <v>157</v>
      </c>
      <c r="C63" s="231">
        <f t="shared" si="4"/>
        <v>3.7911299616098408</v>
      </c>
      <c r="D63" s="231">
        <v>0.22348000109195701</v>
      </c>
      <c r="E63" s="231">
        <v>1.69589996337891</v>
      </c>
      <c r="F63" s="231">
        <v>1.23006999492645</v>
      </c>
      <c r="G63" s="231">
        <v>0.64168000221252397</v>
      </c>
      <c r="H63" s="2">
        <v>3564.33349609375</v>
      </c>
      <c r="I63" s="2">
        <v>2751.4755859375</v>
      </c>
      <c r="J63" s="2">
        <v>2778.2529296875</v>
      </c>
    </row>
    <row r="64" spans="2:10">
      <c r="B64" s="2" t="s">
        <v>492</v>
      </c>
      <c r="C64" s="231">
        <f>AVERAGE(C51:C63)</f>
        <v>3.8095838553630381</v>
      </c>
      <c r="D64" s="231">
        <f>AVERAGE(D51:D63)</f>
        <v>0.37829545817591925</v>
      </c>
      <c r="E64" s="231">
        <f t="shared" ref="E64:G64" si="5">AVERAGE(E51:E63)</f>
        <v>1.3417849838733675</v>
      </c>
      <c r="F64" s="231">
        <f t="shared" si="5"/>
        <v>1.4593261755429778</v>
      </c>
      <c r="G64" s="231">
        <f t="shared" si="5"/>
        <v>0.79159076855732813</v>
      </c>
      <c r="H64" s="2">
        <f>AVERAGE(H51:H63)</f>
        <v>3209.0374866832399</v>
      </c>
      <c r="I64" s="2">
        <f>AVERAGE(I51:I63)</f>
        <v>3311.8562266031918</v>
      </c>
      <c r="J64" s="2">
        <f t="shared" ref="J64" si="6">AVERAGE(J51:J63)</f>
        <v>3800.8511352539063</v>
      </c>
    </row>
  </sheetData>
  <mergeCells count="4">
    <mergeCell ref="C4:G4"/>
    <mergeCell ref="C5:M5"/>
    <mergeCell ref="N5:P5"/>
    <mergeCell ref="B31:G31"/>
  </mergeCells>
  <pageMargins left="0.7" right="0.7" top="0.75" bottom="0.75" header="0.3" footer="0.3"/>
  <pageSetup scale="86"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62"/>
  <sheetViews>
    <sheetView zoomScale="80" zoomScaleNormal="80" zoomScaleSheetLayoutView="80" zoomScalePageLayoutView="80" workbookViewId="0"/>
  </sheetViews>
  <sheetFormatPr defaultColWidth="8.81640625" defaultRowHeight="14.5"/>
  <cols>
    <col min="1" max="1" width="5.453125" style="2" customWidth="1"/>
    <col min="2" max="23" width="8.81640625" style="2"/>
    <col min="24" max="24" width="5.54296875" style="2" customWidth="1"/>
    <col min="25" max="16384" width="8.81640625" style="2"/>
  </cols>
  <sheetData>
    <row r="1" spans="1:24">
      <c r="A1" s="1"/>
      <c r="B1" s="1"/>
      <c r="C1" s="1"/>
      <c r="D1" s="1"/>
      <c r="E1" s="1"/>
      <c r="F1" s="1"/>
      <c r="G1" s="1"/>
      <c r="H1" s="1"/>
      <c r="I1" s="1"/>
      <c r="J1" s="1"/>
      <c r="K1" s="1"/>
      <c r="L1" s="1"/>
      <c r="M1" s="1"/>
      <c r="N1" s="1"/>
      <c r="O1" s="1"/>
      <c r="P1" s="1"/>
      <c r="Q1" s="1"/>
      <c r="R1" s="1"/>
      <c r="S1" s="1"/>
      <c r="T1" s="1"/>
      <c r="U1" s="1"/>
      <c r="V1" s="1"/>
      <c r="W1" s="1"/>
      <c r="X1" s="1"/>
    </row>
    <row r="2" spans="1:24" ht="17.5">
      <c r="A2" s="1"/>
      <c r="B2" s="132" t="s">
        <v>493</v>
      </c>
      <c r="C2" s="1"/>
      <c r="D2" s="1"/>
      <c r="E2" s="1"/>
      <c r="F2" s="1"/>
      <c r="G2" s="1"/>
      <c r="H2" s="1"/>
      <c r="I2" s="1"/>
      <c r="J2" s="1"/>
      <c r="K2" s="1"/>
      <c r="L2" s="1"/>
      <c r="M2" s="1"/>
      <c r="N2" s="1"/>
      <c r="O2" s="1"/>
      <c r="P2" s="1"/>
      <c r="Q2" s="1"/>
      <c r="R2" s="1"/>
      <c r="S2" s="1"/>
      <c r="T2" s="1"/>
      <c r="U2" s="1"/>
      <c r="V2" s="1"/>
      <c r="W2" s="1"/>
      <c r="X2" s="1"/>
    </row>
    <row r="3" spans="1:24">
      <c r="A3" s="1"/>
      <c r="B3" s="1"/>
      <c r="C3" s="1"/>
      <c r="D3" s="1"/>
      <c r="E3" s="1"/>
      <c r="F3" s="1"/>
      <c r="G3" s="1"/>
      <c r="H3" s="1"/>
      <c r="I3" s="1"/>
      <c r="J3" s="1"/>
      <c r="K3" s="1"/>
      <c r="L3" s="1"/>
      <c r="M3" s="1"/>
      <c r="N3" s="1"/>
      <c r="O3" s="1"/>
      <c r="P3" s="1"/>
      <c r="Q3" s="1"/>
      <c r="R3" s="1"/>
      <c r="S3" s="1"/>
      <c r="T3" s="1"/>
      <c r="U3" s="1"/>
      <c r="V3" s="1"/>
      <c r="W3" s="1"/>
      <c r="X3" s="1"/>
    </row>
    <row r="4" spans="1:24">
      <c r="A4" s="1"/>
      <c r="B4" s="1"/>
      <c r="C4" s="1"/>
      <c r="D4" s="1"/>
      <c r="E4" s="1"/>
      <c r="F4" s="1"/>
      <c r="G4" s="1"/>
      <c r="H4" s="1"/>
      <c r="I4" s="1"/>
      <c r="J4" s="1"/>
      <c r="K4" s="1"/>
      <c r="L4" s="1"/>
      <c r="M4" s="1"/>
      <c r="N4" s="1"/>
      <c r="O4" s="1"/>
      <c r="P4" s="1"/>
      <c r="Q4" s="1"/>
      <c r="R4" s="1"/>
      <c r="S4" s="1"/>
      <c r="T4" s="1"/>
      <c r="U4" s="1"/>
      <c r="V4" s="1"/>
      <c r="W4" s="1"/>
      <c r="X4" s="1"/>
    </row>
    <row r="5" spans="1:24">
      <c r="A5" s="1"/>
      <c r="B5" s="1"/>
      <c r="C5" s="1"/>
      <c r="D5" s="1"/>
      <c r="E5" s="1"/>
      <c r="F5" s="1"/>
      <c r="G5" s="1"/>
      <c r="H5" s="1"/>
      <c r="I5" s="1"/>
      <c r="J5" s="1"/>
      <c r="K5" s="1"/>
      <c r="L5" s="1"/>
      <c r="M5" s="1"/>
      <c r="N5" s="1"/>
      <c r="O5" s="1"/>
      <c r="P5" s="1"/>
      <c r="Q5" s="1"/>
      <c r="R5" s="1"/>
      <c r="S5" s="1"/>
      <c r="T5" s="1"/>
      <c r="U5" s="1"/>
      <c r="V5" s="1"/>
      <c r="W5" s="1"/>
      <c r="X5" s="1"/>
    </row>
    <row r="6" spans="1:24">
      <c r="A6" s="1"/>
      <c r="B6" s="1"/>
      <c r="C6" s="1"/>
      <c r="D6" s="1"/>
      <c r="E6" s="1"/>
      <c r="F6" s="1"/>
      <c r="G6" s="1"/>
      <c r="H6" s="1"/>
      <c r="I6" s="1"/>
      <c r="J6" s="1"/>
      <c r="K6" s="1"/>
      <c r="L6" s="1"/>
      <c r="M6" s="1"/>
      <c r="N6" s="1"/>
      <c r="O6" s="1"/>
      <c r="P6" s="1"/>
      <c r="Q6" s="1"/>
      <c r="R6" s="1"/>
      <c r="S6" s="1"/>
      <c r="T6" s="1"/>
      <c r="U6" s="1"/>
      <c r="V6" s="1"/>
      <c r="W6" s="1"/>
      <c r="X6" s="1"/>
    </row>
    <row r="7" spans="1:24">
      <c r="A7" s="1"/>
      <c r="B7" s="1"/>
      <c r="C7" s="1"/>
      <c r="D7" s="1"/>
      <c r="E7" s="1"/>
      <c r="F7" s="1"/>
      <c r="G7" s="1"/>
      <c r="H7" s="1"/>
      <c r="I7" s="1"/>
      <c r="J7" s="1"/>
      <c r="K7" s="1"/>
      <c r="L7" s="1"/>
      <c r="M7" s="1"/>
      <c r="N7" s="1"/>
      <c r="O7" s="1"/>
      <c r="P7" s="1"/>
      <c r="Q7" s="1"/>
      <c r="R7" s="1"/>
      <c r="S7" s="1"/>
      <c r="T7" s="1"/>
      <c r="U7" s="1"/>
      <c r="V7" s="1"/>
      <c r="W7" s="1"/>
      <c r="X7" s="1"/>
    </row>
    <row r="8" spans="1:24">
      <c r="A8" s="1"/>
      <c r="B8" s="1"/>
      <c r="C8" s="1"/>
      <c r="D8" s="1"/>
      <c r="E8" s="1"/>
      <c r="F8" s="1"/>
      <c r="G8" s="1"/>
      <c r="H8" s="1"/>
      <c r="I8" s="1"/>
      <c r="J8" s="1"/>
      <c r="K8" s="1"/>
      <c r="L8" s="1"/>
      <c r="M8" s="1"/>
      <c r="N8" s="1"/>
      <c r="O8" s="1"/>
      <c r="P8" s="1"/>
      <c r="Q8" s="1"/>
      <c r="R8" s="1"/>
      <c r="S8" s="1"/>
      <c r="T8" s="1"/>
      <c r="U8" s="1"/>
      <c r="V8" s="1"/>
      <c r="W8" s="1"/>
      <c r="X8" s="1"/>
    </row>
    <row r="9" spans="1:24">
      <c r="A9" s="1"/>
      <c r="B9" s="1"/>
      <c r="C9" s="1"/>
      <c r="D9" s="1"/>
      <c r="E9" s="1"/>
      <c r="F9" s="1"/>
      <c r="G9" s="1"/>
      <c r="H9" s="1"/>
      <c r="I9" s="1"/>
      <c r="J9" s="1"/>
      <c r="K9" s="1"/>
      <c r="L9" s="1"/>
      <c r="M9" s="1"/>
      <c r="N9" s="1"/>
      <c r="O9" s="1"/>
      <c r="P9" s="1"/>
      <c r="Q9" s="1"/>
      <c r="R9" s="1"/>
      <c r="S9" s="1"/>
      <c r="T9" s="1"/>
      <c r="U9" s="1"/>
      <c r="V9" s="1"/>
      <c r="W9" s="1"/>
      <c r="X9" s="1"/>
    </row>
    <row r="10" spans="1:24">
      <c r="A10" s="1"/>
      <c r="B10" s="1"/>
      <c r="C10" s="1"/>
      <c r="D10" s="1"/>
      <c r="E10" s="1"/>
      <c r="F10" s="1"/>
      <c r="G10" s="1"/>
      <c r="H10" s="1"/>
      <c r="I10" s="1"/>
      <c r="J10" s="1"/>
      <c r="K10" s="1"/>
      <c r="L10" s="1"/>
      <c r="M10" s="1"/>
      <c r="N10" s="1"/>
      <c r="O10" s="1"/>
      <c r="P10" s="1"/>
      <c r="Q10" s="1"/>
      <c r="R10" s="1"/>
      <c r="S10" s="1"/>
      <c r="T10" s="1"/>
      <c r="U10" s="1"/>
      <c r="V10" s="1"/>
      <c r="W10" s="1"/>
      <c r="X10" s="1"/>
    </row>
    <row r="11" spans="1:24">
      <c r="A11" s="1"/>
      <c r="B11" s="1"/>
      <c r="C11" s="1"/>
      <c r="D11" s="1"/>
      <c r="E11" s="1"/>
      <c r="F11" s="1"/>
      <c r="G11" s="1"/>
      <c r="H11" s="1"/>
      <c r="I11" s="1"/>
      <c r="J11" s="1"/>
      <c r="K11" s="1"/>
      <c r="L11" s="1"/>
      <c r="M11" s="1"/>
      <c r="N11" s="1"/>
      <c r="O11" s="1"/>
      <c r="P11" s="1"/>
      <c r="Q11" s="1"/>
      <c r="R11" s="1"/>
      <c r="S11" s="1"/>
      <c r="T11" s="1"/>
      <c r="U11" s="1"/>
      <c r="V11" s="1"/>
      <c r="W11" s="1"/>
      <c r="X11" s="1"/>
    </row>
    <row r="12" spans="1:24">
      <c r="A12" s="1"/>
      <c r="B12" s="1"/>
      <c r="C12" s="1"/>
      <c r="D12" s="1"/>
      <c r="E12" s="1"/>
      <c r="F12" s="1"/>
      <c r="G12" s="1"/>
      <c r="H12" s="1"/>
      <c r="I12" s="1"/>
      <c r="J12" s="1"/>
      <c r="K12" s="1"/>
      <c r="L12" s="1"/>
      <c r="M12" s="1"/>
      <c r="N12" s="1"/>
      <c r="O12" s="1"/>
      <c r="P12" s="1"/>
      <c r="Q12" s="1"/>
      <c r="R12" s="1"/>
      <c r="S12" s="1"/>
      <c r="T12" s="1"/>
      <c r="U12" s="1"/>
      <c r="V12" s="1"/>
      <c r="W12" s="1"/>
      <c r="X12" s="1"/>
    </row>
    <row r="13" spans="1:24">
      <c r="A13" s="1"/>
      <c r="B13" s="1"/>
      <c r="C13" s="1"/>
      <c r="D13" s="1"/>
      <c r="E13" s="1"/>
      <c r="F13" s="1"/>
      <c r="G13" s="1"/>
      <c r="H13" s="1"/>
      <c r="I13" s="1"/>
      <c r="J13" s="1"/>
      <c r="K13" s="1"/>
      <c r="L13" s="1"/>
      <c r="M13" s="1"/>
      <c r="N13" s="1"/>
      <c r="O13" s="1"/>
      <c r="P13" s="1"/>
      <c r="Q13" s="1"/>
      <c r="R13" s="1"/>
      <c r="S13" s="1"/>
      <c r="T13" s="1"/>
      <c r="U13" s="1"/>
      <c r="V13" s="1"/>
      <c r="W13" s="1"/>
      <c r="X13" s="1"/>
    </row>
    <row r="14" spans="1:24">
      <c r="A14" s="1"/>
      <c r="B14" s="1"/>
      <c r="C14" s="1"/>
      <c r="D14" s="1"/>
      <c r="E14" s="1"/>
      <c r="F14" s="1"/>
      <c r="G14" s="1"/>
      <c r="H14" s="1"/>
      <c r="I14" s="1"/>
      <c r="J14" s="1"/>
      <c r="K14" s="1"/>
      <c r="L14" s="1"/>
      <c r="M14" s="1"/>
      <c r="N14" s="1"/>
      <c r="O14" s="1"/>
      <c r="P14" s="1"/>
      <c r="Q14" s="1"/>
      <c r="R14" s="1"/>
      <c r="S14" s="1"/>
      <c r="T14" s="1"/>
      <c r="U14" s="1"/>
      <c r="V14" s="1"/>
      <c r="W14" s="1"/>
      <c r="X14" s="1"/>
    </row>
    <row r="15" spans="1:24">
      <c r="A15" s="1"/>
      <c r="B15" s="1"/>
      <c r="C15" s="1"/>
      <c r="D15" s="1"/>
      <c r="E15" s="1"/>
      <c r="F15" s="1"/>
      <c r="G15" s="1"/>
      <c r="H15" s="1"/>
      <c r="I15" s="1"/>
      <c r="J15" s="1"/>
      <c r="K15" s="1"/>
      <c r="L15" s="1"/>
      <c r="M15" s="1"/>
      <c r="N15" s="1"/>
      <c r="O15" s="1"/>
      <c r="P15" s="1"/>
      <c r="Q15" s="1"/>
      <c r="R15" s="1"/>
      <c r="S15" s="1"/>
      <c r="T15" s="1"/>
      <c r="U15" s="1"/>
      <c r="V15" s="1"/>
      <c r="W15" s="1"/>
      <c r="X15" s="1"/>
    </row>
    <row r="16" spans="1:24">
      <c r="A16" s="1"/>
      <c r="B16" s="1"/>
      <c r="C16" s="1"/>
      <c r="D16" s="1"/>
      <c r="E16" s="1"/>
      <c r="F16" s="1"/>
      <c r="G16" s="1"/>
      <c r="H16" s="1"/>
      <c r="I16" s="1"/>
      <c r="J16" s="1"/>
      <c r="K16" s="1"/>
      <c r="L16" s="1"/>
      <c r="M16" s="1"/>
      <c r="N16" s="1"/>
      <c r="O16" s="1"/>
      <c r="P16" s="1"/>
      <c r="Q16" s="1"/>
      <c r="R16" s="1"/>
      <c r="S16" s="1"/>
      <c r="T16" s="1"/>
      <c r="U16" s="1"/>
      <c r="V16" s="1"/>
      <c r="W16" s="1"/>
      <c r="X16" s="1"/>
    </row>
    <row r="17" spans="1:24">
      <c r="A17" s="1"/>
      <c r="B17" s="1"/>
      <c r="C17" s="1"/>
      <c r="D17" s="1"/>
      <c r="E17" s="1"/>
      <c r="F17" s="1"/>
      <c r="G17" s="1"/>
      <c r="H17" s="1"/>
      <c r="I17" s="1"/>
      <c r="J17" s="1"/>
      <c r="K17" s="1"/>
      <c r="L17" s="1"/>
      <c r="M17" s="1"/>
      <c r="N17" s="1"/>
      <c r="O17" s="1"/>
      <c r="P17" s="1"/>
      <c r="Q17" s="1"/>
      <c r="R17" s="1"/>
      <c r="S17" s="1"/>
      <c r="T17" s="1"/>
      <c r="U17" s="1"/>
      <c r="V17" s="1"/>
      <c r="W17" s="1"/>
      <c r="X17" s="1"/>
    </row>
    <row r="18" spans="1:24">
      <c r="A18" s="1"/>
      <c r="B18" s="1"/>
      <c r="C18" s="1"/>
      <c r="D18" s="1"/>
      <c r="E18" s="1"/>
      <c r="F18" s="1"/>
      <c r="G18" s="1"/>
      <c r="H18" s="1"/>
      <c r="I18" s="1"/>
      <c r="J18" s="1"/>
      <c r="K18" s="1"/>
      <c r="L18" s="1"/>
      <c r="M18" s="1"/>
      <c r="N18" s="1"/>
      <c r="O18" s="1"/>
      <c r="P18" s="1"/>
      <c r="Q18" s="1"/>
      <c r="R18" s="1"/>
      <c r="S18" s="1"/>
      <c r="T18" s="1"/>
      <c r="U18" s="1"/>
      <c r="V18" s="1"/>
      <c r="W18" s="1"/>
      <c r="X18" s="1"/>
    </row>
    <row r="19" spans="1:24">
      <c r="A19" s="1"/>
      <c r="B19" s="1"/>
      <c r="C19" s="1"/>
      <c r="D19" s="1"/>
      <c r="E19" s="1"/>
      <c r="F19" s="1"/>
      <c r="G19" s="1"/>
      <c r="H19" s="1"/>
      <c r="I19" s="1"/>
      <c r="J19" s="1"/>
      <c r="K19" s="1"/>
      <c r="L19" s="1"/>
      <c r="M19" s="1"/>
      <c r="N19" s="1"/>
      <c r="O19" s="1"/>
      <c r="P19" s="1"/>
      <c r="Q19" s="1"/>
      <c r="R19" s="1"/>
      <c r="S19" s="1"/>
      <c r="T19" s="1"/>
      <c r="U19" s="1"/>
      <c r="V19" s="1"/>
      <c r="W19" s="1"/>
      <c r="X19" s="1"/>
    </row>
    <row r="20" spans="1:24">
      <c r="A20" s="1"/>
      <c r="B20" s="1"/>
      <c r="C20" s="1"/>
      <c r="D20" s="1"/>
      <c r="E20" s="1"/>
      <c r="F20" s="1"/>
      <c r="G20" s="1"/>
      <c r="H20" s="1"/>
      <c r="I20" s="1"/>
      <c r="J20" s="1"/>
      <c r="K20" s="1"/>
      <c r="L20" s="1"/>
      <c r="M20" s="1"/>
      <c r="N20" s="1"/>
      <c r="O20" s="1"/>
      <c r="P20" s="1"/>
      <c r="Q20" s="1"/>
      <c r="R20" s="1"/>
      <c r="S20" s="1"/>
      <c r="T20" s="1"/>
      <c r="U20" s="1"/>
      <c r="V20" s="1"/>
      <c r="W20" s="1"/>
      <c r="X20" s="1"/>
    </row>
    <row r="21" spans="1:24">
      <c r="A21" s="1"/>
      <c r="B21" s="1"/>
      <c r="C21" s="1"/>
      <c r="D21" s="1"/>
      <c r="E21" s="1"/>
      <c r="F21" s="1"/>
      <c r="G21" s="1"/>
      <c r="H21" s="1"/>
      <c r="I21" s="1"/>
      <c r="J21" s="1"/>
      <c r="K21" s="1"/>
      <c r="L21" s="1"/>
      <c r="M21" s="1"/>
      <c r="N21" s="1"/>
      <c r="O21" s="1"/>
      <c r="P21" s="1"/>
      <c r="Q21" s="1"/>
      <c r="R21" s="1"/>
      <c r="S21" s="1"/>
      <c r="T21" s="1"/>
      <c r="U21" s="1"/>
      <c r="V21" s="1"/>
      <c r="W21" s="1"/>
      <c r="X21" s="1"/>
    </row>
    <row r="22" spans="1:24">
      <c r="A22" s="1"/>
      <c r="B22" s="1"/>
      <c r="C22" s="1"/>
      <c r="D22" s="1"/>
      <c r="E22" s="1"/>
      <c r="F22" s="1"/>
      <c r="G22" s="1"/>
      <c r="H22" s="1"/>
      <c r="I22" s="1"/>
      <c r="J22" s="1"/>
      <c r="K22" s="1"/>
      <c r="L22" s="1"/>
      <c r="M22" s="1"/>
      <c r="N22" s="1"/>
      <c r="O22" s="1"/>
      <c r="P22" s="1"/>
      <c r="Q22" s="1"/>
      <c r="R22" s="1"/>
      <c r="S22" s="1"/>
      <c r="T22" s="1"/>
      <c r="U22" s="1"/>
      <c r="V22" s="1"/>
      <c r="W22" s="1"/>
      <c r="X22" s="1"/>
    </row>
    <row r="23" spans="1:24">
      <c r="A23" s="1"/>
      <c r="B23" s="1"/>
      <c r="C23" s="1"/>
      <c r="D23" s="1"/>
      <c r="E23" s="1"/>
      <c r="F23" s="1"/>
      <c r="G23" s="1"/>
      <c r="H23" s="1"/>
      <c r="I23" s="1"/>
      <c r="J23" s="1"/>
      <c r="K23" s="1"/>
      <c r="L23" s="1"/>
      <c r="M23" s="1"/>
      <c r="N23" s="1"/>
      <c r="O23" s="1"/>
      <c r="P23" s="1"/>
      <c r="Q23" s="1"/>
      <c r="R23" s="1"/>
      <c r="S23" s="1"/>
      <c r="T23" s="1"/>
      <c r="U23" s="1"/>
      <c r="V23" s="1"/>
      <c r="W23" s="1"/>
      <c r="X23" s="1"/>
    </row>
    <row r="24" spans="1:24">
      <c r="A24" s="1"/>
      <c r="B24" s="1"/>
      <c r="C24" s="1"/>
      <c r="D24" s="1"/>
      <c r="E24" s="1"/>
      <c r="F24" s="1"/>
      <c r="G24" s="1"/>
      <c r="H24" s="1"/>
      <c r="I24" s="1"/>
      <c r="J24" s="1"/>
      <c r="K24" s="1"/>
      <c r="L24" s="1"/>
      <c r="M24" s="1"/>
      <c r="N24" s="1"/>
      <c r="O24" s="1"/>
      <c r="P24" s="1"/>
      <c r="Q24" s="1"/>
      <c r="R24" s="1"/>
      <c r="S24" s="1"/>
      <c r="T24" s="1"/>
      <c r="U24" s="1"/>
      <c r="V24" s="1"/>
      <c r="W24" s="1"/>
      <c r="X24" s="1"/>
    </row>
    <row r="25" spans="1:24">
      <c r="A25" s="1"/>
      <c r="B25" s="1"/>
      <c r="C25" s="1"/>
      <c r="D25" s="1"/>
      <c r="E25" s="1"/>
      <c r="F25" s="1"/>
      <c r="G25" s="1"/>
      <c r="H25" s="1"/>
      <c r="I25" s="1"/>
      <c r="J25" s="1"/>
      <c r="K25" s="1"/>
      <c r="L25" s="1"/>
      <c r="M25" s="1"/>
      <c r="N25" s="1"/>
      <c r="O25" s="1"/>
      <c r="P25" s="1"/>
      <c r="Q25" s="1"/>
      <c r="R25" s="1"/>
      <c r="S25" s="1"/>
      <c r="T25" s="1"/>
      <c r="U25" s="1"/>
      <c r="V25" s="1"/>
      <c r="W25" s="1"/>
      <c r="X25" s="1"/>
    </row>
    <row r="26" spans="1:24">
      <c r="A26" s="1"/>
      <c r="B26" s="1"/>
      <c r="C26" s="1"/>
      <c r="D26" s="1"/>
      <c r="E26" s="1"/>
      <c r="F26" s="1"/>
      <c r="G26" s="1"/>
      <c r="H26" s="1"/>
      <c r="I26" s="1"/>
      <c r="J26" s="1"/>
      <c r="K26" s="1"/>
      <c r="L26" s="1"/>
      <c r="M26" s="1"/>
      <c r="N26" s="1"/>
      <c r="O26" s="1"/>
      <c r="P26" s="1"/>
      <c r="Q26" s="1"/>
      <c r="R26" s="1"/>
      <c r="S26" s="1"/>
      <c r="T26" s="1"/>
      <c r="U26" s="1"/>
      <c r="V26" s="1"/>
      <c r="W26" s="1"/>
      <c r="X26" s="1"/>
    </row>
    <row r="27" spans="1:24">
      <c r="A27" s="1"/>
      <c r="B27" s="1"/>
      <c r="C27" s="1"/>
      <c r="D27" s="1"/>
      <c r="E27" s="1"/>
      <c r="F27" s="1"/>
      <c r="G27" s="1"/>
      <c r="H27" s="1"/>
      <c r="I27" s="1"/>
      <c r="J27" s="1"/>
      <c r="K27" s="1"/>
      <c r="L27" s="1"/>
      <c r="M27" s="1"/>
      <c r="N27" s="1"/>
      <c r="O27" s="1"/>
      <c r="P27" s="1"/>
      <c r="Q27" s="1"/>
      <c r="R27" s="1"/>
      <c r="S27" s="1"/>
      <c r="T27" s="1"/>
      <c r="U27" s="1"/>
      <c r="V27" s="1"/>
      <c r="W27" s="1"/>
      <c r="X27" s="1"/>
    </row>
    <row r="28" spans="1:24">
      <c r="A28" s="1"/>
      <c r="B28" s="1"/>
      <c r="C28" s="1"/>
      <c r="D28" s="1"/>
      <c r="E28" s="1"/>
      <c r="F28" s="1"/>
      <c r="G28" s="1"/>
      <c r="H28" s="1"/>
      <c r="I28" s="1"/>
      <c r="J28" s="1"/>
      <c r="K28" s="1"/>
      <c r="L28" s="1"/>
      <c r="M28" s="1"/>
      <c r="N28" s="1"/>
      <c r="O28" s="1"/>
      <c r="P28" s="1"/>
      <c r="Q28" s="1"/>
      <c r="R28" s="1"/>
      <c r="S28" s="1"/>
      <c r="T28" s="1"/>
      <c r="U28" s="1"/>
      <c r="V28" s="1"/>
      <c r="W28" s="1"/>
      <c r="X28" s="1"/>
    </row>
    <row r="29" spans="1:24">
      <c r="A29" s="1"/>
      <c r="B29" s="1"/>
      <c r="C29" s="1"/>
      <c r="D29" s="1"/>
      <c r="E29" s="1"/>
      <c r="F29" s="1"/>
      <c r="G29" s="1"/>
      <c r="H29" s="1"/>
      <c r="I29" s="1"/>
      <c r="J29" s="1"/>
      <c r="K29" s="1"/>
      <c r="L29" s="1"/>
      <c r="M29" s="1"/>
      <c r="N29" s="1"/>
      <c r="O29" s="1"/>
      <c r="P29" s="1"/>
      <c r="Q29" s="1"/>
      <c r="R29" s="1"/>
      <c r="S29" s="1"/>
      <c r="T29" s="1"/>
      <c r="U29" s="1"/>
      <c r="V29" s="1"/>
      <c r="W29" s="1"/>
      <c r="X29" s="1"/>
    </row>
    <row r="30" spans="1:24" ht="68.25" customHeight="1">
      <c r="A30" s="1"/>
      <c r="B30" s="436" t="s">
        <v>494</v>
      </c>
      <c r="C30" s="436"/>
      <c r="D30" s="436"/>
      <c r="E30" s="436"/>
      <c r="F30" s="436"/>
      <c r="G30" s="436"/>
      <c r="H30" s="436"/>
      <c r="I30" s="436"/>
      <c r="J30" s="436"/>
      <c r="K30" s="436"/>
      <c r="L30" s="436"/>
      <c r="M30" s="436"/>
      <c r="N30" s="436"/>
      <c r="O30" s="436"/>
      <c r="P30" s="436"/>
      <c r="Q30" s="436"/>
      <c r="R30" s="436"/>
      <c r="S30" s="436"/>
      <c r="T30" s="436"/>
      <c r="U30" s="436"/>
      <c r="V30" s="436"/>
      <c r="W30" s="436"/>
      <c r="X30" s="1"/>
    </row>
    <row r="31" spans="1:24" ht="18" customHeight="1">
      <c r="A31" s="1"/>
      <c r="B31" s="137"/>
      <c r="C31" s="137"/>
      <c r="D31" s="137"/>
      <c r="E31" s="137"/>
      <c r="F31" s="137"/>
      <c r="G31" s="137"/>
      <c r="H31" s="137"/>
      <c r="I31" s="137"/>
      <c r="J31" s="137"/>
      <c r="K31" s="137"/>
      <c r="L31" s="137"/>
      <c r="M31" s="137"/>
      <c r="N31" s="137"/>
      <c r="O31" s="137"/>
      <c r="P31" s="137"/>
      <c r="Q31" s="137"/>
      <c r="R31" s="137"/>
      <c r="S31" s="137"/>
      <c r="T31" s="137"/>
      <c r="U31" s="137"/>
      <c r="V31" s="137"/>
      <c r="W31" s="137"/>
      <c r="X31" s="1"/>
    </row>
    <row r="32" spans="1:24" ht="18" customHeight="1">
      <c r="A32" s="1"/>
      <c r="B32" s="137"/>
      <c r="C32" s="137"/>
      <c r="D32" s="137"/>
      <c r="E32" s="137"/>
      <c r="F32" s="1"/>
      <c r="G32" s="102" t="s">
        <v>788</v>
      </c>
      <c r="H32" s="137"/>
      <c r="I32" s="137"/>
      <c r="J32" s="137"/>
      <c r="K32" s="137"/>
      <c r="L32" s="137"/>
      <c r="M32" s="137"/>
      <c r="N32" s="137"/>
      <c r="O32" s="137"/>
      <c r="P32" s="137"/>
      <c r="Q32" s="137"/>
      <c r="R32" s="137"/>
      <c r="S32" s="137"/>
      <c r="T32" s="137"/>
      <c r="U32" s="137"/>
      <c r="V32" s="137"/>
      <c r="W32" s="137"/>
      <c r="X32" s="1"/>
    </row>
    <row r="33" spans="1:24" ht="18" customHeight="1">
      <c r="A33" s="1"/>
      <c r="B33" s="137"/>
      <c r="C33" s="137"/>
      <c r="D33" s="137"/>
      <c r="E33" s="1"/>
      <c r="F33" s="137"/>
      <c r="G33" s="88" t="s">
        <v>791</v>
      </c>
      <c r="H33" s="232" t="s">
        <v>789</v>
      </c>
      <c r="I33" s="102" t="s">
        <v>790</v>
      </c>
      <c r="J33" s="137"/>
      <c r="K33" s="137"/>
      <c r="L33" s="137"/>
      <c r="M33" s="137"/>
      <c r="N33" s="137"/>
      <c r="O33" s="137"/>
      <c r="P33" s="137"/>
      <c r="Q33" s="137"/>
      <c r="R33" s="137"/>
      <c r="S33" s="137"/>
      <c r="T33" s="137"/>
      <c r="U33" s="137"/>
      <c r="V33" s="137"/>
      <c r="W33" s="137"/>
      <c r="X33" s="1"/>
    </row>
    <row r="34" spans="1:24" ht="18" customHeight="1">
      <c r="A34" s="1"/>
      <c r="B34" s="137"/>
      <c r="C34" s="137"/>
      <c r="D34" s="137"/>
      <c r="E34" s="137" t="str">
        <f>G42</f>
        <v>Panama</v>
      </c>
      <c r="F34" s="137"/>
      <c r="G34" s="233">
        <f>VLOOKUP($E$34,$A$50:$F$262,3,FALSE)</f>
        <v>9.9064399999999999</v>
      </c>
      <c r="H34" s="233">
        <f>VLOOKUP($E$34,$A$50:$F$262,5,FALSE)</f>
        <v>0.73863000000000001</v>
      </c>
      <c r="I34" s="233">
        <f>VLOOKUP($E$34,$A$50:$F$262,4,FALSE)</f>
        <v>7.3594119999999998</v>
      </c>
      <c r="J34" s="137"/>
      <c r="K34" s="137"/>
      <c r="L34" s="137"/>
      <c r="M34" s="137"/>
      <c r="N34" s="137"/>
      <c r="O34" s="137"/>
      <c r="P34" s="137"/>
      <c r="Q34" s="137"/>
      <c r="R34" s="137"/>
      <c r="S34" s="137"/>
      <c r="T34" s="137"/>
      <c r="U34" s="137"/>
      <c r="V34" s="137"/>
      <c r="W34" s="137"/>
      <c r="X34" s="1"/>
    </row>
    <row r="35" spans="1:24" ht="18" customHeight="1">
      <c r="A35" s="1"/>
      <c r="B35" s="137"/>
      <c r="C35" s="137"/>
      <c r="D35" s="137"/>
      <c r="E35" s="137" t="s">
        <v>60</v>
      </c>
      <c r="F35" s="137"/>
      <c r="G35" s="135">
        <v>9.24</v>
      </c>
      <c r="H35" s="135">
        <v>1.47</v>
      </c>
      <c r="I35" s="135">
        <v>7.28</v>
      </c>
      <c r="J35" s="137"/>
      <c r="K35" s="137"/>
      <c r="L35" s="137"/>
      <c r="M35" s="137"/>
      <c r="N35" s="137"/>
      <c r="O35" s="137"/>
      <c r="P35" s="137"/>
      <c r="Q35" s="137"/>
      <c r="R35" s="137"/>
      <c r="S35" s="137"/>
      <c r="T35" s="137"/>
      <c r="U35" s="137"/>
      <c r="V35" s="137"/>
      <c r="W35" s="137"/>
      <c r="X35" s="1"/>
    </row>
    <row r="36" spans="1:24" ht="18" customHeight="1">
      <c r="A36" s="1"/>
      <c r="B36" s="137"/>
      <c r="C36" s="137"/>
      <c r="D36" s="137"/>
      <c r="E36" s="137"/>
      <c r="F36" s="137"/>
      <c r="G36" s="137"/>
      <c r="H36" s="137"/>
      <c r="I36" s="137"/>
      <c r="J36" s="137"/>
      <c r="K36" s="137"/>
      <c r="L36" s="137"/>
      <c r="M36" s="137"/>
      <c r="N36" s="137"/>
      <c r="O36" s="137"/>
      <c r="P36" s="137"/>
      <c r="Q36" s="137"/>
      <c r="R36" s="137"/>
      <c r="S36" s="137"/>
      <c r="T36" s="137"/>
      <c r="U36" s="137"/>
      <c r="V36" s="137"/>
      <c r="W36" s="137"/>
      <c r="X36" s="1"/>
    </row>
    <row r="37" spans="1:24" ht="18" customHeight="1">
      <c r="A37" s="1"/>
      <c r="B37" s="137"/>
      <c r="C37" s="137"/>
      <c r="D37" s="137"/>
      <c r="E37" s="137"/>
      <c r="F37" s="137"/>
      <c r="G37" s="137"/>
      <c r="H37" s="137"/>
      <c r="I37" s="137"/>
      <c r="J37" s="137"/>
      <c r="K37" s="137"/>
      <c r="L37" s="137"/>
      <c r="M37" s="137"/>
      <c r="N37" s="137"/>
      <c r="O37" s="137"/>
      <c r="P37" s="137"/>
      <c r="Q37" s="137"/>
      <c r="R37" s="137"/>
      <c r="S37" s="137"/>
      <c r="T37" s="137"/>
      <c r="U37" s="137"/>
      <c r="V37" s="137"/>
      <c r="W37" s="137"/>
      <c r="X37" s="1"/>
    </row>
    <row r="38" spans="1:24" ht="18" customHeight="1">
      <c r="A38" s="1"/>
      <c r="B38" s="137"/>
      <c r="C38" s="137"/>
      <c r="D38" s="137"/>
      <c r="E38" s="137"/>
      <c r="F38" s="137"/>
      <c r="G38" s="137"/>
      <c r="H38" s="137"/>
      <c r="I38" s="137"/>
      <c r="J38" s="137"/>
      <c r="K38" s="137"/>
      <c r="L38" s="137"/>
      <c r="M38" s="137"/>
      <c r="N38" s="137"/>
      <c r="O38" s="137"/>
      <c r="P38" s="137"/>
      <c r="Q38" s="137"/>
      <c r="R38" s="137"/>
      <c r="S38" s="137"/>
      <c r="T38" s="137"/>
      <c r="U38" s="137"/>
      <c r="V38" s="137"/>
      <c r="W38" s="137"/>
      <c r="X38" s="1"/>
    </row>
    <row r="41" spans="1:24" ht="0.5" customHeight="1"/>
    <row r="42" spans="1:24" ht="0.5" customHeight="1">
      <c r="D42" s="413" t="s">
        <v>73</v>
      </c>
      <c r="E42" s="413"/>
      <c r="F42" s="413"/>
      <c r="G42" s="413" t="str">
        <f>'Country Selection'!C5</f>
        <v>Panama</v>
      </c>
      <c r="H42" s="413"/>
      <c r="I42" s="413"/>
      <c r="J42" s="413"/>
    </row>
    <row r="43" spans="1:24" ht="0.5" customHeight="1"/>
    <row r="44" spans="1:24" ht="0.5" customHeight="1"/>
    <row r="45" spans="1:24" ht="0.5" customHeight="1"/>
    <row r="46" spans="1:24" ht="0.5" customHeight="1"/>
    <row r="47" spans="1:24" ht="0.5" customHeight="1"/>
    <row r="48" spans="1:24" ht="0.5" customHeight="1"/>
    <row r="49" spans="1:57" ht="0.5" customHeight="1">
      <c r="A49" s="2" t="s">
        <v>61</v>
      </c>
      <c r="B49" s="2" t="s">
        <v>495</v>
      </c>
      <c r="C49" s="2" t="s">
        <v>496</v>
      </c>
      <c r="D49" s="2" t="s">
        <v>497</v>
      </c>
      <c r="E49" s="2" t="s">
        <v>498</v>
      </c>
      <c r="F49" s="2" t="s">
        <v>499</v>
      </c>
      <c r="G49" s="2" t="s">
        <v>500</v>
      </c>
      <c r="H49" s="2" t="s">
        <v>501</v>
      </c>
      <c r="I49" s="2" t="s">
        <v>502</v>
      </c>
      <c r="J49" s="2" t="s">
        <v>61</v>
      </c>
      <c r="K49" s="2" t="s">
        <v>495</v>
      </c>
      <c r="L49" s="2" t="s">
        <v>496</v>
      </c>
      <c r="M49" s="2" t="s">
        <v>497</v>
      </c>
      <c r="N49" s="2" t="s">
        <v>498</v>
      </c>
      <c r="O49" s="2" t="s">
        <v>499</v>
      </c>
      <c r="P49" s="2" t="s">
        <v>61</v>
      </c>
      <c r="Q49" s="2" t="s">
        <v>495</v>
      </c>
      <c r="R49" s="2" t="s">
        <v>496</v>
      </c>
      <c r="S49" s="2" t="s">
        <v>497</v>
      </c>
      <c r="T49" s="2" t="s">
        <v>498</v>
      </c>
      <c r="U49" s="2" t="s">
        <v>499</v>
      </c>
      <c r="V49" s="2" t="s">
        <v>61</v>
      </c>
      <c r="W49" s="2" t="s">
        <v>495</v>
      </c>
      <c r="X49" s="2" t="s">
        <v>496</v>
      </c>
      <c r="Y49" s="2" t="s">
        <v>497</v>
      </c>
      <c r="Z49" s="2" t="s">
        <v>498</v>
      </c>
      <c r="AA49" s="2" t="s">
        <v>499</v>
      </c>
      <c r="AB49" s="2" t="s">
        <v>61</v>
      </c>
      <c r="AC49" s="2" t="s">
        <v>495</v>
      </c>
      <c r="AD49" s="2" t="s">
        <v>496</v>
      </c>
      <c r="AE49" s="2" t="s">
        <v>497</v>
      </c>
      <c r="AF49" s="2" t="s">
        <v>498</v>
      </c>
      <c r="AG49" s="2" t="s">
        <v>499</v>
      </c>
      <c r="AH49" s="2" t="s">
        <v>61</v>
      </c>
      <c r="AI49" s="2" t="s">
        <v>495</v>
      </c>
      <c r="AJ49" s="2" t="s">
        <v>496</v>
      </c>
      <c r="AK49" s="2" t="s">
        <v>497</v>
      </c>
      <c r="AL49" s="2" t="s">
        <v>498</v>
      </c>
      <c r="AM49" s="2" t="s">
        <v>499</v>
      </c>
      <c r="AN49" s="2" t="s">
        <v>61</v>
      </c>
      <c r="AO49" s="2" t="s">
        <v>495</v>
      </c>
      <c r="AP49" s="2" t="s">
        <v>496</v>
      </c>
      <c r="AQ49" s="2" t="s">
        <v>497</v>
      </c>
      <c r="AR49" s="2" t="s">
        <v>498</v>
      </c>
      <c r="AS49" s="2" t="s">
        <v>499</v>
      </c>
      <c r="AT49" s="2" t="s">
        <v>61</v>
      </c>
      <c r="AU49" s="2" t="s">
        <v>495</v>
      </c>
      <c r="AV49" s="2" t="s">
        <v>496</v>
      </c>
      <c r="AW49" s="2" t="s">
        <v>497</v>
      </c>
      <c r="AX49" s="2" t="s">
        <v>498</v>
      </c>
      <c r="AY49" s="2" t="s">
        <v>499</v>
      </c>
      <c r="AZ49" s="2" t="s">
        <v>61</v>
      </c>
      <c r="BA49" s="2" t="s">
        <v>495</v>
      </c>
      <c r="BB49" s="2" t="s">
        <v>496</v>
      </c>
      <c r="BC49" s="2" t="s">
        <v>497</v>
      </c>
      <c r="BD49" s="2" t="s">
        <v>498</v>
      </c>
      <c r="BE49" s="2" t="s">
        <v>499</v>
      </c>
    </row>
    <row r="50" spans="1:57" ht="0.5" customHeight="1">
      <c r="A50" s="2" t="s">
        <v>503</v>
      </c>
      <c r="B50" s="2" t="s">
        <v>504</v>
      </c>
      <c r="C50" s="2">
        <v>10.49169</v>
      </c>
      <c r="G50" s="2">
        <v>0</v>
      </c>
      <c r="H50" s="2">
        <v>0</v>
      </c>
      <c r="I50" s="2">
        <v>0</v>
      </c>
      <c r="J50" s="2" t="s">
        <v>503</v>
      </c>
      <c r="K50" s="2" t="s">
        <v>504</v>
      </c>
      <c r="L50" s="2">
        <v>10.49169</v>
      </c>
      <c r="P50" s="2" t="s">
        <v>139</v>
      </c>
      <c r="Q50" s="2" t="s">
        <v>505</v>
      </c>
      <c r="R50" s="2">
        <v>9.2224699999999995</v>
      </c>
      <c r="S50" s="2">
        <v>6.3569019999999998</v>
      </c>
      <c r="T50" s="2">
        <v>0.70164000000000004</v>
      </c>
      <c r="U50" s="2">
        <v>1</v>
      </c>
      <c r="V50" s="2" t="s">
        <v>158</v>
      </c>
      <c r="W50" s="2" t="s">
        <v>506</v>
      </c>
      <c r="X50" s="2">
        <v>11.075390000000001</v>
      </c>
      <c r="Y50" s="2">
        <v>9.292999</v>
      </c>
      <c r="Z50" s="2">
        <v>0.7117</v>
      </c>
      <c r="AA50" s="2">
        <v>2</v>
      </c>
      <c r="AB50" s="2" t="s">
        <v>507</v>
      </c>
      <c r="AC50" s="2" t="s">
        <v>508</v>
      </c>
      <c r="AD50" s="2">
        <v>10.870649999999999</v>
      </c>
      <c r="AE50" s="2">
        <v>9.2412469999999995</v>
      </c>
      <c r="AF50" s="2">
        <v>1.1185</v>
      </c>
      <c r="AG50" s="2">
        <v>3</v>
      </c>
      <c r="AH50" s="2" t="s">
        <v>36</v>
      </c>
      <c r="AI50" s="2" t="s">
        <v>509</v>
      </c>
      <c r="AK50" s="2">
        <v>8.3166329999999995</v>
      </c>
      <c r="AL50" s="2">
        <v>2.2192599999999998</v>
      </c>
      <c r="AN50" s="2" t="s">
        <v>40</v>
      </c>
      <c r="AO50" s="2" t="s">
        <v>510</v>
      </c>
      <c r="AP50" s="2">
        <v>9.6265750000000008</v>
      </c>
      <c r="AQ50" s="2">
        <v>8.1645129999999995</v>
      </c>
      <c r="AR50" s="2">
        <v>2.6388799999999999</v>
      </c>
      <c r="AS50" s="2">
        <v>1</v>
      </c>
      <c r="AT50" s="2" t="s">
        <v>89</v>
      </c>
      <c r="AU50" s="2" t="s">
        <v>511</v>
      </c>
      <c r="AV50" s="2">
        <v>10.67516</v>
      </c>
      <c r="AW50" s="2">
        <v>8.8985050000000001</v>
      </c>
      <c r="AX50" s="2">
        <v>1.74274</v>
      </c>
      <c r="AY50" s="2">
        <v>2</v>
      </c>
      <c r="AZ50" s="2" t="s">
        <v>94</v>
      </c>
      <c r="BA50" s="2" t="s">
        <v>512</v>
      </c>
      <c r="BB50" s="2">
        <v>10.689019999999999</v>
      </c>
      <c r="BC50" s="2">
        <v>9.4268839999999994</v>
      </c>
      <c r="BD50" s="2">
        <v>2.29305</v>
      </c>
      <c r="BE50" s="2">
        <v>3</v>
      </c>
    </row>
    <row r="51" spans="1:57" ht="0.5" customHeight="1">
      <c r="A51" s="2" t="s">
        <v>513</v>
      </c>
      <c r="B51" s="2" t="s">
        <v>514</v>
      </c>
      <c r="E51" s="2">
        <v>0.62839999999999996</v>
      </c>
      <c r="G51" s="2">
        <v>0</v>
      </c>
      <c r="H51" s="2">
        <v>0</v>
      </c>
      <c r="I51" s="2">
        <v>0</v>
      </c>
      <c r="J51" s="2" t="s">
        <v>513</v>
      </c>
      <c r="K51" s="2" t="s">
        <v>514</v>
      </c>
      <c r="N51" s="2">
        <v>0.62839999999999996</v>
      </c>
      <c r="P51" s="2" t="s">
        <v>107</v>
      </c>
      <c r="Q51" s="2" t="s">
        <v>515</v>
      </c>
      <c r="R51" s="2">
        <v>9.5144300000000008</v>
      </c>
      <c r="U51" s="2">
        <v>1</v>
      </c>
      <c r="V51" s="2" t="s">
        <v>141</v>
      </c>
      <c r="W51" s="2" t="s">
        <v>516</v>
      </c>
      <c r="X51" s="2">
        <v>9.7027809999999999</v>
      </c>
      <c r="Y51" s="2">
        <v>8.0691400000000009</v>
      </c>
      <c r="Z51" s="2">
        <v>1.37968</v>
      </c>
      <c r="AA51" s="2">
        <v>2</v>
      </c>
      <c r="AB51" s="2" t="s">
        <v>85</v>
      </c>
      <c r="AC51" s="2" t="s">
        <v>517</v>
      </c>
      <c r="AD51" s="2">
        <v>11.28415</v>
      </c>
      <c r="AE51" s="2">
        <v>9.2378040000000006</v>
      </c>
      <c r="AF51" s="2">
        <v>0.66707000000000005</v>
      </c>
      <c r="AG51" s="2">
        <v>3</v>
      </c>
      <c r="AH51" s="2" t="s">
        <v>39</v>
      </c>
      <c r="AI51" s="2" t="s">
        <v>518</v>
      </c>
      <c r="AJ51" s="2">
        <v>8.7522640000000003</v>
      </c>
      <c r="AK51" s="2">
        <v>7.111675</v>
      </c>
      <c r="AL51" s="2">
        <v>2.6475399999999998</v>
      </c>
      <c r="AN51" s="2" t="s">
        <v>41</v>
      </c>
      <c r="AO51" s="2" t="s">
        <v>519</v>
      </c>
      <c r="AP51" s="2">
        <v>9.9953090000000007</v>
      </c>
      <c r="AQ51" s="2">
        <v>8.107837</v>
      </c>
      <c r="AR51" s="2">
        <v>1.3513599999999999</v>
      </c>
      <c r="AS51" s="2">
        <v>1</v>
      </c>
      <c r="AT51" s="2" t="s">
        <v>93</v>
      </c>
      <c r="AU51" s="2" t="s">
        <v>520</v>
      </c>
      <c r="AV51" s="2">
        <v>10.263769999999999</v>
      </c>
      <c r="AW51" s="2">
        <v>8.8915620000000004</v>
      </c>
      <c r="AX51" s="2">
        <v>1.87767</v>
      </c>
      <c r="AY51" s="2">
        <v>2</v>
      </c>
      <c r="AZ51" s="2" t="s">
        <v>118</v>
      </c>
      <c r="BA51" s="2" t="s">
        <v>521</v>
      </c>
      <c r="BB51" s="2">
        <v>10.61589</v>
      </c>
      <c r="BC51" s="2">
        <v>9.6778169999999992</v>
      </c>
      <c r="BD51" s="2">
        <v>2.7552500000000002</v>
      </c>
      <c r="BE51" s="2">
        <v>3</v>
      </c>
    </row>
    <row r="52" spans="1:57" ht="0.5" customHeight="1">
      <c r="A52" s="2" t="s">
        <v>522</v>
      </c>
      <c r="B52" s="2" t="s">
        <v>523</v>
      </c>
      <c r="C52" s="2">
        <v>7.5197039999999999</v>
      </c>
      <c r="G52" s="2">
        <v>0</v>
      </c>
      <c r="H52" s="2">
        <v>0</v>
      </c>
      <c r="I52" s="2">
        <v>0</v>
      </c>
      <c r="J52" s="2" t="s">
        <v>522</v>
      </c>
      <c r="K52" s="2" t="s">
        <v>523</v>
      </c>
      <c r="L52" s="2">
        <v>7.5197039999999999</v>
      </c>
      <c r="P52" s="2" t="s">
        <v>105</v>
      </c>
      <c r="Q52" s="2" t="s">
        <v>524</v>
      </c>
      <c r="R52" s="2">
        <v>9.0767129999999998</v>
      </c>
      <c r="T52" s="2">
        <v>0.63722000000000001</v>
      </c>
      <c r="U52" s="2">
        <v>1</v>
      </c>
      <c r="V52" s="2" t="s">
        <v>143</v>
      </c>
      <c r="W52" s="2" t="s">
        <v>525</v>
      </c>
      <c r="X52" s="2">
        <v>9.9051419999999997</v>
      </c>
      <c r="AA52" s="2">
        <v>2</v>
      </c>
      <c r="AB52" s="2" t="s">
        <v>390</v>
      </c>
      <c r="AC52" s="2" t="s">
        <v>526</v>
      </c>
      <c r="AD52" s="2">
        <v>8.5886220000000009</v>
      </c>
      <c r="AF52" s="2">
        <v>2.7282899999999999</v>
      </c>
      <c r="AG52" s="2">
        <v>3</v>
      </c>
      <c r="AH52" s="2" t="s">
        <v>45</v>
      </c>
      <c r="AI52" s="2" t="s">
        <v>527</v>
      </c>
      <c r="AJ52" s="2">
        <v>9.2918109999999992</v>
      </c>
      <c r="AK52" s="2">
        <v>6.569566</v>
      </c>
      <c r="AL52" s="2">
        <v>0.74036000000000002</v>
      </c>
      <c r="AN52" s="2" t="s">
        <v>42</v>
      </c>
      <c r="AO52" s="2" t="s">
        <v>528</v>
      </c>
      <c r="AP52" s="2">
        <v>9.4505490000000005</v>
      </c>
      <c r="AQ52" s="2">
        <v>7.7474509999999999</v>
      </c>
      <c r="AR52" s="2">
        <v>1.75136</v>
      </c>
      <c r="AS52" s="2">
        <v>1</v>
      </c>
      <c r="AT52" s="2" t="s">
        <v>131</v>
      </c>
      <c r="AU52" s="2" t="s">
        <v>529</v>
      </c>
      <c r="AV52" s="2">
        <v>10.365640000000001</v>
      </c>
      <c r="AW52" s="2">
        <v>8.8968380000000007</v>
      </c>
      <c r="AX52" s="2">
        <v>1.58876</v>
      </c>
      <c r="AY52" s="2">
        <v>2</v>
      </c>
      <c r="AZ52" s="2" t="s">
        <v>119</v>
      </c>
      <c r="BA52" s="2" t="s">
        <v>530</v>
      </c>
      <c r="BB52" s="2">
        <v>10.66432</v>
      </c>
      <c r="BC52" s="2">
        <v>8.9009549999999997</v>
      </c>
      <c r="BD52" s="2">
        <v>1.39215</v>
      </c>
      <c r="BE52" s="2">
        <v>3</v>
      </c>
    </row>
    <row r="53" spans="1:57" ht="0.5" customHeight="1">
      <c r="A53" s="2" t="s">
        <v>336</v>
      </c>
      <c r="B53" s="2" t="s">
        <v>531</v>
      </c>
      <c r="C53" s="2">
        <v>8.8473539999999993</v>
      </c>
      <c r="G53" s="2">
        <v>0</v>
      </c>
      <c r="H53" s="2">
        <v>0</v>
      </c>
      <c r="I53" s="2">
        <v>0</v>
      </c>
      <c r="J53" s="2" t="s">
        <v>336</v>
      </c>
      <c r="K53" s="2" t="s">
        <v>531</v>
      </c>
      <c r="L53" s="2">
        <v>8.8473539999999993</v>
      </c>
      <c r="P53" s="2" t="s">
        <v>147</v>
      </c>
      <c r="Q53" s="2" t="s">
        <v>532</v>
      </c>
      <c r="R53" s="2">
        <v>9.2134680000000007</v>
      </c>
      <c r="S53" s="2">
        <v>6.953379</v>
      </c>
      <c r="T53" s="2">
        <v>0.88341999999999998</v>
      </c>
      <c r="U53" s="2">
        <v>1</v>
      </c>
      <c r="V53" s="2" t="s">
        <v>81</v>
      </c>
      <c r="W53" s="2" t="s">
        <v>533</v>
      </c>
      <c r="X53" s="2">
        <v>10.1576</v>
      </c>
      <c r="Y53" s="2">
        <v>8.4048250000000007</v>
      </c>
      <c r="Z53" s="2">
        <v>1.8913599999999999</v>
      </c>
      <c r="AA53" s="2">
        <v>2</v>
      </c>
      <c r="AH53" s="2" t="s">
        <v>47</v>
      </c>
      <c r="AI53" s="2" t="s">
        <v>534</v>
      </c>
      <c r="AJ53" s="2">
        <v>8.8687500000000004</v>
      </c>
      <c r="AK53" s="2">
        <v>5.9808620000000001</v>
      </c>
      <c r="AL53" s="2">
        <v>0.40665000000000001</v>
      </c>
      <c r="AN53" s="2" t="s">
        <v>43</v>
      </c>
      <c r="AO53" s="2" t="s">
        <v>535</v>
      </c>
      <c r="AP53" s="2">
        <v>9.5632610000000007</v>
      </c>
      <c r="AQ53" s="2">
        <v>8.1931969999999996</v>
      </c>
      <c r="AR53" s="2">
        <v>2.3449800000000001</v>
      </c>
      <c r="AS53" s="2">
        <v>1</v>
      </c>
      <c r="AT53" s="2" t="s">
        <v>122</v>
      </c>
      <c r="AU53" s="2" t="s">
        <v>536</v>
      </c>
      <c r="AV53" s="2">
        <v>10.520099999999999</v>
      </c>
      <c r="AW53" s="2">
        <v>9.2119079999999993</v>
      </c>
      <c r="AX53" s="2">
        <v>2.4247000000000001</v>
      </c>
      <c r="AY53" s="2">
        <v>2</v>
      </c>
      <c r="AZ53" s="2" t="s">
        <v>132</v>
      </c>
      <c r="BA53" s="2" t="s">
        <v>537</v>
      </c>
      <c r="BB53" s="2">
        <v>10.92</v>
      </c>
      <c r="BC53" s="2">
        <v>9.5865969999999994</v>
      </c>
      <c r="BD53" s="2">
        <v>1.97695</v>
      </c>
      <c r="BE53" s="2">
        <v>3</v>
      </c>
    </row>
    <row r="54" spans="1:57" ht="0.5" customHeight="1">
      <c r="A54" s="2" t="s">
        <v>139</v>
      </c>
      <c r="B54" s="2" t="s">
        <v>505</v>
      </c>
      <c r="C54" s="2">
        <v>9.2224699999999995</v>
      </c>
      <c r="D54" s="2">
        <v>6.3569019999999998</v>
      </c>
      <c r="E54" s="2">
        <v>0.70164000000000004</v>
      </c>
      <c r="F54" s="2">
        <v>1</v>
      </c>
      <c r="G54" s="2">
        <v>0</v>
      </c>
      <c r="H54" s="2">
        <v>0</v>
      </c>
      <c r="I54" s="2">
        <v>0</v>
      </c>
      <c r="J54" s="2" t="s">
        <v>103</v>
      </c>
      <c r="K54" s="2" t="s">
        <v>538</v>
      </c>
      <c r="L54" s="2">
        <v>8.9488059999999994</v>
      </c>
      <c r="M54" s="2">
        <v>7.0987629999999999</v>
      </c>
      <c r="N54" s="2">
        <v>1.2202200000000001</v>
      </c>
      <c r="P54" s="2" t="s">
        <v>148</v>
      </c>
      <c r="Q54" s="2" t="s">
        <v>539</v>
      </c>
      <c r="R54" s="2">
        <v>9.2342560000000002</v>
      </c>
      <c r="S54" s="2">
        <v>7.4389029999999998</v>
      </c>
      <c r="T54" s="2">
        <v>1.75315</v>
      </c>
      <c r="U54" s="2">
        <v>1</v>
      </c>
      <c r="V54" s="2" t="s">
        <v>152</v>
      </c>
      <c r="W54" s="2" t="s">
        <v>540</v>
      </c>
      <c r="X54" s="2">
        <v>10.268879999999999</v>
      </c>
      <c r="Y54" s="2">
        <v>9.3717620000000004</v>
      </c>
      <c r="Z54" s="2">
        <v>3.1476600000000001</v>
      </c>
      <c r="AA54" s="2">
        <v>2</v>
      </c>
      <c r="AH54" s="2" t="s">
        <v>69</v>
      </c>
      <c r="AI54" s="2" t="s">
        <v>541</v>
      </c>
      <c r="AJ54" s="2">
        <v>8.8373849999999994</v>
      </c>
      <c r="AK54" s="2">
        <v>6.4064579999999998</v>
      </c>
      <c r="AL54" s="2">
        <v>1.0620400000000001</v>
      </c>
      <c r="AN54" s="2" t="s">
        <v>113</v>
      </c>
      <c r="AO54" s="2" t="s">
        <v>542</v>
      </c>
      <c r="AP54" s="2">
        <v>9.4456120000000006</v>
      </c>
      <c r="AQ54" s="2">
        <v>7.5565309999999997</v>
      </c>
      <c r="AR54" s="2">
        <v>1.2907500000000001</v>
      </c>
      <c r="AS54" s="2">
        <v>1</v>
      </c>
      <c r="AT54" s="2" t="s">
        <v>134</v>
      </c>
      <c r="AU54" s="2" t="s">
        <v>543</v>
      </c>
      <c r="AV54" s="2">
        <v>10.54757</v>
      </c>
      <c r="AW54" s="2">
        <v>9.0378699999999998</v>
      </c>
      <c r="AX54" s="2">
        <v>2.2823799999999999</v>
      </c>
      <c r="AY54" s="2">
        <v>2</v>
      </c>
      <c r="AZ54" s="2" t="s">
        <v>102</v>
      </c>
      <c r="BA54" s="2" t="s">
        <v>544</v>
      </c>
      <c r="BB54" s="2">
        <v>10.68172</v>
      </c>
      <c r="BC54" s="2">
        <v>9.2214299999999998</v>
      </c>
      <c r="BD54" s="2">
        <v>2.13178</v>
      </c>
      <c r="BE54" s="2">
        <v>3</v>
      </c>
    </row>
    <row r="55" spans="1:57" ht="0.5" customHeight="1">
      <c r="A55" s="2" t="s">
        <v>158</v>
      </c>
      <c r="B55" s="2" t="s">
        <v>506</v>
      </c>
      <c r="C55" s="2">
        <v>11.075390000000001</v>
      </c>
      <c r="D55" s="2">
        <v>9.292999</v>
      </c>
      <c r="E55" s="2">
        <v>0.7117</v>
      </c>
      <c r="F55" s="2">
        <v>2</v>
      </c>
      <c r="G55" s="2">
        <v>0</v>
      </c>
      <c r="H55" s="2">
        <v>0</v>
      </c>
      <c r="I55" s="2">
        <v>0</v>
      </c>
      <c r="J55" s="2" t="s">
        <v>545</v>
      </c>
      <c r="K55" s="2" t="s">
        <v>546</v>
      </c>
      <c r="P55" s="2" t="s">
        <v>150</v>
      </c>
      <c r="Q55" s="2" t="s">
        <v>547</v>
      </c>
      <c r="R55" s="2">
        <v>9.5083549999999999</v>
      </c>
      <c r="S55" s="2">
        <v>6.7760280000000002</v>
      </c>
      <c r="T55" s="2">
        <v>0.43972</v>
      </c>
      <c r="U55" s="2">
        <v>1</v>
      </c>
      <c r="V55" s="2" t="s">
        <v>155</v>
      </c>
      <c r="W55" s="2" t="s">
        <v>548</v>
      </c>
      <c r="X55" s="2">
        <v>9.8592180000000003</v>
      </c>
      <c r="Y55" s="2">
        <v>7.8529450000000001</v>
      </c>
      <c r="Z55" s="2">
        <v>1.1212899999999999</v>
      </c>
      <c r="AA55" s="2">
        <v>2</v>
      </c>
      <c r="AH55" s="2" t="s">
        <v>50</v>
      </c>
      <c r="AI55" s="2" t="s">
        <v>549</v>
      </c>
      <c r="AJ55" s="2">
        <v>8.4516930000000006</v>
      </c>
      <c r="AK55" s="2">
        <v>6.7614580000000002</v>
      </c>
      <c r="AL55" s="2">
        <v>1.4858</v>
      </c>
      <c r="AN55" s="2" t="s">
        <v>52</v>
      </c>
      <c r="AO55" s="2" t="s">
        <v>550</v>
      </c>
      <c r="AP55" s="2">
        <v>9.6990110000000005</v>
      </c>
      <c r="AQ55" s="2">
        <v>7.8351620000000004</v>
      </c>
      <c r="AR55" s="2">
        <v>1.5804100000000001</v>
      </c>
      <c r="AS55" s="2">
        <v>1</v>
      </c>
      <c r="AT55" s="2" t="s">
        <v>123</v>
      </c>
      <c r="AU55" s="2" t="s">
        <v>551</v>
      </c>
      <c r="AV55" s="2">
        <v>10.107189999999999</v>
      </c>
      <c r="AY55" s="2">
        <v>2</v>
      </c>
      <c r="AZ55" s="2" t="s">
        <v>82</v>
      </c>
      <c r="BA55" s="2" t="s">
        <v>552</v>
      </c>
      <c r="BB55" s="2">
        <v>10.672599999999999</v>
      </c>
      <c r="BC55" s="2">
        <v>9.4535389999999992</v>
      </c>
      <c r="BD55" s="2">
        <v>2.7438199999999999</v>
      </c>
      <c r="BE55" s="2">
        <v>3</v>
      </c>
    </row>
    <row r="56" spans="1:57" ht="0.5" customHeight="1">
      <c r="A56" s="2" t="s">
        <v>36</v>
      </c>
      <c r="B56" s="2" t="s">
        <v>509</v>
      </c>
      <c r="D56" s="2">
        <v>8.3166329999999995</v>
      </c>
      <c r="E56" s="2">
        <v>2.2192599999999998</v>
      </c>
      <c r="G56" s="2">
        <v>1</v>
      </c>
      <c r="H56" s="2">
        <v>0</v>
      </c>
      <c r="I56" s="2">
        <v>0</v>
      </c>
      <c r="J56" s="2" t="s">
        <v>553</v>
      </c>
      <c r="K56" s="2" t="s">
        <v>554</v>
      </c>
      <c r="L56" s="2">
        <v>9.9552189999999996</v>
      </c>
      <c r="M56" s="2">
        <v>7.5792840000000004</v>
      </c>
      <c r="N56" s="2">
        <v>0.93852999999999998</v>
      </c>
      <c r="P56" s="2" t="s">
        <v>153</v>
      </c>
      <c r="Q56" s="2" t="s">
        <v>555</v>
      </c>
      <c r="R56" s="2">
        <v>8.4685570000000006</v>
      </c>
      <c r="S56" s="2">
        <v>7.5645670000000003</v>
      </c>
      <c r="T56" s="2">
        <v>2.6749499999999999</v>
      </c>
      <c r="U56" s="2">
        <v>1</v>
      </c>
      <c r="V56" s="2" t="s">
        <v>98</v>
      </c>
      <c r="W56" s="2" t="s">
        <v>556</v>
      </c>
      <c r="X56" s="2">
        <v>10.12157</v>
      </c>
      <c r="AA56" s="2">
        <v>2</v>
      </c>
      <c r="AH56" s="2" t="s">
        <v>70</v>
      </c>
      <c r="AI56" s="2" t="s">
        <v>557</v>
      </c>
      <c r="AJ56" s="2">
        <v>7.4103009999999996</v>
      </c>
      <c r="AN56" s="2" t="s">
        <v>56</v>
      </c>
      <c r="AO56" s="2" t="s">
        <v>558</v>
      </c>
      <c r="AP56" s="2">
        <v>9.3458550000000002</v>
      </c>
      <c r="AQ56" s="2">
        <v>7.3551229999999999</v>
      </c>
      <c r="AR56" s="2">
        <v>1.1250500000000001</v>
      </c>
      <c r="AS56" s="2">
        <v>1</v>
      </c>
      <c r="AT56" s="2" t="s">
        <v>96</v>
      </c>
      <c r="AU56" s="2" t="s">
        <v>559</v>
      </c>
      <c r="AV56" s="2">
        <v>10.074210000000001</v>
      </c>
      <c r="AW56" s="2">
        <v>8.3977620000000002</v>
      </c>
      <c r="AX56" s="2">
        <v>1.7140200000000001</v>
      </c>
      <c r="AY56" s="2">
        <v>2</v>
      </c>
      <c r="AZ56" s="2" t="s">
        <v>120</v>
      </c>
      <c r="BA56" s="2" t="s">
        <v>560</v>
      </c>
      <c r="BB56" s="2">
        <v>10.188420000000001</v>
      </c>
      <c r="BC56" s="2">
        <v>8.809984</v>
      </c>
      <c r="BD56" s="2">
        <v>1.7088300000000001</v>
      </c>
      <c r="BE56" s="2">
        <v>3</v>
      </c>
    </row>
    <row r="57" spans="1:57" ht="0.5" customHeight="1">
      <c r="A57" s="2" t="s">
        <v>103</v>
      </c>
      <c r="B57" s="2" t="s">
        <v>538</v>
      </c>
      <c r="C57" s="2">
        <v>8.9488059999999994</v>
      </c>
      <c r="D57" s="2">
        <v>7.0987629999999999</v>
      </c>
      <c r="E57" s="2">
        <v>1.2202200000000001</v>
      </c>
      <c r="G57" s="2">
        <v>0</v>
      </c>
      <c r="H57" s="2">
        <v>0</v>
      </c>
      <c r="I57" s="2">
        <v>0</v>
      </c>
      <c r="J57" s="2" t="s">
        <v>561</v>
      </c>
      <c r="K57" s="2" t="s">
        <v>562</v>
      </c>
      <c r="L57" s="2">
        <v>9.7240680000000008</v>
      </c>
      <c r="P57" s="2" t="s">
        <v>361</v>
      </c>
      <c r="Q57" s="2" t="s">
        <v>563</v>
      </c>
      <c r="R57" s="2">
        <v>9.4166629999999998</v>
      </c>
      <c r="U57" s="2">
        <v>1</v>
      </c>
      <c r="AH57" s="2" t="s">
        <v>71</v>
      </c>
      <c r="AI57" s="2" t="s">
        <v>564</v>
      </c>
      <c r="AJ57" s="2">
        <v>9.0442330000000002</v>
      </c>
      <c r="AK57" s="2">
        <v>7.6013979999999997</v>
      </c>
      <c r="AL57" s="2">
        <v>1.89516</v>
      </c>
      <c r="AN57" s="2" t="s">
        <v>72</v>
      </c>
      <c r="AO57" s="2" t="s">
        <v>565</v>
      </c>
      <c r="AP57" s="2">
        <v>10.325390000000001</v>
      </c>
      <c r="AR57" s="2">
        <v>1.6203099999999999</v>
      </c>
      <c r="AS57" s="2">
        <v>1</v>
      </c>
      <c r="AT57" s="2" t="s">
        <v>124</v>
      </c>
      <c r="AU57" s="2" t="s">
        <v>566</v>
      </c>
      <c r="AV57" s="2">
        <v>10.627700000000001</v>
      </c>
      <c r="AW57" s="2">
        <v>8.989395</v>
      </c>
      <c r="AX57" s="2">
        <v>2.2374499999999999</v>
      </c>
      <c r="AY57" s="2">
        <v>2</v>
      </c>
      <c r="AZ57" s="2" t="s">
        <v>121</v>
      </c>
      <c r="BA57" s="2" t="s">
        <v>567</v>
      </c>
      <c r="BB57" s="2">
        <v>10.560420000000001</v>
      </c>
      <c r="BC57" s="2">
        <v>8.3748509999999996</v>
      </c>
      <c r="BD57" s="2">
        <v>1.0779700000000001</v>
      </c>
      <c r="BE57" s="2">
        <v>3</v>
      </c>
    </row>
    <row r="58" spans="1:57" ht="0.5" customHeight="1">
      <c r="A58" s="2" t="s">
        <v>545</v>
      </c>
      <c r="B58" s="2" t="s">
        <v>546</v>
      </c>
      <c r="G58" s="2">
        <v>0</v>
      </c>
      <c r="H58" s="2">
        <v>0</v>
      </c>
      <c r="I58" s="2">
        <v>0</v>
      </c>
      <c r="J58" s="2" t="s">
        <v>342</v>
      </c>
      <c r="K58" s="2" t="s">
        <v>568</v>
      </c>
      <c r="L58" s="2">
        <v>6.5991689999999998</v>
      </c>
      <c r="M58" s="2">
        <v>5.4467319999999999</v>
      </c>
      <c r="N58" s="2">
        <v>1.45208</v>
      </c>
      <c r="P58" s="2" t="s">
        <v>154</v>
      </c>
      <c r="Q58" s="2" t="s">
        <v>569</v>
      </c>
      <c r="R58" s="2">
        <v>9.584244</v>
      </c>
      <c r="U58" s="2">
        <v>1</v>
      </c>
      <c r="AH58" s="2" t="s">
        <v>53</v>
      </c>
      <c r="AI58" s="2" t="s">
        <v>570</v>
      </c>
      <c r="AJ58" s="2">
        <v>8.4569010000000002</v>
      </c>
      <c r="AK58" s="2">
        <v>5.6669159999999996</v>
      </c>
      <c r="AL58" s="2">
        <v>0.59457000000000004</v>
      </c>
      <c r="AN58" s="2" t="s">
        <v>58</v>
      </c>
      <c r="AO58" s="2" t="s">
        <v>571</v>
      </c>
      <c r="AP58" s="2">
        <v>9.8948370000000008</v>
      </c>
      <c r="AR58" s="2">
        <v>1.44486</v>
      </c>
      <c r="AS58" s="2">
        <v>1</v>
      </c>
      <c r="AT58" s="2" t="s">
        <v>126</v>
      </c>
      <c r="AU58" s="2" t="s">
        <v>572</v>
      </c>
      <c r="AV58" s="2">
        <v>10.358420000000001</v>
      </c>
      <c r="AW58" s="2">
        <v>8.5720480000000006</v>
      </c>
      <c r="AX58" s="2">
        <v>1.5070600000000001</v>
      </c>
      <c r="AY58" s="2">
        <v>2</v>
      </c>
      <c r="AZ58" s="2" t="s">
        <v>125</v>
      </c>
      <c r="BA58" s="2" t="s">
        <v>573</v>
      </c>
      <c r="BB58" s="2">
        <v>10.78692</v>
      </c>
      <c r="BC58" s="2">
        <v>9.3838819999999998</v>
      </c>
      <c r="BD58" s="2">
        <v>1.93028</v>
      </c>
      <c r="BE58" s="2">
        <v>3</v>
      </c>
    </row>
    <row r="59" spans="1:57" ht="0.5" customHeight="1">
      <c r="A59" s="2" t="s">
        <v>553</v>
      </c>
      <c r="B59" s="2" t="s">
        <v>554</v>
      </c>
      <c r="C59" s="2">
        <v>9.9552189999999996</v>
      </c>
      <c r="D59" s="2">
        <v>7.5792840000000004</v>
      </c>
      <c r="E59" s="2">
        <v>0.93852999999999998</v>
      </c>
      <c r="G59" s="2">
        <v>0</v>
      </c>
      <c r="H59" s="2">
        <v>0</v>
      </c>
      <c r="I59" s="2">
        <v>0</v>
      </c>
      <c r="J59" s="2" t="s">
        <v>574</v>
      </c>
      <c r="K59" s="2" t="s">
        <v>575</v>
      </c>
      <c r="L59" s="2">
        <v>7.5688060000000004</v>
      </c>
      <c r="M59" s="2">
        <v>5.6201600000000003</v>
      </c>
      <c r="N59" s="2">
        <v>1.15002</v>
      </c>
      <c r="P59" s="2" t="s">
        <v>111</v>
      </c>
      <c r="Q59" s="2" t="s">
        <v>576</v>
      </c>
      <c r="R59" s="2">
        <v>11.80893</v>
      </c>
      <c r="S59" s="2">
        <v>9.4108409999999996</v>
      </c>
      <c r="T59" s="2">
        <v>0.50312000000000001</v>
      </c>
      <c r="U59" s="2">
        <v>1</v>
      </c>
      <c r="AH59" s="2" t="s">
        <v>54</v>
      </c>
      <c r="AI59" s="2" t="s">
        <v>577</v>
      </c>
      <c r="AJ59" s="2">
        <v>9.9064399999999999</v>
      </c>
      <c r="AK59" s="2">
        <v>7.3594119999999998</v>
      </c>
      <c r="AL59" s="2">
        <v>0.73863000000000001</v>
      </c>
      <c r="AT59" s="2" t="s">
        <v>87</v>
      </c>
      <c r="AU59" s="2" t="s">
        <v>578</v>
      </c>
      <c r="AV59" s="2">
        <v>10.414540000000001</v>
      </c>
      <c r="AW59" s="2">
        <v>9.0006590000000006</v>
      </c>
      <c r="AX59" s="2">
        <v>1.75346</v>
      </c>
      <c r="AY59" s="2">
        <v>2</v>
      </c>
      <c r="AZ59" s="2" t="s">
        <v>86</v>
      </c>
      <c r="BA59" s="2" t="s">
        <v>579</v>
      </c>
      <c r="BB59" s="2">
        <v>10.47974</v>
      </c>
      <c r="BC59" s="2">
        <v>9.1201340000000002</v>
      </c>
      <c r="BD59" s="2">
        <v>1.42258</v>
      </c>
      <c r="BE59" s="2">
        <v>3</v>
      </c>
    </row>
    <row r="60" spans="1:57" ht="0.5" customHeight="1">
      <c r="A60" s="2" t="s">
        <v>89</v>
      </c>
      <c r="B60" s="2" t="s">
        <v>511</v>
      </c>
      <c r="C60" s="2">
        <v>10.67516</v>
      </c>
      <c r="D60" s="2">
        <v>8.8985050000000001</v>
      </c>
      <c r="E60" s="2">
        <v>1.74274</v>
      </c>
      <c r="F60" s="2">
        <v>2</v>
      </c>
      <c r="G60" s="2">
        <v>0</v>
      </c>
      <c r="H60" s="2">
        <v>1</v>
      </c>
      <c r="I60" s="2">
        <v>0</v>
      </c>
      <c r="J60" s="2" t="s">
        <v>580</v>
      </c>
      <c r="K60" s="2" t="s">
        <v>581</v>
      </c>
      <c r="L60" s="2">
        <v>7.3433270000000004</v>
      </c>
      <c r="M60" s="2">
        <v>5.5503340000000003</v>
      </c>
      <c r="N60" s="2">
        <v>0.76049</v>
      </c>
      <c r="P60" s="2" t="s">
        <v>157</v>
      </c>
      <c r="Q60" s="2" t="s">
        <v>582</v>
      </c>
      <c r="R60" s="2">
        <v>9.6142020000000006</v>
      </c>
      <c r="S60" s="2">
        <v>7.9198930000000001</v>
      </c>
      <c r="T60" s="2">
        <v>1.23007</v>
      </c>
      <c r="U60" s="2">
        <v>1</v>
      </c>
      <c r="AH60" s="2" t="s">
        <v>55</v>
      </c>
      <c r="AI60" s="2" t="s">
        <v>583</v>
      </c>
      <c r="AJ60" s="2">
        <v>9.0480129999999992</v>
      </c>
      <c r="AK60" s="2">
        <v>7.1165450000000003</v>
      </c>
      <c r="AL60" s="2">
        <v>1.6373899999999999</v>
      </c>
      <c r="AT60" s="2" t="s">
        <v>128</v>
      </c>
      <c r="AU60" s="2" t="s">
        <v>584</v>
      </c>
      <c r="AV60" s="2">
        <v>11.422650000000001</v>
      </c>
      <c r="AW60" s="2">
        <v>9.7101889999999997</v>
      </c>
      <c r="AX60" s="2">
        <v>1.50773</v>
      </c>
      <c r="AY60" s="2">
        <v>2</v>
      </c>
      <c r="AZ60" s="2" t="s">
        <v>356</v>
      </c>
      <c r="BA60" s="2" t="s">
        <v>585</v>
      </c>
      <c r="BB60" s="2">
        <v>10.42346</v>
      </c>
      <c r="BC60" s="2">
        <v>8.9370469999999997</v>
      </c>
      <c r="BD60" s="2">
        <v>1.76772</v>
      </c>
      <c r="BE60" s="2">
        <v>3</v>
      </c>
    </row>
    <row r="61" spans="1:57" ht="0.5" customHeight="1">
      <c r="A61" s="2" t="s">
        <v>94</v>
      </c>
      <c r="B61" s="2" t="s">
        <v>512</v>
      </c>
      <c r="C61" s="2">
        <v>10.689019999999999</v>
      </c>
      <c r="D61" s="2">
        <v>9.4268839999999994</v>
      </c>
      <c r="E61" s="2">
        <v>2.29305</v>
      </c>
      <c r="F61" s="2">
        <v>3</v>
      </c>
      <c r="G61" s="2">
        <v>0</v>
      </c>
      <c r="H61" s="2">
        <v>1</v>
      </c>
      <c r="I61" s="2">
        <v>0</v>
      </c>
      <c r="J61" s="2" t="s">
        <v>338</v>
      </c>
      <c r="K61" s="2" t="s">
        <v>586</v>
      </c>
      <c r="L61" s="2">
        <v>7.9993990000000004</v>
      </c>
      <c r="M61" s="2">
        <v>5.6777730000000002</v>
      </c>
      <c r="N61" s="2">
        <v>0.92656000000000005</v>
      </c>
      <c r="P61" s="2" t="s">
        <v>110</v>
      </c>
      <c r="Q61" s="2" t="s">
        <v>587</v>
      </c>
      <c r="R61" s="2">
        <v>9.2825330000000008</v>
      </c>
      <c r="U61" s="2">
        <v>1</v>
      </c>
      <c r="AH61" s="2" t="s">
        <v>46</v>
      </c>
      <c r="AI61" s="2" t="s">
        <v>588</v>
      </c>
      <c r="AJ61" s="2">
        <v>8.9779020000000003</v>
      </c>
      <c r="AK61" s="2">
        <v>6.6866779999999997</v>
      </c>
      <c r="AL61" s="2">
        <v>1.0492999999999999</v>
      </c>
      <c r="AT61" s="2" t="s">
        <v>97</v>
      </c>
      <c r="AU61" s="2" t="s">
        <v>589</v>
      </c>
      <c r="AV61" s="2">
        <v>10.000540000000001</v>
      </c>
      <c r="AW61" s="2">
        <v>8.6346849999999993</v>
      </c>
      <c r="AX61" s="2">
        <v>1.6087100000000001</v>
      </c>
      <c r="AY61" s="2">
        <v>2</v>
      </c>
      <c r="AZ61" s="2" t="s">
        <v>100</v>
      </c>
      <c r="BA61" s="2" t="s">
        <v>590</v>
      </c>
      <c r="BB61" s="2">
        <v>10.72902</v>
      </c>
      <c r="BC61" s="2">
        <v>9.3416040000000002</v>
      </c>
      <c r="BD61" s="2">
        <v>2.2823099999999998</v>
      </c>
      <c r="BE61" s="2">
        <v>3</v>
      </c>
    </row>
    <row r="62" spans="1:57" ht="0.5" customHeight="1">
      <c r="A62" s="2" t="s">
        <v>561</v>
      </c>
      <c r="B62" s="2" t="s">
        <v>562</v>
      </c>
      <c r="C62" s="2">
        <v>9.7240680000000008</v>
      </c>
      <c r="G62" s="2">
        <v>0</v>
      </c>
      <c r="H62" s="2">
        <v>0</v>
      </c>
      <c r="I62" s="2">
        <v>0</v>
      </c>
      <c r="J62" s="2" t="s">
        <v>337</v>
      </c>
      <c r="K62" s="2" t="s">
        <v>591</v>
      </c>
      <c r="L62" s="2">
        <v>10.6784</v>
      </c>
      <c r="AH62" s="2" t="s">
        <v>274</v>
      </c>
      <c r="AI62" s="2" t="s">
        <v>592</v>
      </c>
      <c r="AJ62" s="2">
        <v>9.7273060000000005</v>
      </c>
      <c r="AK62" s="2">
        <v>7.9163160000000001</v>
      </c>
      <c r="AL62" s="2">
        <v>1.3086100000000001</v>
      </c>
      <c r="AT62" s="2" t="s">
        <v>130</v>
      </c>
      <c r="AU62" s="2" t="s">
        <v>593</v>
      </c>
      <c r="AV62" s="2">
        <v>10.172549999999999</v>
      </c>
      <c r="AW62" s="2">
        <v>9.0790679999999995</v>
      </c>
      <c r="AX62" s="2">
        <v>2.2385600000000001</v>
      </c>
      <c r="AY62" s="2">
        <v>2</v>
      </c>
      <c r="AZ62" s="2" t="s">
        <v>92</v>
      </c>
      <c r="BA62" s="2" t="s">
        <v>594</v>
      </c>
      <c r="BB62" s="2">
        <v>11.06916</v>
      </c>
      <c r="BC62" s="2">
        <v>9.6913459999999993</v>
      </c>
      <c r="BD62" s="2">
        <v>2.2750599999999999</v>
      </c>
      <c r="BE62" s="2">
        <v>3</v>
      </c>
    </row>
    <row r="63" spans="1:57" ht="0.5" customHeight="1">
      <c r="A63" s="2" t="s">
        <v>342</v>
      </c>
      <c r="B63" s="2" t="s">
        <v>568</v>
      </c>
      <c r="C63" s="2">
        <v>6.5991689999999998</v>
      </c>
      <c r="D63" s="2">
        <v>5.4467319999999999</v>
      </c>
      <c r="E63" s="2">
        <v>1.45208</v>
      </c>
      <c r="G63" s="2">
        <v>0</v>
      </c>
      <c r="H63" s="2">
        <v>0</v>
      </c>
      <c r="I63" s="2">
        <v>0</v>
      </c>
      <c r="J63" s="2" t="s">
        <v>595</v>
      </c>
      <c r="K63" s="2" t="s">
        <v>596</v>
      </c>
      <c r="L63" s="2">
        <v>10.01731</v>
      </c>
      <c r="AT63" s="2" t="s">
        <v>91</v>
      </c>
      <c r="AU63" s="2" t="s">
        <v>597</v>
      </c>
      <c r="AV63" s="2">
        <v>10.183759999999999</v>
      </c>
      <c r="AW63" s="2">
        <v>8.5641700000000007</v>
      </c>
      <c r="AX63" s="2">
        <v>1.7536799999999999</v>
      </c>
      <c r="AY63" s="2">
        <v>2</v>
      </c>
      <c r="AZ63" s="2" t="s">
        <v>99</v>
      </c>
      <c r="BA63" s="2" t="s">
        <v>598</v>
      </c>
      <c r="BB63" s="2">
        <v>10.44181</v>
      </c>
      <c r="BC63" s="2">
        <v>8.9661880000000007</v>
      </c>
      <c r="BD63" s="2">
        <v>2.46766</v>
      </c>
      <c r="BE63" s="2">
        <v>3</v>
      </c>
    </row>
    <row r="64" spans="1:57" ht="0.5" customHeight="1">
      <c r="A64" s="2" t="s">
        <v>118</v>
      </c>
      <c r="B64" s="2" t="s">
        <v>521</v>
      </c>
      <c r="C64" s="2">
        <v>10.61589</v>
      </c>
      <c r="D64" s="2">
        <v>9.6778169999999992</v>
      </c>
      <c r="E64" s="2">
        <v>2.7552500000000002</v>
      </c>
      <c r="F64" s="2">
        <v>3</v>
      </c>
      <c r="G64" s="2">
        <v>0</v>
      </c>
      <c r="H64" s="2">
        <v>1</v>
      </c>
      <c r="I64" s="2">
        <v>0</v>
      </c>
      <c r="J64" s="2" t="s">
        <v>599</v>
      </c>
      <c r="K64" s="2" t="s">
        <v>600</v>
      </c>
      <c r="L64" s="2">
        <v>9.1797339999999998</v>
      </c>
      <c r="AT64" s="2" t="s">
        <v>88</v>
      </c>
      <c r="AU64" s="2" t="s">
        <v>601</v>
      </c>
      <c r="AV64" s="2">
        <v>10.691409999999999</v>
      </c>
      <c r="AW64" s="2">
        <v>9.3044790000000006</v>
      </c>
      <c r="AX64" s="2">
        <v>2.15273</v>
      </c>
      <c r="AY64" s="2">
        <v>2</v>
      </c>
      <c r="AZ64" s="2" t="s">
        <v>129</v>
      </c>
      <c r="BA64" s="2" t="s">
        <v>602</v>
      </c>
      <c r="BB64" s="2">
        <v>10.083880000000001</v>
      </c>
      <c r="BC64" s="2">
        <v>8.6233889999999995</v>
      </c>
      <c r="BD64" s="2">
        <v>1.6342300000000001</v>
      </c>
      <c r="BE64" s="2">
        <v>3</v>
      </c>
    </row>
    <row r="65" spans="1:57" ht="0.5" customHeight="1">
      <c r="A65" s="2" t="s">
        <v>574</v>
      </c>
      <c r="B65" s="2" t="s">
        <v>575</v>
      </c>
      <c r="C65" s="2">
        <v>7.5688060000000004</v>
      </c>
      <c r="D65" s="2">
        <v>5.6201600000000003</v>
      </c>
      <c r="E65" s="2">
        <v>1.15002</v>
      </c>
      <c r="G65" s="2">
        <v>0</v>
      </c>
      <c r="H65" s="2">
        <v>0</v>
      </c>
      <c r="I65" s="2">
        <v>0</v>
      </c>
      <c r="J65" s="2" t="s">
        <v>339</v>
      </c>
      <c r="K65" s="2" t="s">
        <v>603</v>
      </c>
      <c r="L65" s="2">
        <v>9.7612349999999992</v>
      </c>
      <c r="AT65" s="2" t="s">
        <v>90</v>
      </c>
      <c r="AU65" s="2" t="s">
        <v>22</v>
      </c>
      <c r="AV65" s="2">
        <v>10.85338</v>
      </c>
      <c r="AW65" s="2">
        <v>9.3376160000000006</v>
      </c>
      <c r="AX65" s="2">
        <v>1.7654799999999999</v>
      </c>
      <c r="AY65" s="2">
        <v>2</v>
      </c>
      <c r="AZ65" s="2" t="s">
        <v>80</v>
      </c>
      <c r="BA65" s="2" t="s">
        <v>604</v>
      </c>
      <c r="BB65" s="2">
        <v>10.24553</v>
      </c>
      <c r="BC65" s="2">
        <v>9.0804410000000004</v>
      </c>
      <c r="BD65" s="2">
        <v>2.0233300000000001</v>
      </c>
      <c r="BE65" s="2">
        <v>3</v>
      </c>
    </row>
    <row r="66" spans="1:57" ht="0.5" customHeight="1">
      <c r="A66" s="2" t="s">
        <v>580</v>
      </c>
      <c r="B66" s="2" t="s">
        <v>581</v>
      </c>
      <c r="C66" s="2">
        <v>7.3433270000000004</v>
      </c>
      <c r="D66" s="2">
        <v>5.5503340000000003</v>
      </c>
      <c r="E66" s="2">
        <v>0.76049</v>
      </c>
      <c r="G66" s="2">
        <v>0</v>
      </c>
      <c r="H66" s="2">
        <v>0</v>
      </c>
      <c r="I66" s="2">
        <v>0</v>
      </c>
      <c r="J66" s="2" t="s">
        <v>67</v>
      </c>
      <c r="K66" s="2" t="s">
        <v>605</v>
      </c>
      <c r="L66" s="2">
        <v>8.9926200000000005</v>
      </c>
      <c r="M66" s="2">
        <v>7.4744820000000001</v>
      </c>
      <c r="N66" s="2">
        <v>2.3711899999999999</v>
      </c>
    </row>
    <row r="67" spans="1:57" ht="0.5" customHeight="1">
      <c r="A67" s="2" t="s">
        <v>338</v>
      </c>
      <c r="B67" s="2" t="s">
        <v>586</v>
      </c>
      <c r="C67" s="2">
        <v>7.9993990000000004</v>
      </c>
      <c r="D67" s="2">
        <v>5.6777730000000002</v>
      </c>
      <c r="E67" s="2">
        <v>0.92656000000000005</v>
      </c>
      <c r="G67" s="2">
        <v>0</v>
      </c>
      <c r="H67" s="2">
        <v>0</v>
      </c>
      <c r="I67" s="2">
        <v>0</v>
      </c>
      <c r="J67" s="2" t="s">
        <v>606</v>
      </c>
      <c r="K67" s="2" t="s">
        <v>607</v>
      </c>
      <c r="L67" s="2">
        <v>10.833080000000001</v>
      </c>
      <c r="M67" s="2">
        <v>8.7903839999999995</v>
      </c>
      <c r="N67" s="2">
        <v>0.79039000000000004</v>
      </c>
    </row>
    <row r="68" spans="1:57" ht="0.5" customHeight="1">
      <c r="A68" s="2" t="s">
        <v>141</v>
      </c>
      <c r="B68" s="2" t="s">
        <v>516</v>
      </c>
      <c r="C68" s="2">
        <v>9.7027809999999999</v>
      </c>
      <c r="D68" s="2">
        <v>8.0691400000000009</v>
      </c>
      <c r="E68" s="2">
        <v>1.37968</v>
      </c>
      <c r="F68" s="2">
        <v>2</v>
      </c>
      <c r="G68" s="2">
        <v>0</v>
      </c>
      <c r="H68" s="2">
        <v>0</v>
      </c>
      <c r="I68" s="2">
        <v>0</v>
      </c>
      <c r="J68" s="2" t="s">
        <v>66</v>
      </c>
      <c r="K68" s="2" t="s">
        <v>608</v>
      </c>
      <c r="L68" s="2">
        <v>9.6368829999999992</v>
      </c>
      <c r="M68" s="2">
        <v>8.0949969999999993</v>
      </c>
      <c r="N68" s="2">
        <v>1.5085500000000001</v>
      </c>
    </row>
    <row r="69" spans="1:57" ht="0.5" customHeight="1">
      <c r="A69" s="2" t="s">
        <v>337</v>
      </c>
      <c r="B69" s="2" t="s">
        <v>591</v>
      </c>
      <c r="C69" s="2">
        <v>10.6784</v>
      </c>
      <c r="G69" s="2">
        <v>0</v>
      </c>
      <c r="H69" s="2">
        <v>0</v>
      </c>
      <c r="I69" s="2">
        <v>0</v>
      </c>
      <c r="J69" s="2" t="s">
        <v>341</v>
      </c>
      <c r="K69" s="2" t="s">
        <v>609</v>
      </c>
      <c r="L69" s="2">
        <v>11.125970000000001</v>
      </c>
      <c r="M69" s="2">
        <v>9.0411859999999997</v>
      </c>
      <c r="N69" s="2">
        <v>1.4568700000000001</v>
      </c>
    </row>
    <row r="70" spans="1:57" ht="0.5" customHeight="1">
      <c r="A70" s="2" t="s">
        <v>595</v>
      </c>
      <c r="B70" s="2" t="s">
        <v>596</v>
      </c>
      <c r="C70" s="2">
        <v>10.01731</v>
      </c>
      <c r="G70" s="2">
        <v>0</v>
      </c>
      <c r="H70" s="2">
        <v>0</v>
      </c>
      <c r="I70" s="2">
        <v>0</v>
      </c>
      <c r="J70" s="2" t="s">
        <v>610</v>
      </c>
      <c r="K70" s="2" t="s">
        <v>611</v>
      </c>
      <c r="L70" s="2">
        <v>8.916817</v>
      </c>
      <c r="M70" s="2">
        <v>7.8900499999999996</v>
      </c>
      <c r="N70" s="2">
        <v>3.2868400000000002</v>
      </c>
    </row>
    <row r="71" spans="1:57" ht="0.5" customHeight="1">
      <c r="A71" s="2" t="s">
        <v>599</v>
      </c>
      <c r="B71" s="2" t="s">
        <v>600</v>
      </c>
      <c r="C71" s="2">
        <v>9.1797339999999998</v>
      </c>
      <c r="G71" s="2">
        <v>0</v>
      </c>
      <c r="H71" s="2">
        <v>0</v>
      </c>
      <c r="I71" s="2">
        <v>0</v>
      </c>
      <c r="J71" s="2" t="s">
        <v>340</v>
      </c>
      <c r="K71" s="2" t="s">
        <v>612</v>
      </c>
      <c r="L71" s="2">
        <v>9.6290630000000004</v>
      </c>
      <c r="N71" s="2">
        <v>3.1495299999999999</v>
      </c>
    </row>
    <row r="72" spans="1:57" ht="0.5" customHeight="1">
      <c r="A72" s="2" t="s">
        <v>339</v>
      </c>
      <c r="B72" s="2" t="s">
        <v>603</v>
      </c>
      <c r="C72" s="2">
        <v>9.7612349999999992</v>
      </c>
      <c r="G72" s="2">
        <v>0</v>
      </c>
      <c r="H72" s="2">
        <v>0</v>
      </c>
      <c r="I72" s="2">
        <v>0</v>
      </c>
      <c r="J72" s="2" t="s">
        <v>613</v>
      </c>
      <c r="K72" s="2" t="s">
        <v>614</v>
      </c>
      <c r="L72" s="2">
        <v>6.2982089999999999</v>
      </c>
      <c r="M72" s="2">
        <v>4.912801</v>
      </c>
      <c r="N72" s="2">
        <v>0.28903000000000001</v>
      </c>
    </row>
    <row r="73" spans="1:57" ht="0.5" customHeight="1">
      <c r="A73" s="2" t="s">
        <v>67</v>
      </c>
      <c r="B73" s="2" t="s">
        <v>605</v>
      </c>
      <c r="C73" s="2">
        <v>8.9926200000000005</v>
      </c>
      <c r="D73" s="2">
        <v>7.4744820000000001</v>
      </c>
      <c r="E73" s="2">
        <v>2.3711899999999999</v>
      </c>
      <c r="G73" s="2">
        <v>0</v>
      </c>
      <c r="H73" s="2">
        <v>0</v>
      </c>
      <c r="I73" s="2">
        <v>0</v>
      </c>
      <c r="J73" s="2" t="s">
        <v>615</v>
      </c>
      <c r="K73" s="2" t="s">
        <v>616</v>
      </c>
    </row>
    <row r="74" spans="1:57" ht="0.5" customHeight="1">
      <c r="A74" s="2" t="s">
        <v>606</v>
      </c>
      <c r="B74" s="2" t="s">
        <v>607</v>
      </c>
      <c r="C74" s="2">
        <v>10.833080000000001</v>
      </c>
      <c r="D74" s="2">
        <v>8.7903839999999995</v>
      </c>
      <c r="E74" s="2">
        <v>0.79039000000000004</v>
      </c>
      <c r="G74" s="2">
        <v>0</v>
      </c>
      <c r="H74" s="2">
        <v>0</v>
      </c>
      <c r="I74" s="2">
        <v>0</v>
      </c>
      <c r="J74" s="2" t="s">
        <v>345</v>
      </c>
      <c r="K74" s="2" t="s">
        <v>617</v>
      </c>
      <c r="L74" s="2">
        <v>9.4413870000000006</v>
      </c>
    </row>
    <row r="75" spans="1:57" ht="0.5" customHeight="1">
      <c r="A75" s="2" t="s">
        <v>39</v>
      </c>
      <c r="B75" s="2" t="s">
        <v>518</v>
      </c>
      <c r="C75" s="2">
        <v>8.7522640000000003</v>
      </c>
      <c r="D75" s="2">
        <v>7.111675</v>
      </c>
      <c r="E75" s="2">
        <v>2.6475399999999998</v>
      </c>
      <c r="G75" s="2">
        <v>1</v>
      </c>
      <c r="H75" s="2">
        <v>0</v>
      </c>
      <c r="I75" s="2">
        <v>0</v>
      </c>
      <c r="J75" s="2" t="s">
        <v>346</v>
      </c>
      <c r="K75" s="2" t="s">
        <v>618</v>
      </c>
      <c r="L75" s="2">
        <v>8.0418719999999997</v>
      </c>
      <c r="M75" s="2">
        <v>6.7947600000000001</v>
      </c>
      <c r="N75" s="2">
        <v>1.7547600000000001</v>
      </c>
    </row>
    <row r="76" spans="1:57" ht="0.5" customHeight="1">
      <c r="A76" s="2" t="s">
        <v>40</v>
      </c>
      <c r="B76" s="2" t="s">
        <v>510</v>
      </c>
      <c r="C76" s="2">
        <v>9.6265750000000008</v>
      </c>
      <c r="D76" s="2">
        <v>8.1645129999999995</v>
      </c>
      <c r="E76" s="2">
        <v>2.6388799999999999</v>
      </c>
      <c r="F76" s="2">
        <v>1</v>
      </c>
      <c r="G76" s="2">
        <v>1</v>
      </c>
      <c r="H76" s="2">
        <v>0</v>
      </c>
      <c r="I76" s="2">
        <v>0</v>
      </c>
      <c r="J76" s="2" t="s">
        <v>344</v>
      </c>
      <c r="K76" s="2" t="s">
        <v>619</v>
      </c>
      <c r="L76" s="2">
        <v>7.9499969999999998</v>
      </c>
      <c r="M76" s="2">
        <v>6.2816450000000001</v>
      </c>
      <c r="N76" s="2">
        <v>1.5584100000000001</v>
      </c>
    </row>
    <row r="77" spans="1:57" ht="0.5" customHeight="1">
      <c r="A77" s="2" t="s">
        <v>66</v>
      </c>
      <c r="B77" s="2" t="s">
        <v>608</v>
      </c>
      <c r="C77" s="2">
        <v>9.6368829999999992</v>
      </c>
      <c r="D77" s="2">
        <v>8.0949969999999993</v>
      </c>
      <c r="E77" s="2">
        <v>1.5085500000000001</v>
      </c>
      <c r="G77" s="2">
        <v>0</v>
      </c>
      <c r="H77" s="2">
        <v>0</v>
      </c>
      <c r="I77" s="2">
        <v>0</v>
      </c>
      <c r="J77" s="2" t="s">
        <v>620</v>
      </c>
      <c r="K77" s="2" t="s">
        <v>621</v>
      </c>
      <c r="L77" s="2">
        <v>8.6975390000000008</v>
      </c>
      <c r="N77" s="2">
        <v>3.31765</v>
      </c>
    </row>
    <row r="78" spans="1:57" ht="0.5" customHeight="1">
      <c r="A78" s="2" t="s">
        <v>341</v>
      </c>
      <c r="B78" s="2" t="s">
        <v>609</v>
      </c>
      <c r="C78" s="2">
        <v>11.125970000000001</v>
      </c>
      <c r="D78" s="2">
        <v>9.0411859999999997</v>
      </c>
      <c r="E78" s="2">
        <v>1.4568700000000001</v>
      </c>
      <c r="G78" s="2">
        <v>0</v>
      </c>
      <c r="H78" s="2">
        <v>0</v>
      </c>
      <c r="I78" s="2">
        <v>0</v>
      </c>
      <c r="J78" s="2" t="s">
        <v>622</v>
      </c>
      <c r="K78" s="2" t="s">
        <v>623</v>
      </c>
      <c r="L78" s="2">
        <v>7.2178560000000003</v>
      </c>
      <c r="N78" s="2">
        <v>1.41134</v>
      </c>
    </row>
    <row r="79" spans="1:57" ht="0.5" customHeight="1">
      <c r="A79" s="2" t="s">
        <v>610</v>
      </c>
      <c r="B79" s="2" t="s">
        <v>611</v>
      </c>
      <c r="C79" s="2">
        <v>8.916817</v>
      </c>
      <c r="D79" s="2">
        <v>7.8900499999999996</v>
      </c>
      <c r="E79" s="2">
        <v>3.2868400000000002</v>
      </c>
      <c r="G79" s="2">
        <v>0</v>
      </c>
      <c r="H79" s="2">
        <v>0</v>
      </c>
      <c r="I79" s="2">
        <v>0</v>
      </c>
      <c r="J79" s="2" t="s">
        <v>624</v>
      </c>
      <c r="K79" s="2" t="s">
        <v>625</v>
      </c>
      <c r="L79" s="2">
        <v>8.7354900000000004</v>
      </c>
      <c r="M79" s="2">
        <v>6.952915</v>
      </c>
      <c r="N79" s="2">
        <v>2.0289100000000002</v>
      </c>
    </row>
    <row r="80" spans="1:57" ht="0.5" customHeight="1">
      <c r="A80" s="2" t="s">
        <v>340</v>
      </c>
      <c r="B80" s="2" t="s">
        <v>612</v>
      </c>
      <c r="C80" s="2">
        <v>9.6290630000000004</v>
      </c>
      <c r="E80" s="2">
        <v>3.1495299999999999</v>
      </c>
      <c r="G80" s="2">
        <v>0</v>
      </c>
      <c r="H80" s="2">
        <v>0</v>
      </c>
      <c r="I80" s="2">
        <v>0</v>
      </c>
      <c r="J80" s="2" t="s">
        <v>68</v>
      </c>
      <c r="K80" s="2" t="s">
        <v>626</v>
      </c>
      <c r="L80" s="2">
        <v>9.9009979999999995</v>
      </c>
      <c r="M80" s="2">
        <v>9.1521270000000001</v>
      </c>
      <c r="N80" s="2">
        <v>3.73665</v>
      </c>
    </row>
    <row r="81" spans="1:14" ht="0.5" customHeight="1">
      <c r="A81" s="2" t="s">
        <v>613</v>
      </c>
      <c r="B81" s="2" t="s">
        <v>614</v>
      </c>
      <c r="C81" s="2">
        <v>6.2982089999999999</v>
      </c>
      <c r="D81" s="2">
        <v>4.912801</v>
      </c>
      <c r="E81" s="2">
        <v>0.28903000000000001</v>
      </c>
      <c r="G81" s="2">
        <v>0</v>
      </c>
      <c r="H81" s="2">
        <v>0</v>
      </c>
      <c r="I81" s="2">
        <v>0</v>
      </c>
      <c r="J81" s="2" t="s">
        <v>627</v>
      </c>
      <c r="K81" s="2" t="s">
        <v>628</v>
      </c>
      <c r="N81" s="2">
        <v>1.6726700000000001</v>
      </c>
    </row>
    <row r="82" spans="1:14" ht="0.5" customHeight="1">
      <c r="A82" s="2" t="s">
        <v>119</v>
      </c>
      <c r="B82" s="2" t="s">
        <v>530</v>
      </c>
      <c r="C82" s="2">
        <v>10.66432</v>
      </c>
      <c r="D82" s="2">
        <v>8.9009549999999997</v>
      </c>
      <c r="E82" s="2">
        <v>1.39215</v>
      </c>
      <c r="F82" s="2">
        <v>3</v>
      </c>
      <c r="G82" s="2">
        <v>0</v>
      </c>
      <c r="H82" s="2">
        <v>1</v>
      </c>
      <c r="I82" s="2">
        <v>0</v>
      </c>
      <c r="J82" s="2" t="s">
        <v>629</v>
      </c>
      <c r="K82" s="2" t="s">
        <v>630</v>
      </c>
      <c r="L82" s="2">
        <v>10.817819999999999</v>
      </c>
    </row>
    <row r="83" spans="1:14" ht="0.5" customHeight="1">
      <c r="A83" s="2" t="s">
        <v>132</v>
      </c>
      <c r="B83" s="2" t="s">
        <v>537</v>
      </c>
      <c r="C83" s="2">
        <v>10.92</v>
      </c>
      <c r="D83" s="2">
        <v>9.5865969999999994</v>
      </c>
      <c r="E83" s="2">
        <v>1.97695</v>
      </c>
      <c r="F83" s="2">
        <v>3</v>
      </c>
      <c r="G83" s="2">
        <v>0</v>
      </c>
      <c r="H83" s="2">
        <v>1</v>
      </c>
      <c r="I83" s="2">
        <v>0</v>
      </c>
      <c r="J83" s="2" t="s">
        <v>347</v>
      </c>
      <c r="K83" s="2" t="s">
        <v>631</v>
      </c>
      <c r="L83" s="2">
        <v>10.29055</v>
      </c>
      <c r="M83" s="2">
        <v>9.4439539999999997</v>
      </c>
      <c r="N83" s="2">
        <v>2.8307799999999999</v>
      </c>
    </row>
    <row r="84" spans="1:14" ht="0.5" customHeight="1">
      <c r="A84" s="2" t="s">
        <v>615</v>
      </c>
      <c r="B84" s="2" t="s">
        <v>616</v>
      </c>
      <c r="G84" s="2">
        <v>0</v>
      </c>
      <c r="H84" s="2">
        <v>0</v>
      </c>
      <c r="I84" s="2">
        <v>0</v>
      </c>
      <c r="J84" s="2" t="s">
        <v>632</v>
      </c>
      <c r="K84" s="2" t="s">
        <v>633</v>
      </c>
      <c r="L84" s="2">
        <v>8.0456029999999998</v>
      </c>
      <c r="N84" s="2">
        <v>1.6740699999999999</v>
      </c>
    </row>
    <row r="85" spans="1:14" ht="0.5" customHeight="1">
      <c r="A85" s="2" t="s">
        <v>41</v>
      </c>
      <c r="B85" s="2" t="s">
        <v>519</v>
      </c>
      <c r="C85" s="2">
        <v>9.9953090000000007</v>
      </c>
      <c r="D85" s="2">
        <v>8.107837</v>
      </c>
      <c r="E85" s="2">
        <v>1.3513599999999999</v>
      </c>
      <c r="F85" s="2">
        <v>1</v>
      </c>
      <c r="G85" s="2">
        <v>1</v>
      </c>
      <c r="H85" s="2">
        <v>0</v>
      </c>
      <c r="I85" s="2">
        <v>0</v>
      </c>
      <c r="J85" s="2" t="s">
        <v>634</v>
      </c>
      <c r="K85" s="2" t="s">
        <v>635</v>
      </c>
      <c r="L85" s="2">
        <v>9.2473679999999998</v>
      </c>
      <c r="M85" s="2">
        <v>7.3143190000000002</v>
      </c>
      <c r="N85" s="2">
        <v>5.0516800000000002</v>
      </c>
    </row>
    <row r="86" spans="1:14" ht="0.5" customHeight="1">
      <c r="A86" s="2" t="s">
        <v>345</v>
      </c>
      <c r="B86" s="2" t="s">
        <v>617</v>
      </c>
      <c r="C86" s="2">
        <v>9.4413870000000006</v>
      </c>
      <c r="G86" s="2">
        <v>0</v>
      </c>
      <c r="H86" s="2">
        <v>0</v>
      </c>
      <c r="I86" s="2">
        <v>0</v>
      </c>
      <c r="J86" s="2" t="s">
        <v>348</v>
      </c>
      <c r="K86" s="2" t="s">
        <v>636</v>
      </c>
      <c r="L86" s="2">
        <v>9.2151859999999992</v>
      </c>
    </row>
    <row r="87" spans="1:14" ht="0.5" customHeight="1">
      <c r="A87" s="2" t="s">
        <v>346</v>
      </c>
      <c r="B87" s="2" t="s">
        <v>618</v>
      </c>
      <c r="C87" s="2">
        <v>8.0418719999999997</v>
      </c>
      <c r="D87" s="2">
        <v>6.7947600000000001</v>
      </c>
      <c r="E87" s="2">
        <v>1.7547600000000001</v>
      </c>
      <c r="G87" s="2">
        <v>0</v>
      </c>
      <c r="H87" s="2">
        <v>0</v>
      </c>
      <c r="I87" s="2">
        <v>0</v>
      </c>
      <c r="J87" s="2" t="s">
        <v>637</v>
      </c>
      <c r="K87" s="2" t="s">
        <v>638</v>
      </c>
      <c r="L87" s="2">
        <v>7.2521659999999999</v>
      </c>
    </row>
    <row r="88" spans="1:14" ht="0.5" customHeight="1">
      <c r="A88" s="2" t="s">
        <v>344</v>
      </c>
      <c r="B88" s="2" t="s">
        <v>619</v>
      </c>
      <c r="C88" s="2">
        <v>7.9499969999999998</v>
      </c>
      <c r="D88" s="2">
        <v>6.2816450000000001</v>
      </c>
      <c r="E88" s="2">
        <v>1.5584100000000001</v>
      </c>
      <c r="G88" s="2">
        <v>0</v>
      </c>
      <c r="H88" s="2">
        <v>0</v>
      </c>
      <c r="I88" s="2">
        <v>0</v>
      </c>
      <c r="J88" s="2" t="s">
        <v>349</v>
      </c>
      <c r="K88" s="2" t="s">
        <v>639</v>
      </c>
      <c r="L88" s="2">
        <v>7.2659909999999996</v>
      </c>
      <c r="M88" s="2">
        <v>5.7410439999999996</v>
      </c>
      <c r="N88" s="2">
        <v>1.3184100000000001</v>
      </c>
    </row>
    <row r="89" spans="1:14" ht="0.5" customHeight="1">
      <c r="A89" s="2" t="s">
        <v>620</v>
      </c>
      <c r="B89" s="2" t="s">
        <v>621</v>
      </c>
      <c r="C89" s="2">
        <v>8.6975390000000008</v>
      </c>
      <c r="E89" s="2">
        <v>3.31765</v>
      </c>
      <c r="G89" s="2">
        <v>0</v>
      </c>
      <c r="H89" s="2">
        <v>0</v>
      </c>
      <c r="I89" s="2">
        <v>0</v>
      </c>
      <c r="J89" s="2" t="s">
        <v>640</v>
      </c>
      <c r="K89" s="2" t="s">
        <v>641</v>
      </c>
      <c r="L89" s="2">
        <v>9.0345840000000006</v>
      </c>
      <c r="M89" s="2">
        <v>6.059488</v>
      </c>
      <c r="N89" s="2">
        <v>0.66537999999999997</v>
      </c>
    </row>
    <row r="90" spans="1:14" ht="0.5" customHeight="1">
      <c r="A90" s="2" t="s">
        <v>42</v>
      </c>
      <c r="B90" s="2" t="s">
        <v>528</v>
      </c>
      <c r="C90" s="2">
        <v>9.4505490000000005</v>
      </c>
      <c r="D90" s="2">
        <v>7.7474509999999999</v>
      </c>
      <c r="E90" s="2">
        <v>1.75136</v>
      </c>
      <c r="F90" s="2">
        <v>1</v>
      </c>
      <c r="G90" s="2">
        <v>1</v>
      </c>
      <c r="H90" s="2">
        <v>0</v>
      </c>
      <c r="I90" s="2">
        <v>0</v>
      </c>
      <c r="J90" s="2" t="s">
        <v>642</v>
      </c>
      <c r="K90" s="2" t="s">
        <v>643</v>
      </c>
    </row>
    <row r="91" spans="1:14" ht="0.5" customHeight="1">
      <c r="A91" s="2" t="s">
        <v>622</v>
      </c>
      <c r="B91" s="2" t="s">
        <v>623</v>
      </c>
      <c r="C91" s="2">
        <v>7.2178560000000003</v>
      </c>
      <c r="E91" s="2">
        <v>1.41134</v>
      </c>
      <c r="G91" s="2">
        <v>0</v>
      </c>
      <c r="H91" s="2">
        <v>0</v>
      </c>
      <c r="I91" s="2">
        <v>0</v>
      </c>
      <c r="J91" s="2" t="s">
        <v>644</v>
      </c>
      <c r="K91" s="2" t="s">
        <v>645</v>
      </c>
      <c r="L91" s="2">
        <v>8.0638159999999992</v>
      </c>
    </row>
    <row r="92" spans="1:14" ht="0.5" customHeight="1">
      <c r="A92" s="2" t="s">
        <v>624</v>
      </c>
      <c r="B92" s="2" t="s">
        <v>625</v>
      </c>
      <c r="C92" s="2">
        <v>8.7354900000000004</v>
      </c>
      <c r="D92" s="2">
        <v>6.952915</v>
      </c>
      <c r="E92" s="2">
        <v>2.0289100000000002</v>
      </c>
      <c r="G92" s="2">
        <v>0</v>
      </c>
      <c r="H92" s="2">
        <v>0</v>
      </c>
      <c r="I92" s="2">
        <v>0</v>
      </c>
      <c r="J92" s="2" t="s">
        <v>350</v>
      </c>
      <c r="K92" s="2" t="s">
        <v>646</v>
      </c>
      <c r="L92" s="2">
        <v>9.8275120000000005</v>
      </c>
    </row>
    <row r="93" spans="1:14" ht="0.5" customHeight="1">
      <c r="A93" s="2" t="s">
        <v>43</v>
      </c>
      <c r="B93" s="2" t="s">
        <v>535</v>
      </c>
      <c r="C93" s="2">
        <v>9.5632610000000007</v>
      </c>
      <c r="D93" s="2">
        <v>8.1931969999999996</v>
      </c>
      <c r="E93" s="2">
        <v>2.3449800000000001</v>
      </c>
      <c r="F93" s="2">
        <v>1</v>
      </c>
      <c r="G93" s="2">
        <v>1</v>
      </c>
      <c r="H93" s="2">
        <v>0</v>
      </c>
      <c r="I93" s="2">
        <v>0</v>
      </c>
      <c r="J93" s="2" t="s">
        <v>352</v>
      </c>
      <c r="K93" s="2" t="s">
        <v>647</v>
      </c>
      <c r="L93" s="2">
        <v>8.2671930000000007</v>
      </c>
      <c r="M93" s="2">
        <v>7.1589510000000001</v>
      </c>
      <c r="N93" s="2">
        <v>2.9235099999999998</v>
      </c>
    </row>
    <row r="94" spans="1:14" ht="0.5" customHeight="1">
      <c r="A94" s="2" t="s">
        <v>68</v>
      </c>
      <c r="B94" s="2" t="s">
        <v>626</v>
      </c>
      <c r="C94" s="2">
        <v>9.9009979999999995</v>
      </c>
      <c r="D94" s="2">
        <v>9.1521270000000001</v>
      </c>
      <c r="E94" s="2">
        <v>3.73665</v>
      </c>
      <c r="G94" s="2">
        <v>0</v>
      </c>
      <c r="H94" s="2">
        <v>0</v>
      </c>
      <c r="I94" s="2">
        <v>0</v>
      </c>
      <c r="J94" s="2" t="s">
        <v>648</v>
      </c>
      <c r="K94" s="2" t="s">
        <v>649</v>
      </c>
    </row>
    <row r="95" spans="1:14" ht="0.5" customHeight="1">
      <c r="A95" s="2" t="s">
        <v>627</v>
      </c>
      <c r="B95" s="2" t="s">
        <v>628</v>
      </c>
      <c r="E95" s="2">
        <v>1.6726700000000001</v>
      </c>
      <c r="G95" s="2">
        <v>0</v>
      </c>
      <c r="H95" s="2">
        <v>0</v>
      </c>
      <c r="I95" s="2">
        <v>0</v>
      </c>
      <c r="J95" s="2" t="s">
        <v>650</v>
      </c>
      <c r="K95" s="2" t="s">
        <v>651</v>
      </c>
      <c r="L95" s="2">
        <v>7.0605880000000001</v>
      </c>
      <c r="M95" s="2">
        <v>4.8076999999999996</v>
      </c>
      <c r="N95" s="2">
        <v>0.89056000000000002</v>
      </c>
    </row>
    <row r="96" spans="1:14" ht="0.5" customHeight="1">
      <c r="A96" s="2" t="s">
        <v>629</v>
      </c>
      <c r="B96" s="2" t="s">
        <v>630</v>
      </c>
      <c r="C96" s="2">
        <v>10.817819999999999</v>
      </c>
      <c r="G96" s="2">
        <v>0</v>
      </c>
      <c r="H96" s="2">
        <v>0</v>
      </c>
      <c r="I96" s="2">
        <v>0</v>
      </c>
      <c r="J96" s="2" t="s">
        <v>351</v>
      </c>
      <c r="K96" s="2" t="s">
        <v>652</v>
      </c>
      <c r="L96" s="2">
        <v>7.3495710000000001</v>
      </c>
      <c r="M96" s="2">
        <v>5.3682080000000001</v>
      </c>
      <c r="N96" s="2">
        <v>0.98243999999999998</v>
      </c>
    </row>
    <row r="97" spans="1:14" ht="0.5" customHeight="1">
      <c r="A97" s="2" t="s">
        <v>347</v>
      </c>
      <c r="B97" s="2" t="s">
        <v>631</v>
      </c>
      <c r="C97" s="2">
        <v>10.29055</v>
      </c>
      <c r="D97" s="2">
        <v>9.4439539999999997</v>
      </c>
      <c r="E97" s="2">
        <v>2.8307799999999999</v>
      </c>
      <c r="G97" s="2">
        <v>0</v>
      </c>
      <c r="H97" s="2">
        <v>0</v>
      </c>
      <c r="I97" s="2">
        <v>0</v>
      </c>
      <c r="J97" s="2" t="s">
        <v>653</v>
      </c>
      <c r="K97" s="2" t="s">
        <v>654</v>
      </c>
      <c r="L97" s="2">
        <v>7.197781</v>
      </c>
      <c r="N97" s="2">
        <v>0.71721999999999997</v>
      </c>
    </row>
    <row r="98" spans="1:14" ht="0.5" customHeight="1">
      <c r="A98" s="2" t="s">
        <v>93</v>
      </c>
      <c r="B98" s="2" t="s">
        <v>520</v>
      </c>
      <c r="C98" s="2">
        <v>10.263769999999999</v>
      </c>
      <c r="D98" s="2">
        <v>8.8915620000000004</v>
      </c>
      <c r="E98" s="2">
        <v>1.87767</v>
      </c>
      <c r="F98" s="2">
        <v>2</v>
      </c>
      <c r="G98" s="2">
        <v>0</v>
      </c>
      <c r="H98" s="2">
        <v>1</v>
      </c>
      <c r="I98" s="2">
        <v>0</v>
      </c>
      <c r="J98" s="2" t="s">
        <v>655</v>
      </c>
      <c r="K98" s="2" t="s">
        <v>656</v>
      </c>
      <c r="L98" s="2">
        <v>10.40868</v>
      </c>
    </row>
    <row r="99" spans="1:14" ht="0.5" customHeight="1">
      <c r="A99" s="2" t="s">
        <v>102</v>
      </c>
      <c r="B99" s="2" t="s">
        <v>544</v>
      </c>
      <c r="C99" s="2">
        <v>10.68172</v>
      </c>
      <c r="D99" s="2">
        <v>9.2214299999999998</v>
      </c>
      <c r="E99" s="2">
        <v>2.13178</v>
      </c>
      <c r="F99" s="2">
        <v>3</v>
      </c>
      <c r="G99" s="2">
        <v>0</v>
      </c>
      <c r="H99" s="2">
        <v>1</v>
      </c>
      <c r="I99" s="2">
        <v>0</v>
      </c>
      <c r="J99" s="2" t="s">
        <v>657</v>
      </c>
      <c r="K99" s="2" t="s">
        <v>658</v>
      </c>
      <c r="L99" s="2">
        <v>9.3803970000000003</v>
      </c>
    </row>
    <row r="100" spans="1:14" ht="0.5" customHeight="1">
      <c r="A100" s="2" t="s">
        <v>632</v>
      </c>
      <c r="B100" s="2" t="s">
        <v>633</v>
      </c>
      <c r="C100" s="2">
        <v>8.0456029999999998</v>
      </c>
      <c r="E100" s="2">
        <v>1.6740699999999999</v>
      </c>
      <c r="G100" s="2">
        <v>0</v>
      </c>
      <c r="H100" s="2">
        <v>0</v>
      </c>
      <c r="I100" s="2">
        <v>0</v>
      </c>
      <c r="J100" s="2" t="s">
        <v>659</v>
      </c>
      <c r="K100" s="2" t="s">
        <v>660</v>
      </c>
    </row>
    <row r="101" spans="1:14" ht="0.5" customHeight="1">
      <c r="A101" s="2" t="s">
        <v>634</v>
      </c>
      <c r="B101" s="2" t="s">
        <v>635</v>
      </c>
      <c r="C101" s="2">
        <v>9.2473679999999998</v>
      </c>
      <c r="D101" s="2">
        <v>7.3143190000000002</v>
      </c>
      <c r="E101" s="2">
        <v>5.0516800000000002</v>
      </c>
      <c r="G101" s="2">
        <v>0</v>
      </c>
      <c r="H101" s="2">
        <v>0</v>
      </c>
      <c r="I101" s="2">
        <v>0</v>
      </c>
      <c r="J101" s="2" t="s">
        <v>661</v>
      </c>
      <c r="K101" s="2" t="s">
        <v>662</v>
      </c>
    </row>
    <row r="102" spans="1:14" ht="0.5" customHeight="1">
      <c r="A102" s="2" t="s">
        <v>82</v>
      </c>
      <c r="B102" s="2" t="s">
        <v>552</v>
      </c>
      <c r="C102" s="2">
        <v>10.672599999999999</v>
      </c>
      <c r="D102" s="2">
        <v>9.4535389999999992</v>
      </c>
      <c r="E102" s="2">
        <v>2.7438199999999999</v>
      </c>
      <c r="F102" s="2">
        <v>3</v>
      </c>
      <c r="G102" s="2">
        <v>0</v>
      </c>
      <c r="H102" s="2">
        <v>1</v>
      </c>
      <c r="I102" s="2">
        <v>0</v>
      </c>
      <c r="J102" s="2" t="s">
        <v>663</v>
      </c>
      <c r="K102" s="2" t="s">
        <v>664</v>
      </c>
    </row>
    <row r="103" spans="1:14" ht="0.5" customHeight="1">
      <c r="A103" s="2" t="s">
        <v>113</v>
      </c>
      <c r="B103" s="2" t="s">
        <v>542</v>
      </c>
      <c r="C103" s="2">
        <v>9.4456120000000006</v>
      </c>
      <c r="D103" s="2">
        <v>7.5565309999999997</v>
      </c>
      <c r="E103" s="2">
        <v>1.2907500000000001</v>
      </c>
      <c r="F103" s="2">
        <v>1</v>
      </c>
      <c r="G103" s="2">
        <v>1</v>
      </c>
      <c r="H103" s="2">
        <v>0</v>
      </c>
      <c r="I103" s="2">
        <v>0</v>
      </c>
      <c r="J103" s="2" t="s">
        <v>353</v>
      </c>
      <c r="K103" s="2" t="s">
        <v>665</v>
      </c>
      <c r="L103" s="2">
        <v>8.5926150000000003</v>
      </c>
      <c r="M103" s="2">
        <v>6.5888460000000002</v>
      </c>
      <c r="N103" s="2">
        <v>1.4817499999999999</v>
      </c>
    </row>
    <row r="104" spans="1:14" ht="0.5" customHeight="1">
      <c r="A104" s="2" t="s">
        <v>107</v>
      </c>
      <c r="B104" s="2" t="s">
        <v>515</v>
      </c>
      <c r="C104" s="2">
        <v>9.5144300000000008</v>
      </c>
      <c r="F104" s="2">
        <v>1</v>
      </c>
      <c r="G104" s="2">
        <v>0</v>
      </c>
      <c r="H104" s="2">
        <v>0</v>
      </c>
      <c r="I104" s="2">
        <v>0</v>
      </c>
      <c r="J104" s="2" t="s">
        <v>354</v>
      </c>
      <c r="K104" s="2" t="s">
        <v>666</v>
      </c>
      <c r="L104" s="2">
        <v>9.7115410000000004</v>
      </c>
      <c r="M104" s="2">
        <v>7.8521710000000002</v>
      </c>
      <c r="N104" s="2">
        <v>1.1666099999999999</v>
      </c>
    </row>
    <row r="105" spans="1:14" ht="0.5" customHeight="1">
      <c r="A105" s="2" t="s">
        <v>45</v>
      </c>
      <c r="B105" s="2" t="s">
        <v>527</v>
      </c>
      <c r="C105" s="2">
        <v>9.2918109999999992</v>
      </c>
      <c r="D105" s="2">
        <v>6.569566</v>
      </c>
      <c r="E105" s="2">
        <v>0.74036000000000002</v>
      </c>
      <c r="G105" s="2">
        <v>1</v>
      </c>
      <c r="H105" s="2">
        <v>0</v>
      </c>
      <c r="I105" s="2">
        <v>0</v>
      </c>
      <c r="J105" s="2" t="s">
        <v>667</v>
      </c>
      <c r="K105" s="2" t="s">
        <v>668</v>
      </c>
      <c r="L105" s="2">
        <v>9.5593839999999997</v>
      </c>
    </row>
    <row r="106" spans="1:14" ht="0.5" customHeight="1">
      <c r="A106" s="2" t="s">
        <v>348</v>
      </c>
      <c r="B106" s="2" t="s">
        <v>636</v>
      </c>
      <c r="C106" s="2">
        <v>9.2151859999999992</v>
      </c>
      <c r="G106" s="2">
        <v>0</v>
      </c>
      <c r="H106" s="2">
        <v>0</v>
      </c>
      <c r="I106" s="2">
        <v>0</v>
      </c>
      <c r="J106" s="2" t="s">
        <v>101</v>
      </c>
      <c r="K106" s="2" t="s">
        <v>669</v>
      </c>
      <c r="L106" s="2">
        <v>10.103109999999999</v>
      </c>
      <c r="M106" s="2">
        <v>8.4788859999999993</v>
      </c>
      <c r="N106" s="2">
        <v>1.90883</v>
      </c>
    </row>
    <row r="107" spans="1:14" ht="0.5" customHeight="1">
      <c r="A107" s="2" t="s">
        <v>637</v>
      </c>
      <c r="B107" s="2" t="s">
        <v>638</v>
      </c>
      <c r="C107" s="2">
        <v>7.2521659999999999</v>
      </c>
      <c r="G107" s="2">
        <v>0</v>
      </c>
      <c r="H107" s="2">
        <v>0</v>
      </c>
      <c r="I107" s="2">
        <v>0</v>
      </c>
      <c r="J107" s="2" t="s">
        <v>355</v>
      </c>
      <c r="K107" s="2" t="s">
        <v>670</v>
      </c>
      <c r="L107" s="2">
        <v>7.9439690000000001</v>
      </c>
    </row>
    <row r="108" spans="1:14" ht="0.5" customHeight="1">
      <c r="A108" s="2" t="s">
        <v>131</v>
      </c>
      <c r="B108" s="2" t="s">
        <v>529</v>
      </c>
      <c r="C108" s="2">
        <v>10.365640000000001</v>
      </c>
      <c r="D108" s="2">
        <v>8.8968380000000007</v>
      </c>
      <c r="E108" s="2">
        <v>1.58876</v>
      </c>
      <c r="F108" s="2">
        <v>2</v>
      </c>
      <c r="G108" s="2">
        <v>0</v>
      </c>
      <c r="H108" s="2">
        <v>1</v>
      </c>
      <c r="I108" s="2">
        <v>0</v>
      </c>
      <c r="J108" s="2" t="s">
        <v>357</v>
      </c>
      <c r="K108" s="2" t="s">
        <v>671</v>
      </c>
      <c r="L108" s="2">
        <v>8.0651530000000005</v>
      </c>
      <c r="M108" s="2">
        <v>6.9753879999999997</v>
      </c>
      <c r="N108" s="2">
        <v>3.6864599999999998</v>
      </c>
    </row>
    <row r="109" spans="1:14" ht="0.5" customHeight="1">
      <c r="A109" s="2" t="s">
        <v>120</v>
      </c>
      <c r="B109" s="2" t="s">
        <v>560</v>
      </c>
      <c r="C109" s="2">
        <v>10.188420000000001</v>
      </c>
      <c r="D109" s="2">
        <v>8.809984</v>
      </c>
      <c r="E109" s="2">
        <v>1.7088300000000001</v>
      </c>
      <c r="F109" s="2">
        <v>3</v>
      </c>
      <c r="G109" s="2">
        <v>0</v>
      </c>
      <c r="H109" s="2">
        <v>1</v>
      </c>
      <c r="I109" s="2">
        <v>0</v>
      </c>
      <c r="J109" s="2" t="s">
        <v>343</v>
      </c>
      <c r="K109" s="2" t="s">
        <v>672</v>
      </c>
      <c r="L109" s="2">
        <v>8.0432229999999993</v>
      </c>
      <c r="N109" s="2">
        <v>0.83955999999999997</v>
      </c>
    </row>
    <row r="110" spans="1:14" ht="0.5" customHeight="1">
      <c r="A110" s="2" t="s">
        <v>349</v>
      </c>
      <c r="B110" s="2" t="s">
        <v>639</v>
      </c>
      <c r="C110" s="2">
        <v>7.2659909999999996</v>
      </c>
      <c r="D110" s="2">
        <v>5.7410439999999996</v>
      </c>
      <c r="E110" s="2">
        <v>1.3184100000000001</v>
      </c>
      <c r="G110" s="2">
        <v>0</v>
      </c>
      <c r="H110" s="2">
        <v>0</v>
      </c>
      <c r="I110" s="2">
        <v>0</v>
      </c>
      <c r="J110" s="2" t="s">
        <v>673</v>
      </c>
      <c r="K110" s="2" t="s">
        <v>674</v>
      </c>
      <c r="L110" s="2">
        <v>7.4534789999999997</v>
      </c>
    </row>
    <row r="111" spans="1:14" ht="0.5" customHeight="1">
      <c r="A111" s="2" t="s">
        <v>121</v>
      </c>
      <c r="B111" s="2" t="s">
        <v>567</v>
      </c>
      <c r="C111" s="2">
        <v>10.560420000000001</v>
      </c>
      <c r="D111" s="2">
        <v>8.3748509999999996</v>
      </c>
      <c r="E111" s="2">
        <v>1.0779700000000001</v>
      </c>
      <c r="F111" s="2">
        <v>3</v>
      </c>
      <c r="G111" s="2">
        <v>0</v>
      </c>
      <c r="H111" s="2">
        <v>1</v>
      </c>
      <c r="I111" s="2">
        <v>0</v>
      </c>
      <c r="J111" s="2" t="s">
        <v>675</v>
      </c>
      <c r="K111" s="2" t="s">
        <v>676</v>
      </c>
      <c r="L111" s="2">
        <v>10.00661</v>
      </c>
    </row>
    <row r="112" spans="1:14" ht="0.5" customHeight="1">
      <c r="A112" s="2" t="s">
        <v>640</v>
      </c>
      <c r="B112" s="2" t="s">
        <v>641</v>
      </c>
      <c r="C112" s="2">
        <v>9.0345840000000006</v>
      </c>
      <c r="D112" s="2">
        <v>6.059488</v>
      </c>
      <c r="E112" s="2">
        <v>0.66537999999999997</v>
      </c>
      <c r="G112" s="2">
        <v>0</v>
      </c>
      <c r="H112" s="2">
        <v>0</v>
      </c>
      <c r="I112" s="2">
        <v>0</v>
      </c>
      <c r="J112" s="2" t="s">
        <v>108</v>
      </c>
      <c r="K112" s="2" t="s">
        <v>677</v>
      </c>
      <c r="L112" s="2">
        <v>11.15451</v>
      </c>
      <c r="M112" s="2">
        <v>9.6843529999999998</v>
      </c>
      <c r="N112" s="2">
        <v>1.9549000000000001</v>
      </c>
    </row>
    <row r="113" spans="1:14" ht="0.5" customHeight="1">
      <c r="A113" s="2" t="s">
        <v>122</v>
      </c>
      <c r="B113" s="2" t="s">
        <v>536</v>
      </c>
      <c r="C113" s="2">
        <v>10.520099999999999</v>
      </c>
      <c r="D113" s="2">
        <v>9.2119079999999993</v>
      </c>
      <c r="E113" s="2">
        <v>2.4247000000000001</v>
      </c>
      <c r="F113" s="2">
        <v>2</v>
      </c>
      <c r="G113" s="2">
        <v>0</v>
      </c>
      <c r="H113" s="2">
        <v>1</v>
      </c>
      <c r="I113" s="2">
        <v>0</v>
      </c>
      <c r="J113" s="2" t="s">
        <v>358</v>
      </c>
      <c r="K113" s="2" t="s">
        <v>678</v>
      </c>
      <c r="L113" s="2">
        <v>8.5323229999999999</v>
      </c>
    </row>
    <row r="114" spans="1:14" ht="0.5" customHeight="1">
      <c r="A114" s="2" t="s">
        <v>642</v>
      </c>
      <c r="B114" s="2" t="s">
        <v>643</v>
      </c>
      <c r="G114" s="2">
        <v>0</v>
      </c>
      <c r="H114" s="2">
        <v>0</v>
      </c>
      <c r="I114" s="2">
        <v>0</v>
      </c>
      <c r="J114" s="2" t="s">
        <v>360</v>
      </c>
      <c r="K114" s="2" t="s">
        <v>679</v>
      </c>
      <c r="L114" s="2">
        <v>6.6891699999999998</v>
      </c>
      <c r="N114" s="2">
        <v>0.95103000000000004</v>
      </c>
    </row>
    <row r="115" spans="1:14" ht="0.5" customHeight="1">
      <c r="A115" s="2" t="s">
        <v>644</v>
      </c>
      <c r="B115" s="2" t="s">
        <v>645</v>
      </c>
      <c r="C115" s="2">
        <v>8.0638159999999992</v>
      </c>
      <c r="G115" s="2">
        <v>0</v>
      </c>
      <c r="H115" s="2">
        <v>0</v>
      </c>
      <c r="I115" s="2">
        <v>0</v>
      </c>
      <c r="J115" s="2" t="s">
        <v>680</v>
      </c>
      <c r="K115" s="2" t="s">
        <v>681</v>
      </c>
      <c r="L115" s="2">
        <v>9.6077729999999999</v>
      </c>
    </row>
    <row r="116" spans="1:14" ht="0.5" customHeight="1">
      <c r="A116" s="2" t="s">
        <v>350</v>
      </c>
      <c r="B116" s="2" t="s">
        <v>646</v>
      </c>
      <c r="C116" s="2">
        <v>9.8275120000000005</v>
      </c>
      <c r="G116" s="2">
        <v>0</v>
      </c>
      <c r="H116" s="2">
        <v>0</v>
      </c>
      <c r="I116" s="2">
        <v>0</v>
      </c>
      <c r="J116" s="2" t="s">
        <v>682</v>
      </c>
      <c r="K116" s="2" t="s">
        <v>683</v>
      </c>
      <c r="L116" s="2">
        <v>9.2340149999999994</v>
      </c>
      <c r="M116" s="2">
        <v>7.9317529999999996</v>
      </c>
      <c r="N116" s="2">
        <v>1.9531400000000001</v>
      </c>
    </row>
    <row r="117" spans="1:14" ht="0.5" customHeight="1">
      <c r="A117" s="2" t="s">
        <v>134</v>
      </c>
      <c r="B117" s="2" t="s">
        <v>543</v>
      </c>
      <c r="C117" s="2">
        <v>10.54757</v>
      </c>
      <c r="D117" s="2">
        <v>9.0378699999999998</v>
      </c>
      <c r="E117" s="2">
        <v>2.2823799999999999</v>
      </c>
      <c r="F117" s="2">
        <v>2</v>
      </c>
      <c r="G117" s="2">
        <v>0</v>
      </c>
      <c r="H117" s="2">
        <v>1</v>
      </c>
      <c r="I117" s="2">
        <v>0</v>
      </c>
      <c r="J117" s="2" t="s">
        <v>684</v>
      </c>
      <c r="K117" s="2" t="s">
        <v>685</v>
      </c>
      <c r="N117" s="2">
        <v>1.2122900000000001</v>
      </c>
    </row>
    <row r="118" spans="1:14" ht="0.5" customHeight="1">
      <c r="A118" s="2" t="s">
        <v>105</v>
      </c>
      <c r="B118" s="2" t="s">
        <v>524</v>
      </c>
      <c r="C118" s="2">
        <v>9.0767129999999998</v>
      </c>
      <c r="E118" s="2">
        <v>0.63722000000000001</v>
      </c>
      <c r="F118" s="2">
        <v>1</v>
      </c>
      <c r="G118" s="2">
        <v>0</v>
      </c>
      <c r="H118" s="2">
        <v>0</v>
      </c>
      <c r="I118" s="2">
        <v>0</v>
      </c>
      <c r="J118" s="2" t="s">
        <v>384</v>
      </c>
      <c r="K118" s="2" t="s">
        <v>686</v>
      </c>
      <c r="L118" s="2">
        <v>9.2725690000000007</v>
      </c>
      <c r="M118" s="2">
        <v>6.4997319999999998</v>
      </c>
      <c r="N118" s="2">
        <v>0.79571999999999998</v>
      </c>
    </row>
    <row r="119" spans="1:14" ht="0.5" customHeight="1">
      <c r="A119" s="2" t="s">
        <v>352</v>
      </c>
      <c r="B119" s="2" t="s">
        <v>647</v>
      </c>
      <c r="C119" s="2">
        <v>8.2671930000000007</v>
      </c>
      <c r="D119" s="2">
        <v>7.1589510000000001</v>
      </c>
      <c r="E119" s="2">
        <v>2.9235099999999998</v>
      </c>
      <c r="G119" s="2">
        <v>0</v>
      </c>
      <c r="H119" s="2">
        <v>0</v>
      </c>
      <c r="I119" s="2">
        <v>0</v>
      </c>
      <c r="J119" s="2" t="s">
        <v>359</v>
      </c>
      <c r="K119" s="2" t="s">
        <v>687</v>
      </c>
      <c r="L119" s="2">
        <v>7.8308270000000002</v>
      </c>
    </row>
    <row r="120" spans="1:14" ht="0.5" customHeight="1">
      <c r="A120" s="2" t="s">
        <v>648</v>
      </c>
      <c r="B120" s="2" t="s">
        <v>649</v>
      </c>
      <c r="G120" s="2">
        <v>0</v>
      </c>
      <c r="H120" s="2">
        <v>0</v>
      </c>
      <c r="I120" s="2">
        <v>0</v>
      </c>
      <c r="J120" s="2" t="s">
        <v>688</v>
      </c>
      <c r="K120" s="2" t="s">
        <v>689</v>
      </c>
    </row>
    <row r="121" spans="1:14" ht="0.5" customHeight="1">
      <c r="A121" s="2" t="s">
        <v>650</v>
      </c>
      <c r="B121" s="2" t="s">
        <v>651</v>
      </c>
      <c r="C121" s="2">
        <v>7.0605880000000001</v>
      </c>
      <c r="D121" s="2">
        <v>4.8076999999999996</v>
      </c>
      <c r="E121" s="2">
        <v>0.89056000000000002</v>
      </c>
      <c r="G121" s="2">
        <v>0</v>
      </c>
      <c r="H121" s="2">
        <v>0</v>
      </c>
      <c r="I121" s="2">
        <v>0</v>
      </c>
      <c r="J121" s="2" t="s">
        <v>109</v>
      </c>
      <c r="K121" s="2" t="s">
        <v>690</v>
      </c>
      <c r="L121" s="2">
        <v>8.8743479999999995</v>
      </c>
      <c r="M121" s="2">
        <v>7.8322000000000003</v>
      </c>
      <c r="N121" s="2">
        <v>2.7010800000000001</v>
      </c>
    </row>
    <row r="122" spans="1:14" ht="0.5" customHeight="1">
      <c r="A122" s="2" t="s">
        <v>351</v>
      </c>
      <c r="B122" s="2" t="s">
        <v>652</v>
      </c>
      <c r="C122" s="2">
        <v>7.3495710000000001</v>
      </c>
      <c r="D122" s="2">
        <v>5.3682080000000001</v>
      </c>
      <c r="E122" s="2">
        <v>0.98243999999999998</v>
      </c>
      <c r="G122" s="2">
        <v>0</v>
      </c>
      <c r="H122" s="2">
        <v>0</v>
      </c>
      <c r="I122" s="2">
        <v>0</v>
      </c>
      <c r="J122" s="2" t="s">
        <v>691</v>
      </c>
      <c r="K122" s="2" t="s">
        <v>692</v>
      </c>
      <c r="N122" s="2">
        <v>0.41963</v>
      </c>
    </row>
    <row r="123" spans="1:14" ht="0.5" customHeight="1">
      <c r="A123" s="2" t="s">
        <v>653</v>
      </c>
      <c r="B123" s="2" t="s">
        <v>654</v>
      </c>
      <c r="C123" s="2">
        <v>7.197781</v>
      </c>
      <c r="E123" s="2">
        <v>0.71721999999999997</v>
      </c>
      <c r="G123" s="2">
        <v>0</v>
      </c>
      <c r="H123" s="2">
        <v>0</v>
      </c>
      <c r="I123" s="2">
        <v>0</v>
      </c>
      <c r="J123" s="2" t="s">
        <v>693</v>
      </c>
      <c r="K123" s="2" t="s">
        <v>694</v>
      </c>
      <c r="L123" s="2">
        <v>7.2230509999999999</v>
      </c>
      <c r="M123" s="2">
        <v>4.7648270000000004</v>
      </c>
      <c r="N123" s="2">
        <v>0.52853000000000006</v>
      </c>
    </row>
    <row r="124" spans="1:14" ht="0.5" customHeight="1">
      <c r="A124" s="2" t="s">
        <v>655</v>
      </c>
      <c r="B124" s="2" t="s">
        <v>656</v>
      </c>
      <c r="C124" s="2">
        <v>10.40868</v>
      </c>
      <c r="G124" s="2">
        <v>0</v>
      </c>
      <c r="H124" s="2">
        <v>0</v>
      </c>
      <c r="I124" s="2">
        <v>0</v>
      </c>
      <c r="J124" s="2" t="s">
        <v>695</v>
      </c>
      <c r="K124" s="2" t="s">
        <v>696</v>
      </c>
      <c r="L124" s="2">
        <v>9.3887859999999996</v>
      </c>
    </row>
    <row r="125" spans="1:14" ht="0.5" customHeight="1">
      <c r="A125" s="2" t="s">
        <v>123</v>
      </c>
      <c r="B125" s="2" t="s">
        <v>551</v>
      </c>
      <c r="C125" s="2">
        <v>10.107189999999999</v>
      </c>
      <c r="F125" s="2">
        <v>2</v>
      </c>
      <c r="G125" s="2">
        <v>0</v>
      </c>
      <c r="H125" s="2">
        <v>1</v>
      </c>
      <c r="I125" s="2">
        <v>0</v>
      </c>
      <c r="J125" s="2" t="s">
        <v>697</v>
      </c>
      <c r="K125" s="2" t="s">
        <v>698</v>
      </c>
      <c r="L125" s="2">
        <v>8.1963939999999997</v>
      </c>
    </row>
    <row r="126" spans="1:14" ht="0.5" customHeight="1">
      <c r="A126" s="2" t="s">
        <v>657</v>
      </c>
      <c r="B126" s="2" t="s">
        <v>658</v>
      </c>
      <c r="C126" s="2">
        <v>9.3803970000000003</v>
      </c>
      <c r="G126" s="2">
        <v>0</v>
      </c>
      <c r="H126" s="2">
        <v>0</v>
      </c>
      <c r="I126" s="2">
        <v>0</v>
      </c>
      <c r="J126" s="2" t="s">
        <v>364</v>
      </c>
      <c r="K126" s="2" t="s">
        <v>699</v>
      </c>
      <c r="L126" s="2">
        <v>7.6905229999999998</v>
      </c>
      <c r="M126" s="2">
        <v>6.0444740000000001</v>
      </c>
      <c r="N126" s="2">
        <v>1.4834700000000001</v>
      </c>
    </row>
    <row r="127" spans="1:14" ht="0.5" customHeight="1">
      <c r="A127" s="2" t="s">
        <v>659</v>
      </c>
      <c r="B127" s="2" t="s">
        <v>660</v>
      </c>
      <c r="G127" s="2">
        <v>0</v>
      </c>
      <c r="H127" s="2">
        <v>0</v>
      </c>
      <c r="I127" s="2">
        <v>0</v>
      </c>
      <c r="J127" s="2" t="s">
        <v>369</v>
      </c>
      <c r="K127" s="2" t="s">
        <v>700</v>
      </c>
    </row>
    <row r="128" spans="1:14" ht="0.5" customHeight="1">
      <c r="A128" s="2" t="s">
        <v>47</v>
      </c>
      <c r="B128" s="2" t="s">
        <v>534</v>
      </c>
      <c r="C128" s="2">
        <v>8.8687500000000004</v>
      </c>
      <c r="D128" s="2">
        <v>5.9808620000000001</v>
      </c>
      <c r="E128" s="2">
        <v>0.40665000000000001</v>
      </c>
      <c r="G128" s="2">
        <v>1</v>
      </c>
      <c r="H128" s="2">
        <v>0</v>
      </c>
      <c r="I128" s="2">
        <v>0</v>
      </c>
      <c r="J128" s="2" t="s">
        <v>367</v>
      </c>
      <c r="K128" s="2" t="s">
        <v>701</v>
      </c>
      <c r="L128" s="2">
        <v>9.3416619999999995</v>
      </c>
      <c r="M128" s="2">
        <v>7.0567929999999999</v>
      </c>
      <c r="N128" s="2">
        <v>1.4005099999999999</v>
      </c>
    </row>
    <row r="129" spans="1:14" ht="0.5" customHeight="1">
      <c r="A129" s="2" t="s">
        <v>661</v>
      </c>
      <c r="B129" s="2" t="s">
        <v>662</v>
      </c>
      <c r="G129" s="2">
        <v>0</v>
      </c>
      <c r="H129" s="2">
        <v>0</v>
      </c>
      <c r="I129" s="2">
        <v>0</v>
      </c>
      <c r="J129" s="2" t="s">
        <v>702</v>
      </c>
      <c r="K129" s="2" t="s">
        <v>703</v>
      </c>
    </row>
    <row r="130" spans="1:14" ht="0.5" customHeight="1">
      <c r="A130" s="2" t="s">
        <v>69</v>
      </c>
      <c r="B130" s="2" t="s">
        <v>541</v>
      </c>
      <c r="C130" s="2">
        <v>8.8373849999999994</v>
      </c>
      <c r="D130" s="2">
        <v>6.4064579999999998</v>
      </c>
      <c r="E130" s="2">
        <v>1.0620400000000001</v>
      </c>
      <c r="G130" s="2">
        <v>1</v>
      </c>
      <c r="H130" s="2">
        <v>0</v>
      </c>
      <c r="I130" s="2">
        <v>0</v>
      </c>
      <c r="J130" s="2" t="s">
        <v>368</v>
      </c>
      <c r="K130" s="2" t="s">
        <v>704</v>
      </c>
      <c r="L130" s="2">
        <v>6.984318</v>
      </c>
      <c r="M130" s="2">
        <v>6.6053740000000003</v>
      </c>
      <c r="N130" s="2">
        <v>1.98316</v>
      </c>
    </row>
    <row r="131" spans="1:14" ht="0.5" customHeight="1">
      <c r="A131" s="2" t="s">
        <v>507</v>
      </c>
      <c r="B131" s="2" t="s">
        <v>508</v>
      </c>
      <c r="C131" s="2">
        <v>10.870649999999999</v>
      </c>
      <c r="D131" s="2">
        <v>9.2412469999999995</v>
      </c>
      <c r="E131" s="2">
        <v>1.1185</v>
      </c>
      <c r="F131" s="2">
        <v>3</v>
      </c>
      <c r="G131" s="2">
        <v>0</v>
      </c>
      <c r="H131" s="2">
        <v>0</v>
      </c>
      <c r="I131" s="2">
        <v>0</v>
      </c>
      <c r="J131" s="2" t="s">
        <v>365</v>
      </c>
      <c r="K131" s="2" t="s">
        <v>705</v>
      </c>
      <c r="L131" s="2">
        <v>8.2143409999999992</v>
      </c>
      <c r="M131" s="2">
        <v>6.4643329999999999</v>
      </c>
      <c r="N131" s="2">
        <v>0.76432999999999995</v>
      </c>
    </row>
    <row r="132" spans="1:14" ht="0.5" customHeight="1">
      <c r="A132" s="2" t="s">
        <v>50</v>
      </c>
      <c r="B132" s="2" t="s">
        <v>549</v>
      </c>
      <c r="C132" s="2">
        <v>8.4516930000000006</v>
      </c>
      <c r="D132" s="2">
        <v>6.7614580000000002</v>
      </c>
      <c r="E132" s="2">
        <v>1.4858</v>
      </c>
      <c r="G132" s="2">
        <v>1</v>
      </c>
      <c r="H132" s="2">
        <v>0</v>
      </c>
      <c r="I132" s="2">
        <v>0</v>
      </c>
      <c r="J132" s="2" t="s">
        <v>366</v>
      </c>
      <c r="K132" s="2" t="s">
        <v>706</v>
      </c>
      <c r="L132" s="2">
        <v>9.7834029999999998</v>
      </c>
      <c r="M132" s="2">
        <v>8.5964340000000004</v>
      </c>
      <c r="N132" s="2">
        <v>3.0716600000000001</v>
      </c>
    </row>
    <row r="133" spans="1:14" ht="0.5" customHeight="1">
      <c r="A133" s="2" t="s">
        <v>143</v>
      </c>
      <c r="B133" s="2" t="s">
        <v>525</v>
      </c>
      <c r="C133" s="2">
        <v>9.9051419999999997</v>
      </c>
      <c r="F133" s="2">
        <v>2</v>
      </c>
      <c r="G133" s="2">
        <v>0</v>
      </c>
      <c r="H133" s="2">
        <v>0</v>
      </c>
      <c r="I133" s="2">
        <v>0</v>
      </c>
      <c r="J133" s="2" t="s">
        <v>362</v>
      </c>
      <c r="K133" s="2" t="s">
        <v>707</v>
      </c>
      <c r="L133" s="2">
        <v>7.0164</v>
      </c>
      <c r="M133" s="2">
        <v>5.4629640000000004</v>
      </c>
      <c r="N133" s="2">
        <v>1.69641</v>
      </c>
    </row>
    <row r="134" spans="1:14" ht="0.5" customHeight="1">
      <c r="A134" s="2" t="s">
        <v>70</v>
      </c>
      <c r="B134" s="2" t="s">
        <v>557</v>
      </c>
      <c r="C134" s="2">
        <v>7.4103009999999996</v>
      </c>
      <c r="G134" s="2">
        <v>1</v>
      </c>
      <c r="H134" s="2">
        <v>0</v>
      </c>
      <c r="I134" s="2">
        <v>0</v>
      </c>
      <c r="J134" s="2" t="s">
        <v>363</v>
      </c>
      <c r="K134" s="2" t="s">
        <v>708</v>
      </c>
      <c r="L134" s="2">
        <v>10.10478</v>
      </c>
      <c r="M134" s="2">
        <v>8.5924359999999993</v>
      </c>
      <c r="N134" s="2">
        <v>2.0802900000000002</v>
      </c>
    </row>
    <row r="135" spans="1:14" ht="0.5" customHeight="1">
      <c r="A135" s="2" t="s">
        <v>96</v>
      </c>
      <c r="B135" s="2" t="s">
        <v>559</v>
      </c>
      <c r="C135" s="2">
        <v>10.074210000000001</v>
      </c>
      <c r="D135" s="2">
        <v>8.3977620000000002</v>
      </c>
      <c r="E135" s="2">
        <v>1.7140200000000001</v>
      </c>
      <c r="F135" s="2">
        <v>2</v>
      </c>
      <c r="G135" s="2">
        <v>0</v>
      </c>
      <c r="H135" s="2">
        <v>1</v>
      </c>
      <c r="I135" s="2">
        <v>0</v>
      </c>
      <c r="J135" s="2" t="s">
        <v>370</v>
      </c>
      <c r="K135" s="2" t="s">
        <v>709</v>
      </c>
      <c r="L135" s="2">
        <v>9.1581519999999994</v>
      </c>
      <c r="N135" s="2">
        <v>1.9657899999999999</v>
      </c>
    </row>
    <row r="136" spans="1:14" ht="0.5" customHeight="1">
      <c r="A136" s="2" t="s">
        <v>147</v>
      </c>
      <c r="B136" s="2" t="s">
        <v>532</v>
      </c>
      <c r="C136" s="2">
        <v>9.2134680000000007</v>
      </c>
      <c r="D136" s="2">
        <v>6.953379</v>
      </c>
      <c r="E136" s="2">
        <v>0.88341999999999998</v>
      </c>
      <c r="F136" s="2">
        <v>1</v>
      </c>
      <c r="G136" s="2">
        <v>0</v>
      </c>
      <c r="H136" s="2">
        <v>0</v>
      </c>
      <c r="I136" s="2">
        <v>0</v>
      </c>
      <c r="J136" s="2" t="s">
        <v>710</v>
      </c>
      <c r="K136" s="2" t="s">
        <v>711</v>
      </c>
    </row>
    <row r="137" spans="1:14" ht="0.5" customHeight="1">
      <c r="A137" s="2" t="s">
        <v>663</v>
      </c>
      <c r="B137" s="2" t="s">
        <v>664</v>
      </c>
      <c r="G137" s="2">
        <v>0</v>
      </c>
      <c r="H137" s="2">
        <v>0</v>
      </c>
      <c r="I137" s="2">
        <v>0</v>
      </c>
      <c r="J137" s="2" t="s">
        <v>372</v>
      </c>
      <c r="K137" s="2" t="s">
        <v>712</v>
      </c>
      <c r="L137" s="2">
        <v>6.8043469999999999</v>
      </c>
      <c r="M137" s="2">
        <v>6.5320929999999997</v>
      </c>
      <c r="N137" s="2">
        <v>1.9737499999999999</v>
      </c>
    </row>
    <row r="138" spans="1:14" ht="0.5" customHeight="1">
      <c r="A138" s="2" t="s">
        <v>353</v>
      </c>
      <c r="B138" s="2" t="s">
        <v>665</v>
      </c>
      <c r="C138" s="2">
        <v>8.5926150000000003</v>
      </c>
      <c r="D138" s="2">
        <v>6.5888460000000002</v>
      </c>
      <c r="E138" s="2">
        <v>1.4817499999999999</v>
      </c>
      <c r="G138" s="2">
        <v>0</v>
      </c>
      <c r="H138" s="2">
        <v>0</v>
      </c>
      <c r="I138" s="2">
        <v>0</v>
      </c>
      <c r="J138" s="2" t="s">
        <v>373</v>
      </c>
      <c r="K138" s="2" t="s">
        <v>713</v>
      </c>
      <c r="L138" s="2">
        <v>8.6375419999999998</v>
      </c>
    </row>
    <row r="139" spans="1:14" ht="0.5" customHeight="1">
      <c r="A139" s="2" t="s">
        <v>125</v>
      </c>
      <c r="B139" s="2" t="s">
        <v>573</v>
      </c>
      <c r="C139" s="2">
        <v>10.78692</v>
      </c>
      <c r="D139" s="2">
        <v>9.3838819999999998</v>
      </c>
      <c r="E139" s="2">
        <v>1.93028</v>
      </c>
      <c r="F139" s="2">
        <v>3</v>
      </c>
      <c r="G139" s="2">
        <v>0</v>
      </c>
      <c r="H139" s="2">
        <v>1</v>
      </c>
      <c r="I139" s="2">
        <v>0</v>
      </c>
      <c r="J139" s="2" t="s">
        <v>371</v>
      </c>
      <c r="K139" s="2" t="s">
        <v>714</v>
      </c>
      <c r="L139" s="2">
        <v>7.7253530000000001</v>
      </c>
      <c r="M139" s="2">
        <v>5.7962049999999996</v>
      </c>
      <c r="N139" s="2">
        <v>1.6640299999999999</v>
      </c>
    </row>
    <row r="140" spans="1:14" ht="0.5" customHeight="1">
      <c r="A140" s="2" t="s">
        <v>354</v>
      </c>
      <c r="B140" s="2" t="s">
        <v>666</v>
      </c>
      <c r="C140" s="2">
        <v>9.7115410000000004</v>
      </c>
      <c r="D140" s="2">
        <v>7.8521710000000002</v>
      </c>
      <c r="E140" s="2">
        <v>1.1666099999999999</v>
      </c>
      <c r="G140" s="2">
        <v>0</v>
      </c>
      <c r="H140" s="2">
        <v>0</v>
      </c>
      <c r="I140" s="2">
        <v>0</v>
      </c>
      <c r="J140" s="2" t="s">
        <v>715</v>
      </c>
      <c r="K140" s="2" t="s">
        <v>716</v>
      </c>
    </row>
    <row r="141" spans="1:14" ht="0.5" customHeight="1">
      <c r="A141" s="2" t="s">
        <v>667</v>
      </c>
      <c r="B141" s="2" t="s">
        <v>668</v>
      </c>
      <c r="C141" s="2">
        <v>9.5593839999999997</v>
      </c>
      <c r="G141" s="2">
        <v>0</v>
      </c>
      <c r="H141" s="2">
        <v>0</v>
      </c>
      <c r="I141" s="2">
        <v>0</v>
      </c>
      <c r="J141" s="2" t="s">
        <v>717</v>
      </c>
      <c r="K141" s="2" t="s">
        <v>718</v>
      </c>
      <c r="L141" s="2">
        <v>10.51473</v>
      </c>
      <c r="M141" s="2">
        <v>9.0615389999999998</v>
      </c>
      <c r="N141" s="2">
        <v>1.6097399999999999</v>
      </c>
    </row>
    <row r="142" spans="1:14" ht="0.5" customHeight="1">
      <c r="A142" s="2" t="s">
        <v>124</v>
      </c>
      <c r="B142" s="2" t="s">
        <v>566</v>
      </c>
      <c r="C142" s="2">
        <v>10.627700000000001</v>
      </c>
      <c r="D142" s="2">
        <v>8.989395</v>
      </c>
      <c r="E142" s="2">
        <v>2.2374499999999999</v>
      </c>
      <c r="F142" s="2">
        <v>2</v>
      </c>
      <c r="G142" s="2">
        <v>0</v>
      </c>
      <c r="H142" s="2">
        <v>1</v>
      </c>
      <c r="I142" s="2">
        <v>0</v>
      </c>
      <c r="J142" s="2" t="s">
        <v>374</v>
      </c>
      <c r="K142" s="2" t="s">
        <v>719</v>
      </c>
      <c r="L142" s="2">
        <v>8.4316669999999991</v>
      </c>
      <c r="M142" s="2">
        <v>6.4153589999999996</v>
      </c>
      <c r="N142" s="2">
        <v>0.82333000000000001</v>
      </c>
    </row>
    <row r="143" spans="1:14" ht="0.5" customHeight="1">
      <c r="A143" s="2" t="s">
        <v>126</v>
      </c>
      <c r="B143" s="2" t="s">
        <v>572</v>
      </c>
      <c r="C143" s="2">
        <v>10.358420000000001</v>
      </c>
      <c r="D143" s="2">
        <v>8.5720480000000006</v>
      </c>
      <c r="E143" s="2">
        <v>1.5070600000000001</v>
      </c>
      <c r="F143" s="2">
        <v>2</v>
      </c>
      <c r="G143" s="2">
        <v>0</v>
      </c>
      <c r="H143" s="2">
        <v>1</v>
      </c>
      <c r="I143" s="2">
        <v>0</v>
      </c>
      <c r="J143" s="2" t="s">
        <v>376</v>
      </c>
      <c r="K143" s="2" t="s">
        <v>720</v>
      </c>
      <c r="L143" s="2">
        <v>8.8021550000000008</v>
      </c>
      <c r="N143" s="2">
        <v>0.78776000000000002</v>
      </c>
    </row>
    <row r="144" spans="1:14" ht="0.5" customHeight="1">
      <c r="A144" s="2" t="s">
        <v>87</v>
      </c>
      <c r="B144" s="2" t="s">
        <v>578</v>
      </c>
      <c r="C144" s="2">
        <v>10.414540000000001</v>
      </c>
      <c r="D144" s="2">
        <v>9.0006590000000006</v>
      </c>
      <c r="E144" s="2">
        <v>1.75346</v>
      </c>
      <c r="F144" s="2">
        <v>2</v>
      </c>
      <c r="G144" s="2">
        <v>0</v>
      </c>
      <c r="H144" s="2">
        <v>1</v>
      </c>
      <c r="I144" s="2">
        <v>0</v>
      </c>
      <c r="J144" s="2" t="s">
        <v>721</v>
      </c>
      <c r="K144" s="2" t="s">
        <v>722</v>
      </c>
      <c r="L144" s="2">
        <v>9.4936589999999992</v>
      </c>
    </row>
    <row r="145" spans="1:14" ht="0.5" customHeight="1">
      <c r="A145" s="2" t="s">
        <v>71</v>
      </c>
      <c r="B145" s="2" t="s">
        <v>564</v>
      </c>
      <c r="C145" s="2">
        <v>9.0442330000000002</v>
      </c>
      <c r="D145" s="2">
        <v>7.6013979999999997</v>
      </c>
      <c r="E145" s="2">
        <v>1.89516</v>
      </c>
      <c r="G145" s="2">
        <v>1</v>
      </c>
      <c r="H145" s="2">
        <v>0</v>
      </c>
      <c r="I145" s="2">
        <v>0</v>
      </c>
      <c r="J145" s="2" t="s">
        <v>375</v>
      </c>
      <c r="K145" s="2" t="s">
        <v>723</v>
      </c>
      <c r="L145" s="2">
        <v>7.9096700000000002</v>
      </c>
    </row>
    <row r="146" spans="1:14" ht="0.5" customHeight="1">
      <c r="A146" s="2" t="s">
        <v>148</v>
      </c>
      <c r="B146" s="2" t="s">
        <v>539</v>
      </c>
      <c r="C146" s="2">
        <v>9.2342560000000002</v>
      </c>
      <c r="D146" s="2">
        <v>7.4389029999999998</v>
      </c>
      <c r="E146" s="2">
        <v>1.75315</v>
      </c>
      <c r="F146" s="2">
        <v>1</v>
      </c>
      <c r="G146" s="2">
        <v>0</v>
      </c>
      <c r="H146" s="2">
        <v>0</v>
      </c>
      <c r="I146" s="2">
        <v>0</v>
      </c>
      <c r="J146" s="2" t="s">
        <v>724</v>
      </c>
      <c r="K146" s="2" t="s">
        <v>725</v>
      </c>
    </row>
    <row r="147" spans="1:14" ht="0.5" customHeight="1">
      <c r="A147" s="2" t="s">
        <v>86</v>
      </c>
      <c r="B147" s="2" t="s">
        <v>579</v>
      </c>
      <c r="C147" s="2">
        <v>10.47974</v>
      </c>
      <c r="D147" s="2">
        <v>9.1201340000000002</v>
      </c>
      <c r="E147" s="2">
        <v>1.42258</v>
      </c>
      <c r="F147" s="2">
        <v>3</v>
      </c>
      <c r="G147" s="2">
        <v>0</v>
      </c>
      <c r="H147" s="2">
        <v>1</v>
      </c>
      <c r="I147" s="2">
        <v>0</v>
      </c>
      <c r="J147" s="2" t="s">
        <v>726</v>
      </c>
      <c r="K147" s="2" t="s">
        <v>727</v>
      </c>
    </row>
    <row r="148" spans="1:14" ht="0.5" customHeight="1">
      <c r="A148" s="2" t="s">
        <v>101</v>
      </c>
      <c r="B148" s="2" t="s">
        <v>669</v>
      </c>
      <c r="C148" s="2">
        <v>10.103109999999999</v>
      </c>
      <c r="D148" s="2">
        <v>8.4788859999999993</v>
      </c>
      <c r="E148" s="2">
        <v>1.90883</v>
      </c>
      <c r="G148" s="2">
        <v>0</v>
      </c>
      <c r="H148" s="2">
        <v>0</v>
      </c>
      <c r="I148" s="2">
        <v>0</v>
      </c>
      <c r="J148" s="2" t="s">
        <v>377</v>
      </c>
      <c r="K148" s="2" t="s">
        <v>728</v>
      </c>
      <c r="L148" s="2">
        <v>7.3682650000000001</v>
      </c>
      <c r="M148" s="2">
        <v>6.3778569999999997</v>
      </c>
      <c r="N148" s="2">
        <v>2.09734</v>
      </c>
    </row>
    <row r="149" spans="1:14" ht="0.5" customHeight="1">
      <c r="A149" s="2" t="s">
        <v>355</v>
      </c>
      <c r="B149" s="2" t="s">
        <v>670</v>
      </c>
      <c r="C149" s="2">
        <v>7.9439690000000001</v>
      </c>
      <c r="G149" s="2">
        <v>0</v>
      </c>
      <c r="H149" s="2">
        <v>0</v>
      </c>
      <c r="I149" s="2">
        <v>0</v>
      </c>
      <c r="J149" s="2" t="s">
        <v>378</v>
      </c>
      <c r="K149" s="2" t="s">
        <v>729</v>
      </c>
      <c r="L149" s="2">
        <v>10.81213</v>
      </c>
    </row>
    <row r="150" spans="1:14" ht="0.5" customHeight="1">
      <c r="A150" s="2" t="s">
        <v>357</v>
      </c>
      <c r="B150" s="2" t="s">
        <v>671</v>
      </c>
      <c r="C150" s="2">
        <v>8.0651530000000005</v>
      </c>
      <c r="D150" s="2">
        <v>6.9753879999999997</v>
      </c>
      <c r="E150" s="2">
        <v>3.6864599999999998</v>
      </c>
      <c r="G150" s="2">
        <v>0</v>
      </c>
      <c r="H150" s="2">
        <v>0</v>
      </c>
      <c r="I150" s="2">
        <v>0</v>
      </c>
      <c r="J150" s="2" t="s">
        <v>730</v>
      </c>
      <c r="K150" s="2" t="s">
        <v>731</v>
      </c>
      <c r="L150" s="2">
        <v>8.2641690000000008</v>
      </c>
    </row>
    <row r="151" spans="1:14" ht="0.5" customHeight="1">
      <c r="A151" s="2" t="s">
        <v>343</v>
      </c>
      <c r="B151" s="2" t="s">
        <v>672</v>
      </c>
      <c r="C151" s="2">
        <v>8.0432229999999993</v>
      </c>
      <c r="E151" s="2">
        <v>0.83955999999999997</v>
      </c>
      <c r="G151" s="2">
        <v>0</v>
      </c>
      <c r="H151" s="2">
        <v>0</v>
      </c>
      <c r="I151" s="2">
        <v>0</v>
      </c>
      <c r="J151" s="2" t="s">
        <v>379</v>
      </c>
      <c r="K151" s="2" t="s">
        <v>732</v>
      </c>
      <c r="L151" s="2">
        <v>7.7031049999999999</v>
      </c>
      <c r="M151" s="2">
        <v>6.4309770000000004</v>
      </c>
      <c r="N151" s="2">
        <v>1.62141</v>
      </c>
    </row>
    <row r="152" spans="1:14" ht="0.5" customHeight="1">
      <c r="A152" s="2" t="s">
        <v>673</v>
      </c>
      <c r="B152" s="2" t="s">
        <v>674</v>
      </c>
      <c r="C152" s="2">
        <v>7.4534789999999997</v>
      </c>
      <c r="G152" s="2">
        <v>0</v>
      </c>
      <c r="H152" s="2">
        <v>0</v>
      </c>
      <c r="I152" s="2">
        <v>0</v>
      </c>
      <c r="J152" s="2" t="s">
        <v>733</v>
      </c>
      <c r="K152" s="2" t="s">
        <v>734</v>
      </c>
      <c r="L152" s="2">
        <v>7.6170150000000003</v>
      </c>
    </row>
    <row r="153" spans="1:14" ht="0.5" customHeight="1">
      <c r="A153" s="2" t="s">
        <v>675</v>
      </c>
      <c r="B153" s="2" t="s">
        <v>676</v>
      </c>
      <c r="C153" s="2">
        <v>10.00661</v>
      </c>
      <c r="G153" s="2">
        <v>0</v>
      </c>
      <c r="H153" s="2">
        <v>0</v>
      </c>
      <c r="I153" s="2">
        <v>0</v>
      </c>
      <c r="J153" s="2" t="s">
        <v>382</v>
      </c>
      <c r="K153" s="2" t="s">
        <v>735</v>
      </c>
      <c r="L153" s="2">
        <v>7.5596439999999996</v>
      </c>
      <c r="M153" s="2">
        <v>5.0128579999999996</v>
      </c>
      <c r="N153" s="2">
        <v>0.64549999999999996</v>
      </c>
    </row>
    <row r="154" spans="1:14" ht="0.5" customHeight="1">
      <c r="A154" s="2" t="s">
        <v>356</v>
      </c>
      <c r="B154" s="2" t="s">
        <v>585</v>
      </c>
      <c r="C154" s="2">
        <v>10.42346</v>
      </c>
      <c r="D154" s="2">
        <v>8.9370469999999997</v>
      </c>
      <c r="E154" s="2">
        <v>1.76772</v>
      </c>
      <c r="F154" s="2">
        <v>3</v>
      </c>
      <c r="G154" s="2">
        <v>0</v>
      </c>
      <c r="H154" s="2">
        <v>1</v>
      </c>
      <c r="I154" s="2">
        <v>0</v>
      </c>
      <c r="J154" s="2" t="s">
        <v>736</v>
      </c>
      <c r="K154" s="2" t="s">
        <v>737</v>
      </c>
      <c r="M154" s="2">
        <v>8.9211379999999991</v>
      </c>
      <c r="N154" s="2">
        <v>0.85245000000000004</v>
      </c>
    </row>
    <row r="155" spans="1:14" ht="0.5" customHeight="1">
      <c r="A155" s="2" t="s">
        <v>108</v>
      </c>
      <c r="B155" s="2" t="s">
        <v>677</v>
      </c>
      <c r="C155" s="2">
        <v>11.15451</v>
      </c>
      <c r="D155" s="2">
        <v>9.6843529999999998</v>
      </c>
      <c r="E155" s="2">
        <v>1.9549000000000001</v>
      </c>
      <c r="G155" s="2">
        <v>0</v>
      </c>
      <c r="H155" s="2">
        <v>0</v>
      </c>
      <c r="I155" s="2">
        <v>0</v>
      </c>
      <c r="J155" s="2" t="s">
        <v>738</v>
      </c>
      <c r="K155" s="2" t="s">
        <v>739</v>
      </c>
    </row>
    <row r="156" spans="1:14" ht="0.5" customHeight="1">
      <c r="A156" s="2" t="s">
        <v>358</v>
      </c>
      <c r="B156" s="2" t="s">
        <v>678</v>
      </c>
      <c r="C156" s="2">
        <v>8.5323229999999999</v>
      </c>
      <c r="G156" s="2">
        <v>0</v>
      </c>
      <c r="H156" s="2">
        <v>0</v>
      </c>
      <c r="I156" s="2">
        <v>0</v>
      </c>
      <c r="J156" s="2" t="s">
        <v>380</v>
      </c>
      <c r="K156" s="2" t="s">
        <v>740</v>
      </c>
      <c r="L156" s="2">
        <v>9.4503369999999993</v>
      </c>
      <c r="M156" s="2">
        <v>7.4033990000000003</v>
      </c>
      <c r="N156" s="2">
        <v>1.0395700000000001</v>
      </c>
    </row>
    <row r="157" spans="1:14" ht="0.5" customHeight="1">
      <c r="A157" s="2" t="s">
        <v>150</v>
      </c>
      <c r="B157" s="2" t="s">
        <v>547</v>
      </c>
      <c r="C157" s="2">
        <v>9.5083549999999999</v>
      </c>
      <c r="D157" s="2">
        <v>6.7760280000000002</v>
      </c>
      <c r="E157" s="2">
        <v>0.43972</v>
      </c>
      <c r="F157" s="2">
        <v>1</v>
      </c>
      <c r="G157" s="2">
        <v>0</v>
      </c>
      <c r="H157" s="2">
        <v>0</v>
      </c>
      <c r="I157" s="2">
        <v>0</v>
      </c>
      <c r="J157" s="2" t="s">
        <v>741</v>
      </c>
      <c r="K157" s="2" t="s">
        <v>742</v>
      </c>
      <c r="L157" s="2">
        <v>7.583062</v>
      </c>
      <c r="N157" s="2">
        <v>9.5089999999999994E-2</v>
      </c>
    </row>
    <row r="158" spans="1:14" ht="0.5" customHeight="1">
      <c r="A158" s="2" t="s">
        <v>360</v>
      </c>
      <c r="B158" s="2" t="s">
        <v>679</v>
      </c>
      <c r="C158" s="2">
        <v>6.6891699999999998</v>
      </c>
      <c r="E158" s="2">
        <v>0.95103000000000004</v>
      </c>
      <c r="G158" s="2">
        <v>0</v>
      </c>
      <c r="H158" s="2">
        <v>0</v>
      </c>
      <c r="I158" s="2">
        <v>0</v>
      </c>
      <c r="J158" s="2" t="s">
        <v>743</v>
      </c>
      <c r="K158" s="2" t="s">
        <v>744</v>
      </c>
      <c r="L158" s="2">
        <v>8.0163899999999995</v>
      </c>
      <c r="M158" s="2">
        <v>5.5895029999999997</v>
      </c>
      <c r="N158" s="2">
        <v>0.87649999999999995</v>
      </c>
    </row>
    <row r="159" spans="1:14" ht="0.5" customHeight="1">
      <c r="A159" s="2" t="s">
        <v>680</v>
      </c>
      <c r="B159" s="2" t="s">
        <v>681</v>
      </c>
      <c r="C159" s="2">
        <v>9.6077729999999999</v>
      </c>
      <c r="G159" s="2">
        <v>0</v>
      </c>
      <c r="H159" s="2">
        <v>0</v>
      </c>
      <c r="I159" s="2">
        <v>0</v>
      </c>
      <c r="J159" s="2" t="s">
        <v>745</v>
      </c>
      <c r="K159" s="2" t="s">
        <v>746</v>
      </c>
      <c r="L159" s="2">
        <v>9.6723510000000008</v>
      </c>
    </row>
    <row r="160" spans="1:14" ht="0.5" customHeight="1">
      <c r="A160" s="2" t="s">
        <v>682</v>
      </c>
      <c r="B160" s="2" t="s">
        <v>683</v>
      </c>
      <c r="C160" s="2">
        <v>9.2340149999999994</v>
      </c>
      <c r="D160" s="2">
        <v>7.9317529999999996</v>
      </c>
      <c r="E160" s="2">
        <v>1.9531400000000001</v>
      </c>
      <c r="G160" s="2">
        <v>0</v>
      </c>
      <c r="H160" s="2">
        <v>0</v>
      </c>
      <c r="I160" s="2">
        <v>0</v>
      </c>
      <c r="J160" s="2" t="s">
        <v>385</v>
      </c>
      <c r="K160" s="2" t="s">
        <v>747</v>
      </c>
      <c r="L160" s="2">
        <v>8.9759879999999992</v>
      </c>
      <c r="M160" s="2">
        <v>8.0696580000000004</v>
      </c>
      <c r="N160" s="2">
        <v>3.1703199999999998</v>
      </c>
    </row>
    <row r="161" spans="1:14" ht="0.5" customHeight="1">
      <c r="A161" s="2" t="s">
        <v>684</v>
      </c>
      <c r="B161" s="2" t="s">
        <v>685</v>
      </c>
      <c r="E161" s="2">
        <v>1.2122900000000001</v>
      </c>
      <c r="G161" s="2">
        <v>0</v>
      </c>
      <c r="H161" s="2">
        <v>0</v>
      </c>
      <c r="I161" s="2">
        <v>0</v>
      </c>
      <c r="J161" s="2" t="s">
        <v>748</v>
      </c>
      <c r="K161" s="2" t="s">
        <v>749</v>
      </c>
    </row>
    <row r="162" spans="1:14" ht="0.5" customHeight="1">
      <c r="A162" s="2" t="s">
        <v>384</v>
      </c>
      <c r="B162" s="2" t="s">
        <v>686</v>
      </c>
      <c r="C162" s="2">
        <v>9.2725690000000007</v>
      </c>
      <c r="D162" s="2">
        <v>6.4997319999999998</v>
      </c>
      <c r="E162" s="2">
        <v>0.79571999999999998</v>
      </c>
      <c r="G162" s="2">
        <v>0</v>
      </c>
      <c r="H162" s="2">
        <v>0</v>
      </c>
      <c r="I162" s="2">
        <v>0</v>
      </c>
      <c r="J162" s="2" t="s">
        <v>381</v>
      </c>
      <c r="K162" s="2" t="s">
        <v>750</v>
      </c>
      <c r="L162" s="2">
        <v>10.134880000000001</v>
      </c>
      <c r="M162" s="2">
        <v>7.3278290000000004</v>
      </c>
      <c r="N162" s="2">
        <v>0.58301999999999998</v>
      </c>
    </row>
    <row r="163" spans="1:14" ht="0.5" customHeight="1">
      <c r="A163" s="2" t="s">
        <v>359</v>
      </c>
      <c r="B163" s="2" t="s">
        <v>687</v>
      </c>
      <c r="C163" s="2">
        <v>7.8308270000000002</v>
      </c>
      <c r="G163" s="2">
        <v>0</v>
      </c>
      <c r="H163" s="2">
        <v>0</v>
      </c>
      <c r="I163" s="2">
        <v>0</v>
      </c>
      <c r="J163" s="2" t="s">
        <v>751</v>
      </c>
      <c r="K163" s="2" t="s">
        <v>752</v>
      </c>
      <c r="N163" s="2">
        <v>2.2178499999999999</v>
      </c>
    </row>
    <row r="164" spans="1:14" ht="0.5" customHeight="1">
      <c r="A164" s="2" t="s">
        <v>81</v>
      </c>
      <c r="B164" s="2" t="s">
        <v>533</v>
      </c>
      <c r="C164" s="2">
        <v>10.1576</v>
      </c>
      <c r="D164" s="2">
        <v>8.4048250000000007</v>
      </c>
      <c r="E164" s="2">
        <v>1.8913599999999999</v>
      </c>
      <c r="F164" s="2">
        <v>2</v>
      </c>
      <c r="G164" s="2">
        <v>0</v>
      </c>
      <c r="H164" s="2">
        <v>0</v>
      </c>
      <c r="I164" s="2">
        <v>0</v>
      </c>
      <c r="J164" s="2" t="s">
        <v>753</v>
      </c>
      <c r="K164" s="2" t="s">
        <v>754</v>
      </c>
    </row>
    <row r="165" spans="1:14" ht="0.5" customHeight="1">
      <c r="A165" s="2" t="s">
        <v>128</v>
      </c>
      <c r="B165" s="2" t="s">
        <v>584</v>
      </c>
      <c r="C165" s="2">
        <v>11.422650000000001</v>
      </c>
      <c r="D165" s="2">
        <v>9.7101889999999997</v>
      </c>
      <c r="E165" s="2">
        <v>1.50773</v>
      </c>
      <c r="F165" s="2">
        <v>2</v>
      </c>
      <c r="G165" s="2">
        <v>0</v>
      </c>
      <c r="H165" s="2">
        <v>1</v>
      </c>
      <c r="I165" s="2">
        <v>0</v>
      </c>
      <c r="J165" s="2" t="s">
        <v>755</v>
      </c>
      <c r="K165" s="2" t="s">
        <v>756</v>
      </c>
      <c r="L165" s="2">
        <v>7.6372140000000002</v>
      </c>
      <c r="M165" s="2">
        <v>5.9811160000000001</v>
      </c>
      <c r="N165" s="2">
        <v>0.70448</v>
      </c>
    </row>
    <row r="166" spans="1:14" ht="0.5" customHeight="1">
      <c r="A166" s="2" t="s">
        <v>97</v>
      </c>
      <c r="B166" s="2" t="s">
        <v>589</v>
      </c>
      <c r="C166" s="2">
        <v>10.000540000000001</v>
      </c>
      <c r="D166" s="2">
        <v>8.6346849999999993</v>
      </c>
      <c r="E166" s="2">
        <v>1.6087100000000001</v>
      </c>
      <c r="F166" s="2">
        <v>2</v>
      </c>
      <c r="G166" s="2">
        <v>0</v>
      </c>
      <c r="H166" s="2">
        <v>1</v>
      </c>
      <c r="I166" s="2">
        <v>0</v>
      </c>
      <c r="J166" s="2" t="s">
        <v>757</v>
      </c>
      <c r="K166" s="2" t="s">
        <v>758</v>
      </c>
      <c r="L166" s="2">
        <v>7.1983319999999997</v>
      </c>
      <c r="M166" s="2">
        <v>5.2798930000000004</v>
      </c>
      <c r="N166" s="2">
        <v>0.84648000000000001</v>
      </c>
    </row>
    <row r="167" spans="1:14" ht="0.5" customHeight="1">
      <c r="A167" s="2" t="s">
        <v>688</v>
      </c>
      <c r="B167" s="2" t="s">
        <v>689</v>
      </c>
      <c r="G167" s="2">
        <v>0</v>
      </c>
      <c r="H167" s="2">
        <v>0</v>
      </c>
      <c r="I167" s="2">
        <v>0</v>
      </c>
      <c r="J167" s="2" t="s">
        <v>386</v>
      </c>
      <c r="K167" s="2" t="s">
        <v>759</v>
      </c>
      <c r="L167" s="2">
        <v>7.8505079999999996</v>
      </c>
    </row>
    <row r="168" spans="1:14" ht="0.5" customHeight="1">
      <c r="A168" s="2" t="s">
        <v>109</v>
      </c>
      <c r="B168" s="2" t="s">
        <v>690</v>
      </c>
      <c r="C168" s="2">
        <v>8.8743479999999995</v>
      </c>
      <c r="D168" s="2">
        <v>7.8322000000000003</v>
      </c>
      <c r="E168" s="2">
        <v>2.7010800000000001</v>
      </c>
      <c r="G168" s="2">
        <v>0</v>
      </c>
      <c r="H168" s="2">
        <v>0</v>
      </c>
      <c r="I168" s="2">
        <v>0</v>
      </c>
      <c r="J168" s="2" t="s">
        <v>760</v>
      </c>
      <c r="K168" s="2" t="s">
        <v>761</v>
      </c>
      <c r="L168" s="2">
        <v>9.5998049999999999</v>
      </c>
    </row>
    <row r="169" spans="1:14" ht="0.5" customHeight="1">
      <c r="A169" s="2" t="s">
        <v>691</v>
      </c>
      <c r="B169" s="2" t="s">
        <v>692</v>
      </c>
      <c r="E169" s="2">
        <v>0.41963</v>
      </c>
      <c r="G169" s="2">
        <v>0</v>
      </c>
      <c r="H169" s="2">
        <v>0</v>
      </c>
      <c r="I169" s="2">
        <v>0</v>
      </c>
      <c r="J169" s="2" t="s">
        <v>762</v>
      </c>
      <c r="K169" s="2" t="s">
        <v>763</v>
      </c>
      <c r="L169" s="2">
        <v>7.6471739999999997</v>
      </c>
      <c r="M169" s="2">
        <v>6.2528649999999999</v>
      </c>
      <c r="N169" s="2">
        <v>2.2889699999999999</v>
      </c>
    </row>
    <row r="170" spans="1:14" ht="0.5" customHeight="1">
      <c r="A170" s="2" t="s">
        <v>153</v>
      </c>
      <c r="B170" s="2" t="s">
        <v>555</v>
      </c>
      <c r="C170" s="2">
        <v>8.4685570000000006</v>
      </c>
      <c r="D170" s="2">
        <v>7.5645670000000003</v>
      </c>
      <c r="E170" s="2">
        <v>2.6749499999999999</v>
      </c>
      <c r="F170" s="2">
        <v>1</v>
      </c>
      <c r="G170" s="2">
        <v>0</v>
      </c>
      <c r="H170" s="2">
        <v>0</v>
      </c>
      <c r="I170" s="2">
        <v>0</v>
      </c>
      <c r="J170" s="2" t="s">
        <v>764</v>
      </c>
      <c r="K170" s="2" t="s">
        <v>765</v>
      </c>
      <c r="L170" s="2">
        <v>8.5114800000000006</v>
      </c>
    </row>
    <row r="171" spans="1:14" ht="0.5" customHeight="1">
      <c r="A171" s="2" t="s">
        <v>693</v>
      </c>
      <c r="B171" s="2" t="s">
        <v>694</v>
      </c>
      <c r="C171" s="2">
        <v>7.2230509999999999</v>
      </c>
      <c r="D171" s="2">
        <v>4.7648270000000004</v>
      </c>
      <c r="E171" s="2">
        <v>0.52853000000000006</v>
      </c>
      <c r="G171" s="2">
        <v>0</v>
      </c>
      <c r="H171" s="2">
        <v>0</v>
      </c>
      <c r="I171" s="2">
        <v>0</v>
      </c>
      <c r="J171" s="2" t="s">
        <v>766</v>
      </c>
      <c r="K171" s="2" t="s">
        <v>767</v>
      </c>
      <c r="L171" s="2">
        <v>8.186515</v>
      </c>
    </row>
    <row r="172" spans="1:14" ht="0.5" customHeight="1">
      <c r="A172" s="2" t="s">
        <v>695</v>
      </c>
      <c r="B172" s="2" t="s">
        <v>696</v>
      </c>
      <c r="C172" s="2">
        <v>9.3887859999999996</v>
      </c>
      <c r="G172" s="2">
        <v>0</v>
      </c>
      <c r="H172" s="2">
        <v>0</v>
      </c>
      <c r="I172" s="2">
        <v>0</v>
      </c>
      <c r="J172" s="2" t="s">
        <v>387</v>
      </c>
      <c r="K172" s="2" t="s">
        <v>768</v>
      </c>
      <c r="L172" s="2">
        <v>7.7920220000000002</v>
      </c>
      <c r="M172" s="2">
        <v>5.4978410000000002</v>
      </c>
      <c r="N172" s="2">
        <v>0.63600000000000001</v>
      </c>
    </row>
    <row r="173" spans="1:14" ht="0.5" customHeight="1">
      <c r="A173" s="2" t="s">
        <v>52</v>
      </c>
      <c r="B173" s="2" t="s">
        <v>550</v>
      </c>
      <c r="C173" s="2">
        <v>9.6990110000000005</v>
      </c>
      <c r="D173" s="2">
        <v>7.8351620000000004</v>
      </c>
      <c r="E173" s="2">
        <v>1.5804100000000001</v>
      </c>
      <c r="F173" s="2">
        <v>1</v>
      </c>
      <c r="G173" s="2">
        <v>1</v>
      </c>
      <c r="H173" s="2">
        <v>0</v>
      </c>
      <c r="I173" s="2">
        <v>0</v>
      </c>
      <c r="J173" s="2" t="s">
        <v>388</v>
      </c>
      <c r="K173" s="2" t="s">
        <v>769</v>
      </c>
      <c r="L173" s="2">
        <v>7.43215</v>
      </c>
      <c r="M173" s="2">
        <v>5.7443540000000004</v>
      </c>
      <c r="N173" s="2">
        <v>0.64259999999999995</v>
      </c>
    </row>
    <row r="174" spans="1:14" ht="0.5" customHeight="1">
      <c r="A174" s="2" t="s">
        <v>697</v>
      </c>
      <c r="B174" s="2" t="s">
        <v>698</v>
      </c>
      <c r="C174" s="2">
        <v>8.1963939999999997</v>
      </c>
      <c r="G174" s="2">
        <v>0</v>
      </c>
      <c r="H174" s="2">
        <v>0</v>
      </c>
      <c r="I174" s="2">
        <v>0</v>
      </c>
      <c r="J174" s="2" t="s">
        <v>104</v>
      </c>
      <c r="K174" s="2" t="s">
        <v>770</v>
      </c>
      <c r="L174" s="2">
        <v>9.0165509999999998</v>
      </c>
      <c r="M174" s="2">
        <v>7.8720340000000002</v>
      </c>
      <c r="N174" s="2">
        <v>1.87646</v>
      </c>
    </row>
    <row r="175" spans="1:14" ht="0.5" customHeight="1">
      <c r="A175" s="2" t="s">
        <v>361</v>
      </c>
      <c r="B175" s="2" t="s">
        <v>563</v>
      </c>
      <c r="C175" s="2">
        <v>9.4166629999999998</v>
      </c>
      <c r="F175" s="2">
        <v>1</v>
      </c>
      <c r="G175" s="2">
        <v>0</v>
      </c>
      <c r="H175" s="2">
        <v>0</v>
      </c>
      <c r="I175" s="2">
        <v>0</v>
      </c>
      <c r="J175" s="2" t="s">
        <v>389</v>
      </c>
      <c r="K175" s="2" t="s">
        <v>771</v>
      </c>
      <c r="L175" s="2">
        <v>8.5786409999999993</v>
      </c>
    </row>
    <row r="176" spans="1:14" ht="0.5" customHeight="1">
      <c r="A176" s="2" t="s">
        <v>364</v>
      </c>
      <c r="B176" s="2" t="s">
        <v>699</v>
      </c>
      <c r="C176" s="2">
        <v>7.6905229999999998</v>
      </c>
      <c r="D176" s="2">
        <v>6.0444740000000001</v>
      </c>
      <c r="E176" s="2">
        <v>1.4834700000000001</v>
      </c>
      <c r="G176" s="2">
        <v>0</v>
      </c>
      <c r="H176" s="2">
        <v>0</v>
      </c>
      <c r="I176" s="2">
        <v>0</v>
      </c>
      <c r="J176" s="2" t="s">
        <v>772</v>
      </c>
      <c r="K176" s="2" t="s">
        <v>773</v>
      </c>
      <c r="L176" s="2">
        <v>9.2340660000000003</v>
      </c>
      <c r="M176" s="2">
        <v>7.7651450000000004</v>
      </c>
      <c r="N176" s="2">
        <v>2.0778599999999998</v>
      </c>
    </row>
    <row r="177" spans="1:14" ht="0.5" customHeight="1">
      <c r="A177" s="2" t="s">
        <v>152</v>
      </c>
      <c r="B177" s="2" t="s">
        <v>540</v>
      </c>
      <c r="C177" s="2">
        <v>10.268879999999999</v>
      </c>
      <c r="D177" s="2">
        <v>9.3717620000000004</v>
      </c>
      <c r="E177" s="2">
        <v>3.1476600000000001</v>
      </c>
      <c r="F177" s="2">
        <v>2</v>
      </c>
      <c r="G177" s="2">
        <v>0</v>
      </c>
      <c r="H177" s="2">
        <v>0</v>
      </c>
      <c r="I177" s="2">
        <v>0</v>
      </c>
      <c r="J177" s="2" t="s">
        <v>774</v>
      </c>
      <c r="K177" s="2" t="s">
        <v>775</v>
      </c>
    </row>
    <row r="178" spans="1:14" ht="0.5" customHeight="1">
      <c r="A178" s="2" t="s">
        <v>369</v>
      </c>
      <c r="B178" s="2" t="s">
        <v>700</v>
      </c>
      <c r="G178" s="2">
        <v>0</v>
      </c>
      <c r="H178" s="2">
        <v>0</v>
      </c>
      <c r="I178" s="2">
        <v>0</v>
      </c>
      <c r="J178" s="2" t="s">
        <v>776</v>
      </c>
      <c r="K178" s="2" t="s">
        <v>777</v>
      </c>
      <c r="L178" s="2">
        <v>7.9694339999999997</v>
      </c>
      <c r="N178" s="2">
        <v>1.59819</v>
      </c>
    </row>
    <row r="179" spans="1:14" ht="0.5" customHeight="1">
      <c r="A179" s="2" t="s">
        <v>154</v>
      </c>
      <c r="B179" s="2" t="s">
        <v>569</v>
      </c>
      <c r="C179" s="2">
        <v>9.584244</v>
      </c>
      <c r="F179" s="2">
        <v>1</v>
      </c>
      <c r="G179" s="2">
        <v>0</v>
      </c>
      <c r="H179" s="2">
        <v>0</v>
      </c>
      <c r="I179" s="2">
        <v>0</v>
      </c>
      <c r="J179" s="2" t="s">
        <v>778</v>
      </c>
      <c r="K179" s="2" t="s">
        <v>779</v>
      </c>
      <c r="L179" s="2">
        <v>8.6168479999999992</v>
      </c>
    </row>
    <row r="180" spans="1:14" ht="0.5" customHeight="1">
      <c r="A180" s="2" t="s">
        <v>367</v>
      </c>
      <c r="B180" s="2" t="s">
        <v>701</v>
      </c>
      <c r="C180" s="2">
        <v>9.3416619999999995</v>
      </c>
      <c r="D180" s="2">
        <v>7.0567929999999999</v>
      </c>
      <c r="E180" s="2">
        <v>1.4005099999999999</v>
      </c>
      <c r="G180" s="2">
        <v>0</v>
      </c>
      <c r="H180" s="2">
        <v>0</v>
      </c>
      <c r="I180" s="2">
        <v>0</v>
      </c>
      <c r="J180" s="2" t="s">
        <v>391</v>
      </c>
      <c r="K180" s="2" t="s">
        <v>780</v>
      </c>
      <c r="L180" s="2">
        <v>8.2061209999999996</v>
      </c>
      <c r="M180" s="2">
        <v>6.1227119999999999</v>
      </c>
      <c r="N180" s="2">
        <v>0.85511999999999999</v>
      </c>
    </row>
    <row r="181" spans="1:14" ht="0.5" customHeight="1">
      <c r="A181" s="2" t="s">
        <v>702</v>
      </c>
      <c r="B181" s="2" t="s">
        <v>703</v>
      </c>
      <c r="G181" s="2">
        <v>0</v>
      </c>
      <c r="H181" s="2">
        <v>0</v>
      </c>
      <c r="I181" s="2">
        <v>0</v>
      </c>
      <c r="J181" s="2" t="s">
        <v>383</v>
      </c>
      <c r="K181" s="2" t="s">
        <v>781</v>
      </c>
      <c r="L181" s="2">
        <v>9.4283699999999993</v>
      </c>
      <c r="M181" s="2">
        <v>7.8513960000000003</v>
      </c>
      <c r="N181" s="2">
        <v>1.86049</v>
      </c>
    </row>
    <row r="182" spans="1:14" ht="0.5" customHeight="1">
      <c r="A182" s="2" t="s">
        <v>368</v>
      </c>
      <c r="B182" s="2" t="s">
        <v>704</v>
      </c>
      <c r="C182" s="2">
        <v>6.984318</v>
      </c>
      <c r="D182" s="2">
        <v>6.6053740000000003</v>
      </c>
      <c r="E182" s="2">
        <v>1.98316</v>
      </c>
      <c r="G182" s="2">
        <v>0</v>
      </c>
      <c r="H182" s="2">
        <v>0</v>
      </c>
      <c r="I182" s="2">
        <v>0</v>
      </c>
      <c r="J182" s="2" t="s">
        <v>782</v>
      </c>
      <c r="K182" s="2" t="s">
        <v>783</v>
      </c>
      <c r="L182" s="2">
        <v>6.5666960000000003</v>
      </c>
      <c r="M182" s="2">
        <v>3.7067299999999999</v>
      </c>
      <c r="N182" s="2">
        <v>0.32235000000000003</v>
      </c>
    </row>
    <row r="183" spans="1:14" ht="0.5" customHeight="1">
      <c r="A183" s="2" t="s">
        <v>365</v>
      </c>
      <c r="B183" s="2" t="s">
        <v>705</v>
      </c>
      <c r="C183" s="2">
        <v>8.2143409999999992</v>
      </c>
      <c r="D183" s="2">
        <v>6.4643329999999999</v>
      </c>
      <c r="E183" s="2">
        <v>0.76432999999999995</v>
      </c>
      <c r="G183" s="2">
        <v>0</v>
      </c>
      <c r="H183" s="2">
        <v>0</v>
      </c>
      <c r="I183" s="2">
        <v>0</v>
      </c>
      <c r="J183" s="2" t="s">
        <v>392</v>
      </c>
      <c r="K183" s="2" t="s">
        <v>784</v>
      </c>
      <c r="L183" s="2">
        <v>8.1948419999999995</v>
      </c>
    </row>
    <row r="184" spans="1:14" ht="0.5" customHeight="1">
      <c r="A184" s="2" t="s">
        <v>366</v>
      </c>
      <c r="B184" s="2" t="s">
        <v>706</v>
      </c>
      <c r="C184" s="2">
        <v>9.7834029999999998</v>
      </c>
      <c r="D184" s="2">
        <v>8.5964340000000004</v>
      </c>
      <c r="E184" s="2">
        <v>3.0716600000000001</v>
      </c>
      <c r="G184" s="2">
        <v>0</v>
      </c>
      <c r="H184" s="2">
        <v>0</v>
      </c>
      <c r="I184" s="2">
        <v>0</v>
      </c>
      <c r="J184" s="2" t="s">
        <v>393</v>
      </c>
      <c r="K184" s="2" t="s">
        <v>785</v>
      </c>
      <c r="L184" s="2">
        <v>7.4437480000000003</v>
      </c>
      <c r="N184" s="2">
        <v>0.50527</v>
      </c>
    </row>
    <row r="185" spans="1:14" ht="0.5" customHeight="1">
      <c r="A185" s="2" t="s">
        <v>362</v>
      </c>
      <c r="B185" s="2" t="s">
        <v>707</v>
      </c>
      <c r="C185" s="2">
        <v>7.0164</v>
      </c>
      <c r="D185" s="2">
        <v>5.4629640000000004</v>
      </c>
      <c r="E185" s="2">
        <v>1.69641</v>
      </c>
      <c r="G185" s="2">
        <v>0</v>
      </c>
      <c r="H185" s="2">
        <v>0</v>
      </c>
      <c r="I185" s="2">
        <v>0</v>
      </c>
    </row>
    <row r="186" spans="1:14" ht="0.5" customHeight="1">
      <c r="A186" s="2" t="s">
        <v>363</v>
      </c>
      <c r="B186" s="2" t="s">
        <v>708</v>
      </c>
      <c r="C186" s="2">
        <v>10.10478</v>
      </c>
      <c r="D186" s="2">
        <v>8.5924359999999993</v>
      </c>
      <c r="E186" s="2">
        <v>2.0802900000000002</v>
      </c>
      <c r="G186" s="2">
        <v>0</v>
      </c>
      <c r="H186" s="2">
        <v>0</v>
      </c>
      <c r="I186" s="2">
        <v>0</v>
      </c>
    </row>
    <row r="187" spans="1:14" ht="0.5" customHeight="1">
      <c r="A187" s="2" t="s">
        <v>370</v>
      </c>
      <c r="B187" s="2" t="s">
        <v>709</v>
      </c>
      <c r="C187" s="2">
        <v>9.1581519999999994</v>
      </c>
      <c r="E187" s="2">
        <v>1.9657899999999999</v>
      </c>
      <c r="G187" s="2">
        <v>0</v>
      </c>
      <c r="H187" s="2">
        <v>0</v>
      </c>
      <c r="I187" s="2">
        <v>0</v>
      </c>
    </row>
    <row r="188" spans="1:14" ht="0.5" customHeight="1">
      <c r="A188" s="2" t="s">
        <v>710</v>
      </c>
      <c r="B188" s="2" t="s">
        <v>711</v>
      </c>
      <c r="G188" s="2">
        <v>0</v>
      </c>
      <c r="H188" s="2">
        <v>0</v>
      </c>
      <c r="I188" s="2">
        <v>0</v>
      </c>
    </row>
    <row r="189" spans="1:14" ht="0.5" customHeight="1">
      <c r="A189" s="2" t="s">
        <v>372</v>
      </c>
      <c r="B189" s="2" t="s">
        <v>712</v>
      </c>
      <c r="C189" s="2">
        <v>6.8043469999999999</v>
      </c>
      <c r="D189" s="2">
        <v>6.5320929999999997</v>
      </c>
      <c r="E189" s="2">
        <v>1.9737499999999999</v>
      </c>
      <c r="G189" s="2">
        <v>0</v>
      </c>
      <c r="H189" s="2">
        <v>0</v>
      </c>
      <c r="I189" s="2">
        <v>0</v>
      </c>
    </row>
    <row r="190" spans="1:14" ht="0.5" customHeight="1">
      <c r="A190" s="2" t="s">
        <v>373</v>
      </c>
      <c r="B190" s="2" t="s">
        <v>713</v>
      </c>
      <c r="C190" s="2">
        <v>8.6375419999999998</v>
      </c>
      <c r="G190" s="2">
        <v>0</v>
      </c>
      <c r="H190" s="2">
        <v>0</v>
      </c>
      <c r="I190" s="2">
        <v>0</v>
      </c>
    </row>
    <row r="191" spans="1:14" ht="0.5" customHeight="1">
      <c r="A191" s="2" t="s">
        <v>53</v>
      </c>
      <c r="B191" s="2" t="s">
        <v>570</v>
      </c>
      <c r="C191" s="2">
        <v>8.4569010000000002</v>
      </c>
      <c r="D191" s="2">
        <v>5.6669159999999996</v>
      </c>
      <c r="E191" s="2">
        <v>0.59457000000000004</v>
      </c>
      <c r="G191" s="2">
        <v>1</v>
      </c>
      <c r="H191" s="2">
        <v>0</v>
      </c>
      <c r="I191" s="2">
        <v>0</v>
      </c>
    </row>
    <row r="192" spans="1:14" ht="0.5" customHeight="1">
      <c r="A192" s="2" t="s">
        <v>100</v>
      </c>
      <c r="B192" s="2" t="s">
        <v>590</v>
      </c>
      <c r="C192" s="2">
        <v>10.72902</v>
      </c>
      <c r="D192" s="2">
        <v>9.3416040000000002</v>
      </c>
      <c r="E192" s="2">
        <v>2.2823099999999998</v>
      </c>
      <c r="F192" s="2">
        <v>3</v>
      </c>
      <c r="G192" s="2">
        <v>0</v>
      </c>
      <c r="H192" s="2">
        <v>1</v>
      </c>
      <c r="I192" s="2">
        <v>0</v>
      </c>
    </row>
    <row r="193" spans="1:9" ht="0.5" customHeight="1">
      <c r="A193" s="2" t="s">
        <v>92</v>
      </c>
      <c r="B193" s="2" t="s">
        <v>594</v>
      </c>
      <c r="C193" s="2">
        <v>11.06916</v>
      </c>
      <c r="D193" s="2">
        <v>9.6913459999999993</v>
      </c>
      <c r="E193" s="2">
        <v>2.2750599999999999</v>
      </c>
      <c r="F193" s="2">
        <v>3</v>
      </c>
      <c r="G193" s="2">
        <v>0</v>
      </c>
      <c r="H193" s="2">
        <v>1</v>
      </c>
      <c r="I193" s="2">
        <v>0</v>
      </c>
    </row>
    <row r="194" spans="1:9" ht="0.5" customHeight="1">
      <c r="A194" s="2" t="s">
        <v>371</v>
      </c>
      <c r="B194" s="2" t="s">
        <v>714</v>
      </c>
      <c r="C194" s="2">
        <v>7.7253530000000001</v>
      </c>
      <c r="D194" s="2">
        <v>5.7962049999999996</v>
      </c>
      <c r="E194" s="2">
        <v>1.6640299999999999</v>
      </c>
      <c r="G194" s="2">
        <v>0</v>
      </c>
      <c r="H194" s="2">
        <v>0</v>
      </c>
      <c r="I194" s="2">
        <v>0</v>
      </c>
    </row>
    <row r="195" spans="1:9" ht="0.5" customHeight="1">
      <c r="A195" s="2" t="s">
        <v>715</v>
      </c>
      <c r="B195" s="2" t="s">
        <v>716</v>
      </c>
      <c r="G195" s="2">
        <v>0</v>
      </c>
      <c r="H195" s="2">
        <v>0</v>
      </c>
      <c r="I195" s="2">
        <v>0</v>
      </c>
    </row>
    <row r="196" spans="1:9" ht="0.5" customHeight="1">
      <c r="A196" s="2" t="s">
        <v>99</v>
      </c>
      <c r="B196" s="2" t="s">
        <v>598</v>
      </c>
      <c r="C196" s="2">
        <v>10.44181</v>
      </c>
      <c r="D196" s="2">
        <v>8.9661880000000007</v>
      </c>
      <c r="E196" s="2">
        <v>2.46766</v>
      </c>
      <c r="F196" s="2">
        <v>3</v>
      </c>
      <c r="G196" s="2">
        <v>0</v>
      </c>
      <c r="H196" s="2">
        <v>1</v>
      </c>
      <c r="I196" s="2">
        <v>0</v>
      </c>
    </row>
    <row r="197" spans="1:9" ht="0.5" customHeight="1">
      <c r="A197" s="2" t="s">
        <v>717</v>
      </c>
      <c r="B197" s="2" t="s">
        <v>718</v>
      </c>
      <c r="C197" s="2">
        <v>10.51473</v>
      </c>
      <c r="D197" s="2">
        <v>9.0615389999999998</v>
      </c>
      <c r="E197" s="2">
        <v>1.6097399999999999</v>
      </c>
      <c r="G197" s="2">
        <v>0</v>
      </c>
      <c r="H197" s="2">
        <v>0</v>
      </c>
      <c r="I197" s="2">
        <v>0</v>
      </c>
    </row>
    <row r="198" spans="1:9" ht="0.5" customHeight="1">
      <c r="A198" s="2" t="s">
        <v>374</v>
      </c>
      <c r="B198" s="2" t="s">
        <v>719</v>
      </c>
      <c r="C198" s="2">
        <v>8.4316669999999991</v>
      </c>
      <c r="D198" s="2">
        <v>6.4153589999999996</v>
      </c>
      <c r="E198" s="2">
        <v>0.82333000000000001</v>
      </c>
      <c r="G198" s="2">
        <v>0</v>
      </c>
      <c r="H198" s="2">
        <v>0</v>
      </c>
      <c r="I198" s="2">
        <v>0</v>
      </c>
    </row>
    <row r="199" spans="1:9" ht="0.5" customHeight="1">
      <c r="A199" s="2" t="s">
        <v>54</v>
      </c>
      <c r="B199" s="2" t="s">
        <v>577</v>
      </c>
      <c r="C199" s="2">
        <v>9.9064399999999999</v>
      </c>
      <c r="D199" s="2">
        <v>7.3594119999999998</v>
      </c>
      <c r="E199" s="2">
        <v>0.73863000000000001</v>
      </c>
      <c r="G199" s="2">
        <v>1</v>
      </c>
      <c r="H199" s="2">
        <v>0</v>
      </c>
      <c r="I199" s="2">
        <v>0</v>
      </c>
    </row>
    <row r="200" spans="1:9" ht="0.5" customHeight="1">
      <c r="A200" s="2" t="s">
        <v>56</v>
      </c>
      <c r="B200" s="2" t="s">
        <v>558</v>
      </c>
      <c r="C200" s="2">
        <v>9.3458550000000002</v>
      </c>
      <c r="D200" s="2">
        <v>7.3551229999999999</v>
      </c>
      <c r="E200" s="2">
        <v>1.1250500000000001</v>
      </c>
      <c r="F200" s="2">
        <v>1</v>
      </c>
      <c r="G200" s="2">
        <v>1</v>
      </c>
      <c r="H200" s="2">
        <v>0</v>
      </c>
      <c r="I200" s="2">
        <v>0</v>
      </c>
    </row>
    <row r="201" spans="1:9" ht="0.5" customHeight="1">
      <c r="A201" s="2" t="s">
        <v>376</v>
      </c>
      <c r="B201" s="2" t="s">
        <v>720</v>
      </c>
      <c r="C201" s="2">
        <v>8.8021550000000008</v>
      </c>
      <c r="E201" s="2">
        <v>0.78776000000000002</v>
      </c>
      <c r="G201" s="2">
        <v>0</v>
      </c>
      <c r="H201" s="2">
        <v>0</v>
      </c>
      <c r="I201" s="2">
        <v>0</v>
      </c>
    </row>
    <row r="202" spans="1:9" ht="0.5" customHeight="1">
      <c r="A202" s="2" t="s">
        <v>721</v>
      </c>
      <c r="B202" s="2" t="s">
        <v>722</v>
      </c>
      <c r="C202" s="2">
        <v>9.4936589999999992</v>
      </c>
      <c r="G202" s="2">
        <v>0</v>
      </c>
      <c r="H202" s="2">
        <v>0</v>
      </c>
      <c r="I202" s="2">
        <v>0</v>
      </c>
    </row>
    <row r="203" spans="1:9" ht="0.5" customHeight="1">
      <c r="A203" s="2" t="s">
        <v>375</v>
      </c>
      <c r="B203" s="2" t="s">
        <v>723</v>
      </c>
      <c r="C203" s="2">
        <v>7.9096700000000002</v>
      </c>
      <c r="G203" s="2">
        <v>0</v>
      </c>
      <c r="H203" s="2">
        <v>0</v>
      </c>
      <c r="I203" s="2">
        <v>0</v>
      </c>
    </row>
    <row r="204" spans="1:9" ht="0.5" customHeight="1">
      <c r="A204" s="2" t="s">
        <v>129</v>
      </c>
      <c r="B204" s="2" t="s">
        <v>602</v>
      </c>
      <c r="C204" s="2">
        <v>10.083880000000001</v>
      </c>
      <c r="D204" s="2">
        <v>8.6233889999999995</v>
      </c>
      <c r="E204" s="2">
        <v>1.6342300000000001</v>
      </c>
      <c r="F204" s="2">
        <v>3</v>
      </c>
      <c r="G204" s="2">
        <v>0</v>
      </c>
      <c r="H204" s="2">
        <v>1</v>
      </c>
      <c r="I204" s="2">
        <v>0</v>
      </c>
    </row>
    <row r="205" spans="1:9" ht="0.5" customHeight="1">
      <c r="A205" s="2" t="s">
        <v>273</v>
      </c>
      <c r="B205" s="2" t="s">
        <v>786</v>
      </c>
      <c r="C205" s="2">
        <v>10.429510000000001</v>
      </c>
      <c r="D205" s="2">
        <v>8.8557640000000006</v>
      </c>
      <c r="E205" s="2">
        <v>1.5039499999999999</v>
      </c>
      <c r="H205" s="2">
        <v>0</v>
      </c>
      <c r="I205" s="2">
        <v>0</v>
      </c>
    </row>
    <row r="206" spans="1:9" ht="0.5" customHeight="1">
      <c r="A206" s="2" t="s">
        <v>724</v>
      </c>
      <c r="B206" s="2" t="s">
        <v>725</v>
      </c>
      <c r="G206" s="2">
        <v>0</v>
      </c>
      <c r="H206" s="2">
        <v>0</v>
      </c>
      <c r="I206" s="2">
        <v>0</v>
      </c>
    </row>
    <row r="207" spans="1:9" ht="0.5" customHeight="1">
      <c r="A207" s="2" t="s">
        <v>130</v>
      </c>
      <c r="B207" s="2" t="s">
        <v>593</v>
      </c>
      <c r="C207" s="2">
        <v>10.172549999999999</v>
      </c>
      <c r="D207" s="2">
        <v>9.0790679999999995</v>
      </c>
      <c r="E207" s="2">
        <v>2.2385600000000001</v>
      </c>
      <c r="F207" s="2">
        <v>2</v>
      </c>
      <c r="G207" s="2">
        <v>0</v>
      </c>
      <c r="H207" s="2">
        <v>1</v>
      </c>
      <c r="I207" s="2">
        <v>0</v>
      </c>
    </row>
    <row r="208" spans="1:9" ht="0.5" customHeight="1">
      <c r="A208" s="2" t="s">
        <v>55</v>
      </c>
      <c r="B208" s="2" t="s">
        <v>583</v>
      </c>
      <c r="C208" s="2">
        <v>9.0480129999999992</v>
      </c>
      <c r="D208" s="2">
        <v>7.1165450000000003</v>
      </c>
      <c r="E208" s="2">
        <v>1.6373899999999999</v>
      </c>
      <c r="G208" s="2">
        <v>1</v>
      </c>
      <c r="H208" s="2">
        <v>0</v>
      </c>
      <c r="I208" s="2">
        <v>0</v>
      </c>
    </row>
    <row r="209" spans="1:9" ht="0.5" customHeight="1">
      <c r="A209" s="2" t="s">
        <v>726</v>
      </c>
      <c r="B209" s="2" t="s">
        <v>727</v>
      </c>
      <c r="G209" s="2">
        <v>0</v>
      </c>
      <c r="H209" s="2">
        <v>0</v>
      </c>
      <c r="I209" s="2">
        <v>0</v>
      </c>
    </row>
    <row r="210" spans="1:9" ht="0.5" customHeight="1">
      <c r="A210" s="2" t="s">
        <v>111</v>
      </c>
      <c r="B210" s="2" t="s">
        <v>576</v>
      </c>
      <c r="C210" s="2">
        <v>11.80893</v>
      </c>
      <c r="D210" s="2">
        <v>9.4108409999999996</v>
      </c>
      <c r="E210" s="2">
        <v>0.50312000000000001</v>
      </c>
      <c r="F210" s="2">
        <v>1</v>
      </c>
      <c r="G210" s="2">
        <v>0</v>
      </c>
      <c r="H210" s="2">
        <v>0</v>
      </c>
      <c r="I210" s="2">
        <v>0</v>
      </c>
    </row>
    <row r="211" spans="1:9" ht="0.5" customHeight="1">
      <c r="A211" s="2" t="s">
        <v>155</v>
      </c>
      <c r="B211" s="2" t="s">
        <v>548</v>
      </c>
      <c r="C211" s="2">
        <v>9.8592180000000003</v>
      </c>
      <c r="D211" s="2">
        <v>7.8529450000000001</v>
      </c>
      <c r="E211" s="2">
        <v>1.1212899999999999</v>
      </c>
      <c r="F211" s="2">
        <v>2</v>
      </c>
      <c r="G211" s="2">
        <v>0</v>
      </c>
      <c r="H211" s="2">
        <v>0</v>
      </c>
      <c r="I211" s="2">
        <v>0</v>
      </c>
    </row>
    <row r="212" spans="1:9" ht="0.5" customHeight="1">
      <c r="A212" s="2" t="s">
        <v>98</v>
      </c>
      <c r="B212" s="2" t="s">
        <v>556</v>
      </c>
      <c r="C212" s="2">
        <v>10.12157</v>
      </c>
      <c r="F212" s="2">
        <v>2</v>
      </c>
      <c r="G212" s="2">
        <v>0</v>
      </c>
      <c r="H212" s="2">
        <v>0</v>
      </c>
      <c r="I212" s="2">
        <v>0</v>
      </c>
    </row>
    <row r="213" spans="1:9" ht="0.5" customHeight="1">
      <c r="A213" s="2" t="s">
        <v>377</v>
      </c>
      <c r="B213" s="2" t="s">
        <v>728</v>
      </c>
      <c r="C213" s="2">
        <v>7.3682650000000001</v>
      </c>
      <c r="D213" s="2">
        <v>6.3778569999999997</v>
      </c>
      <c r="E213" s="2">
        <v>2.09734</v>
      </c>
      <c r="G213" s="2">
        <v>0</v>
      </c>
      <c r="H213" s="2">
        <v>0</v>
      </c>
      <c r="I213" s="2">
        <v>0</v>
      </c>
    </row>
    <row r="214" spans="1:9" ht="0.5" customHeight="1">
      <c r="A214" s="2" t="s">
        <v>378</v>
      </c>
      <c r="B214" s="2" t="s">
        <v>729</v>
      </c>
      <c r="C214" s="2">
        <v>10.81213</v>
      </c>
      <c r="G214" s="2">
        <v>0</v>
      </c>
      <c r="H214" s="2">
        <v>0</v>
      </c>
      <c r="I214" s="2">
        <v>0</v>
      </c>
    </row>
    <row r="215" spans="1:9" ht="0.5" customHeight="1">
      <c r="A215" s="2" t="s">
        <v>730</v>
      </c>
      <c r="B215" s="2" t="s">
        <v>731</v>
      </c>
      <c r="C215" s="2">
        <v>8.2641690000000008</v>
      </c>
      <c r="G215" s="2">
        <v>0</v>
      </c>
      <c r="H215" s="2">
        <v>0</v>
      </c>
      <c r="I215" s="2">
        <v>0</v>
      </c>
    </row>
    <row r="216" spans="1:9" ht="0.5" customHeight="1">
      <c r="A216" s="2" t="s">
        <v>379</v>
      </c>
      <c r="B216" s="2" t="s">
        <v>732</v>
      </c>
      <c r="C216" s="2">
        <v>7.7031049999999999</v>
      </c>
      <c r="D216" s="2">
        <v>6.4309770000000004</v>
      </c>
      <c r="E216" s="2">
        <v>1.62141</v>
      </c>
      <c r="G216" s="2">
        <v>0</v>
      </c>
      <c r="H216" s="2">
        <v>0</v>
      </c>
      <c r="I216" s="2">
        <v>0</v>
      </c>
    </row>
    <row r="217" spans="1:9" ht="0.5" customHeight="1">
      <c r="A217" s="2" t="s">
        <v>85</v>
      </c>
      <c r="B217" s="2" t="s">
        <v>517</v>
      </c>
      <c r="C217" s="2">
        <v>11.28415</v>
      </c>
      <c r="D217" s="2">
        <v>9.2378040000000006</v>
      </c>
      <c r="E217" s="2">
        <v>0.66707000000000005</v>
      </c>
      <c r="F217" s="2">
        <v>3</v>
      </c>
      <c r="G217" s="2">
        <v>0</v>
      </c>
      <c r="H217" s="2">
        <v>0</v>
      </c>
      <c r="I217" s="2">
        <v>0</v>
      </c>
    </row>
    <row r="218" spans="1:9" ht="0.5" customHeight="1">
      <c r="A218" s="2" t="s">
        <v>733</v>
      </c>
      <c r="B218" s="2" t="s">
        <v>734</v>
      </c>
      <c r="C218" s="2">
        <v>7.6170150000000003</v>
      </c>
      <c r="G218" s="2">
        <v>0</v>
      </c>
      <c r="H218" s="2">
        <v>0</v>
      </c>
      <c r="I218" s="2">
        <v>0</v>
      </c>
    </row>
    <row r="219" spans="1:9" ht="0.5" customHeight="1">
      <c r="A219" s="2" t="s">
        <v>382</v>
      </c>
      <c r="B219" s="2" t="s">
        <v>735</v>
      </c>
      <c r="C219" s="2">
        <v>7.5596439999999996</v>
      </c>
      <c r="D219" s="2">
        <v>5.0128579999999996</v>
      </c>
      <c r="E219" s="2">
        <v>0.64549999999999996</v>
      </c>
      <c r="G219" s="2">
        <v>0</v>
      </c>
      <c r="H219" s="2">
        <v>0</v>
      </c>
      <c r="I219" s="2">
        <v>0</v>
      </c>
    </row>
    <row r="220" spans="1:9" ht="0.5" customHeight="1">
      <c r="A220" s="2" t="s">
        <v>46</v>
      </c>
      <c r="B220" s="2" t="s">
        <v>588</v>
      </c>
      <c r="C220" s="2">
        <v>8.9779020000000003</v>
      </c>
      <c r="D220" s="2">
        <v>6.6866779999999997</v>
      </c>
      <c r="E220" s="2">
        <v>1.0492999999999999</v>
      </c>
      <c r="G220" s="2">
        <v>1</v>
      </c>
      <c r="H220" s="2">
        <v>0</v>
      </c>
      <c r="I220" s="2">
        <v>0</v>
      </c>
    </row>
    <row r="221" spans="1:9" ht="0.5" customHeight="1">
      <c r="A221" s="2" t="s">
        <v>736</v>
      </c>
      <c r="B221" s="2" t="s">
        <v>737</v>
      </c>
      <c r="D221" s="2">
        <v>8.9211379999999991</v>
      </c>
      <c r="E221" s="2">
        <v>0.85245000000000004</v>
      </c>
      <c r="G221" s="2">
        <v>0</v>
      </c>
      <c r="H221" s="2">
        <v>0</v>
      </c>
      <c r="I221" s="2">
        <v>0</v>
      </c>
    </row>
    <row r="222" spans="1:9" ht="0.5" customHeight="1">
      <c r="A222" s="2" t="s">
        <v>738</v>
      </c>
      <c r="B222" s="2" t="s">
        <v>739</v>
      </c>
      <c r="G222" s="2">
        <v>0</v>
      </c>
      <c r="H222" s="2">
        <v>0</v>
      </c>
      <c r="I222" s="2">
        <v>0</v>
      </c>
    </row>
    <row r="223" spans="1:9" ht="0.5" customHeight="1">
      <c r="A223" s="2" t="s">
        <v>380</v>
      </c>
      <c r="B223" s="2" t="s">
        <v>740</v>
      </c>
      <c r="C223" s="2">
        <v>9.4503369999999993</v>
      </c>
      <c r="D223" s="2">
        <v>7.4033990000000003</v>
      </c>
      <c r="E223" s="2">
        <v>1.0395700000000001</v>
      </c>
      <c r="G223" s="2">
        <v>0</v>
      </c>
      <c r="H223" s="2">
        <v>0</v>
      </c>
      <c r="I223" s="2">
        <v>0</v>
      </c>
    </row>
    <row r="224" spans="1:9" ht="0.5" customHeight="1">
      <c r="A224" s="2" t="s">
        <v>741</v>
      </c>
      <c r="B224" s="2" t="s">
        <v>742</v>
      </c>
      <c r="C224" s="2">
        <v>7.583062</v>
      </c>
      <c r="E224" s="2">
        <v>9.5089999999999994E-2</v>
      </c>
      <c r="G224" s="2">
        <v>0</v>
      </c>
      <c r="H224" s="2">
        <v>0</v>
      </c>
      <c r="I224" s="2">
        <v>0</v>
      </c>
    </row>
    <row r="225" spans="1:9" ht="0.5" customHeight="1">
      <c r="A225" s="2" t="s">
        <v>743</v>
      </c>
      <c r="B225" s="2" t="s">
        <v>744</v>
      </c>
      <c r="C225" s="2">
        <v>8.0163899999999995</v>
      </c>
      <c r="D225" s="2">
        <v>5.5895029999999997</v>
      </c>
      <c r="E225" s="2">
        <v>0.87649999999999995</v>
      </c>
      <c r="G225" s="2">
        <v>0</v>
      </c>
      <c r="H225" s="2">
        <v>0</v>
      </c>
      <c r="I225" s="2">
        <v>0</v>
      </c>
    </row>
    <row r="226" spans="1:9" ht="0.5" customHeight="1">
      <c r="A226" s="2" t="s">
        <v>745</v>
      </c>
      <c r="B226" s="2" t="s">
        <v>746</v>
      </c>
      <c r="C226" s="2">
        <v>9.6723510000000008</v>
      </c>
      <c r="G226" s="2">
        <v>0</v>
      </c>
      <c r="H226" s="2">
        <v>0</v>
      </c>
      <c r="I226" s="2">
        <v>0</v>
      </c>
    </row>
    <row r="227" spans="1:9" ht="0.5" customHeight="1">
      <c r="A227" s="2" t="s">
        <v>91</v>
      </c>
      <c r="B227" s="2" t="s">
        <v>597</v>
      </c>
      <c r="C227" s="2">
        <v>10.183759999999999</v>
      </c>
      <c r="D227" s="2">
        <v>8.5641700000000007</v>
      </c>
      <c r="E227" s="2">
        <v>1.7536799999999999</v>
      </c>
      <c r="F227" s="2">
        <v>2</v>
      </c>
      <c r="G227" s="2">
        <v>0</v>
      </c>
      <c r="H227" s="2">
        <v>1</v>
      </c>
      <c r="I227" s="2">
        <v>0</v>
      </c>
    </row>
    <row r="228" spans="1:9" ht="0.5" customHeight="1">
      <c r="A228" s="2" t="s">
        <v>80</v>
      </c>
      <c r="B228" s="2" t="s">
        <v>604</v>
      </c>
      <c r="C228" s="2">
        <v>10.24553</v>
      </c>
      <c r="D228" s="2">
        <v>9.0804410000000004</v>
      </c>
      <c r="E228" s="2">
        <v>2.0233300000000001</v>
      </c>
      <c r="F228" s="2">
        <v>3</v>
      </c>
      <c r="G228" s="2">
        <v>0</v>
      </c>
      <c r="H228" s="2">
        <v>1</v>
      </c>
      <c r="I228" s="2">
        <v>0</v>
      </c>
    </row>
    <row r="229" spans="1:9" ht="0.5" customHeight="1">
      <c r="A229" s="2" t="s">
        <v>88</v>
      </c>
      <c r="B229" s="2" t="s">
        <v>601</v>
      </c>
      <c r="C229" s="2">
        <v>10.691409999999999</v>
      </c>
      <c r="D229" s="2">
        <v>9.3044790000000006</v>
      </c>
      <c r="E229" s="2">
        <v>2.15273</v>
      </c>
      <c r="F229" s="2">
        <v>2</v>
      </c>
      <c r="G229" s="2">
        <v>0</v>
      </c>
      <c r="H229" s="2">
        <v>1</v>
      </c>
      <c r="I229" s="2">
        <v>0</v>
      </c>
    </row>
    <row r="230" spans="1:9" ht="0.5" customHeight="1">
      <c r="A230" s="2" t="s">
        <v>385</v>
      </c>
      <c r="B230" s="2" t="s">
        <v>747</v>
      </c>
      <c r="C230" s="2">
        <v>8.9759879999999992</v>
      </c>
      <c r="D230" s="2">
        <v>8.0696580000000004</v>
      </c>
      <c r="E230" s="2">
        <v>3.1703199999999998</v>
      </c>
      <c r="G230" s="2">
        <v>0</v>
      </c>
      <c r="H230" s="2">
        <v>0</v>
      </c>
      <c r="I230" s="2">
        <v>0</v>
      </c>
    </row>
    <row r="231" spans="1:9" ht="0.5" customHeight="1">
      <c r="A231" s="2" t="s">
        <v>748</v>
      </c>
      <c r="B231" s="2" t="s">
        <v>749</v>
      </c>
      <c r="G231" s="2">
        <v>0</v>
      </c>
      <c r="H231" s="2">
        <v>0</v>
      </c>
      <c r="I231" s="2">
        <v>0</v>
      </c>
    </row>
    <row r="232" spans="1:9" ht="0.5" customHeight="1">
      <c r="A232" s="2" t="s">
        <v>381</v>
      </c>
      <c r="B232" s="2" t="s">
        <v>750</v>
      </c>
      <c r="C232" s="2">
        <v>10.134880000000001</v>
      </c>
      <c r="D232" s="2">
        <v>7.3278290000000004</v>
      </c>
      <c r="E232" s="2">
        <v>0.58301999999999998</v>
      </c>
      <c r="G232" s="2">
        <v>0</v>
      </c>
      <c r="H232" s="2">
        <v>0</v>
      </c>
      <c r="I232" s="2">
        <v>0</v>
      </c>
    </row>
    <row r="233" spans="1:9" ht="0.5" customHeight="1">
      <c r="A233" s="2" t="s">
        <v>751</v>
      </c>
      <c r="B233" s="2" t="s">
        <v>752</v>
      </c>
      <c r="E233" s="2">
        <v>2.2178499999999999</v>
      </c>
      <c r="G233" s="2">
        <v>0</v>
      </c>
      <c r="H233" s="2">
        <v>0</v>
      </c>
      <c r="I233" s="2">
        <v>0</v>
      </c>
    </row>
    <row r="234" spans="1:9" ht="0.5" customHeight="1">
      <c r="A234" s="2" t="s">
        <v>753</v>
      </c>
      <c r="B234" s="2" t="s">
        <v>754</v>
      </c>
      <c r="G234" s="2">
        <v>0</v>
      </c>
      <c r="H234" s="2">
        <v>0</v>
      </c>
      <c r="I234" s="2">
        <v>0</v>
      </c>
    </row>
    <row r="235" spans="1:9" ht="0.5" customHeight="1">
      <c r="A235" s="2" t="s">
        <v>755</v>
      </c>
      <c r="B235" s="2" t="s">
        <v>756</v>
      </c>
      <c r="C235" s="2">
        <v>7.6372140000000002</v>
      </c>
      <c r="D235" s="2">
        <v>5.9811160000000001</v>
      </c>
      <c r="E235" s="2">
        <v>0.70448</v>
      </c>
      <c r="G235" s="2">
        <v>0</v>
      </c>
      <c r="H235" s="2">
        <v>0</v>
      </c>
      <c r="I235" s="2">
        <v>0</v>
      </c>
    </row>
    <row r="236" spans="1:9" ht="0.5" customHeight="1">
      <c r="A236" s="2" t="s">
        <v>757</v>
      </c>
      <c r="B236" s="2" t="s">
        <v>758</v>
      </c>
      <c r="C236" s="2">
        <v>7.1983319999999997</v>
      </c>
      <c r="D236" s="2">
        <v>5.2798930000000004</v>
      </c>
      <c r="E236" s="2">
        <v>0.84648000000000001</v>
      </c>
      <c r="G236" s="2">
        <v>0</v>
      </c>
      <c r="H236" s="2">
        <v>0</v>
      </c>
      <c r="I236" s="2">
        <v>0</v>
      </c>
    </row>
    <row r="237" spans="1:9" ht="0.5" customHeight="1">
      <c r="A237" s="2" t="s">
        <v>157</v>
      </c>
      <c r="B237" s="2" t="s">
        <v>582</v>
      </c>
      <c r="C237" s="2">
        <v>9.6142020000000006</v>
      </c>
      <c r="D237" s="2">
        <v>7.9198930000000001</v>
      </c>
      <c r="E237" s="2">
        <v>1.23007</v>
      </c>
      <c r="F237" s="2">
        <v>1</v>
      </c>
      <c r="G237" s="2">
        <v>0</v>
      </c>
      <c r="H237" s="2">
        <v>0</v>
      </c>
      <c r="I237" s="2">
        <v>0</v>
      </c>
    </row>
    <row r="238" spans="1:9" ht="0.5" customHeight="1">
      <c r="A238" s="2" t="s">
        <v>386</v>
      </c>
      <c r="B238" s="2" t="s">
        <v>759</v>
      </c>
      <c r="C238" s="2">
        <v>7.8505079999999996</v>
      </c>
      <c r="G238" s="2">
        <v>0</v>
      </c>
      <c r="H238" s="2">
        <v>0</v>
      </c>
      <c r="I238" s="2">
        <v>0</v>
      </c>
    </row>
    <row r="239" spans="1:9" ht="0.5" customHeight="1">
      <c r="A239" s="2" t="s">
        <v>760</v>
      </c>
      <c r="B239" s="2" t="s">
        <v>761</v>
      </c>
      <c r="C239" s="2">
        <v>9.5998049999999999</v>
      </c>
      <c r="G239" s="2">
        <v>0</v>
      </c>
      <c r="H239" s="2">
        <v>0</v>
      </c>
      <c r="I239" s="2">
        <v>0</v>
      </c>
    </row>
    <row r="240" spans="1:9" ht="0.5" customHeight="1">
      <c r="A240" s="2" t="s">
        <v>762</v>
      </c>
      <c r="B240" s="2" t="s">
        <v>763</v>
      </c>
      <c r="C240" s="2">
        <v>7.6471739999999997</v>
      </c>
      <c r="D240" s="2">
        <v>6.2528649999999999</v>
      </c>
      <c r="E240" s="2">
        <v>2.2889699999999999</v>
      </c>
      <c r="G240" s="2">
        <v>0</v>
      </c>
      <c r="H240" s="2">
        <v>0</v>
      </c>
      <c r="I240" s="2">
        <v>0</v>
      </c>
    </row>
    <row r="241" spans="1:9" ht="0.5" customHeight="1">
      <c r="A241" s="2" t="s">
        <v>764</v>
      </c>
      <c r="B241" s="2" t="s">
        <v>765</v>
      </c>
      <c r="C241" s="2">
        <v>8.5114800000000006</v>
      </c>
      <c r="G241" s="2">
        <v>0</v>
      </c>
      <c r="H241" s="2">
        <v>0</v>
      </c>
      <c r="I241" s="2">
        <v>0</v>
      </c>
    </row>
    <row r="242" spans="1:9" ht="0.5" customHeight="1">
      <c r="A242" s="2" t="s">
        <v>72</v>
      </c>
      <c r="B242" s="2" t="s">
        <v>565</v>
      </c>
      <c r="C242" s="2">
        <v>10.325390000000001</v>
      </c>
      <c r="E242" s="2">
        <v>1.6203099999999999</v>
      </c>
      <c r="F242" s="2">
        <v>1</v>
      </c>
      <c r="G242" s="2">
        <v>1</v>
      </c>
      <c r="H242" s="2">
        <v>0</v>
      </c>
      <c r="I242" s="2">
        <v>0</v>
      </c>
    </row>
    <row r="243" spans="1:9" ht="0.5" customHeight="1">
      <c r="A243" s="2" t="s">
        <v>110</v>
      </c>
      <c r="B243" s="2" t="s">
        <v>587</v>
      </c>
      <c r="C243" s="2">
        <v>9.2825330000000008</v>
      </c>
      <c r="F243" s="2">
        <v>1</v>
      </c>
      <c r="G243" s="2">
        <v>0</v>
      </c>
      <c r="H243" s="2">
        <v>0</v>
      </c>
      <c r="I243" s="2">
        <v>0</v>
      </c>
    </row>
    <row r="244" spans="1:9" ht="0.5" customHeight="1">
      <c r="A244" s="2" t="s">
        <v>133</v>
      </c>
      <c r="B244" s="2" t="s">
        <v>787</v>
      </c>
      <c r="C244" s="2">
        <v>9.8255630000000007</v>
      </c>
      <c r="F244" s="2">
        <v>1</v>
      </c>
      <c r="G244" s="2">
        <v>0</v>
      </c>
      <c r="H244" s="2">
        <v>1</v>
      </c>
      <c r="I244" s="2">
        <v>0</v>
      </c>
    </row>
    <row r="245" spans="1:9" ht="0.5" customHeight="1">
      <c r="A245" s="2" t="s">
        <v>766</v>
      </c>
      <c r="B245" s="2" t="s">
        <v>767</v>
      </c>
      <c r="C245" s="2">
        <v>8.186515</v>
      </c>
      <c r="G245" s="2">
        <v>0</v>
      </c>
      <c r="H245" s="2">
        <v>0</v>
      </c>
      <c r="I245" s="2">
        <v>0</v>
      </c>
    </row>
    <row r="246" spans="1:9" ht="0.5" customHeight="1">
      <c r="A246" s="2" t="s">
        <v>387</v>
      </c>
      <c r="B246" s="2" t="s">
        <v>768</v>
      </c>
      <c r="C246" s="2">
        <v>7.7920220000000002</v>
      </c>
      <c r="D246" s="2">
        <v>5.4978410000000002</v>
      </c>
      <c r="E246" s="2">
        <v>0.63600000000000001</v>
      </c>
      <c r="G246" s="2">
        <v>0</v>
      </c>
      <c r="H246" s="2">
        <v>0</v>
      </c>
      <c r="I246" s="2">
        <v>0</v>
      </c>
    </row>
    <row r="247" spans="1:9" ht="0.5" customHeight="1">
      <c r="A247" s="2" t="s">
        <v>388</v>
      </c>
      <c r="B247" s="2" t="s">
        <v>769</v>
      </c>
      <c r="C247" s="2">
        <v>7.43215</v>
      </c>
      <c r="D247" s="2">
        <v>5.7443540000000004</v>
      </c>
      <c r="E247" s="2">
        <v>0.64259999999999995</v>
      </c>
      <c r="G247" s="2">
        <v>0</v>
      </c>
      <c r="H247" s="2">
        <v>0</v>
      </c>
      <c r="I247" s="2">
        <v>0</v>
      </c>
    </row>
    <row r="248" spans="1:9" ht="0.5" customHeight="1">
      <c r="A248" s="2" t="s">
        <v>104</v>
      </c>
      <c r="B248" s="2" t="s">
        <v>770</v>
      </c>
      <c r="C248" s="2">
        <v>9.0165509999999998</v>
      </c>
      <c r="D248" s="2">
        <v>7.8720340000000002</v>
      </c>
      <c r="E248" s="2">
        <v>1.87646</v>
      </c>
      <c r="G248" s="2">
        <v>0</v>
      </c>
      <c r="H248" s="2">
        <v>0</v>
      </c>
      <c r="I248" s="2">
        <v>0</v>
      </c>
    </row>
    <row r="249" spans="1:9" ht="0.5" customHeight="1">
      <c r="A249" s="2" t="s">
        <v>58</v>
      </c>
      <c r="B249" s="2" t="s">
        <v>571</v>
      </c>
      <c r="C249" s="2">
        <v>9.8948370000000008</v>
      </c>
      <c r="E249" s="2">
        <v>1.44486</v>
      </c>
      <c r="F249" s="2">
        <v>1</v>
      </c>
      <c r="G249" s="2">
        <v>1</v>
      </c>
      <c r="H249" s="2">
        <v>0</v>
      </c>
      <c r="I249" s="2">
        <v>0</v>
      </c>
    </row>
    <row r="250" spans="1:9" ht="0.5" customHeight="1">
      <c r="A250" s="2" t="s">
        <v>90</v>
      </c>
      <c r="B250" s="2" t="s">
        <v>22</v>
      </c>
      <c r="C250" s="2">
        <v>10.85338</v>
      </c>
      <c r="D250" s="2">
        <v>9.3376160000000006</v>
      </c>
      <c r="E250" s="2">
        <v>1.7654799999999999</v>
      </c>
      <c r="F250" s="2">
        <v>2</v>
      </c>
      <c r="G250" s="2">
        <v>0</v>
      </c>
      <c r="H250" s="2">
        <v>1</v>
      </c>
      <c r="I250" s="2">
        <v>1</v>
      </c>
    </row>
    <row r="251" spans="1:9" ht="0.5" customHeight="1">
      <c r="A251" s="2" t="s">
        <v>389</v>
      </c>
      <c r="B251" s="2" t="s">
        <v>771</v>
      </c>
      <c r="C251" s="2">
        <v>8.5786409999999993</v>
      </c>
      <c r="G251" s="2">
        <v>0</v>
      </c>
      <c r="H251" s="2">
        <v>0</v>
      </c>
      <c r="I251" s="2">
        <v>0</v>
      </c>
    </row>
    <row r="252" spans="1:9" ht="0.5" customHeight="1">
      <c r="A252" s="2" t="s">
        <v>772</v>
      </c>
      <c r="B252" s="2" t="s">
        <v>773</v>
      </c>
      <c r="C252" s="2">
        <v>9.2340660000000003</v>
      </c>
      <c r="D252" s="2">
        <v>7.7651450000000004</v>
      </c>
      <c r="E252" s="2">
        <v>2.0778599999999998</v>
      </c>
      <c r="G252" s="2">
        <v>0</v>
      </c>
      <c r="H252" s="2">
        <v>0</v>
      </c>
      <c r="I252" s="2">
        <v>0</v>
      </c>
    </row>
    <row r="253" spans="1:9" ht="0.5" customHeight="1">
      <c r="A253" s="2" t="s">
        <v>59</v>
      </c>
      <c r="B253" s="2" t="s">
        <v>592</v>
      </c>
      <c r="C253" s="2">
        <v>9.7273060000000005</v>
      </c>
      <c r="D253" s="2">
        <v>7.9163160000000001</v>
      </c>
      <c r="E253" s="2">
        <v>1.3086100000000001</v>
      </c>
      <c r="G253" s="2">
        <v>1</v>
      </c>
      <c r="H253" s="2">
        <v>0</v>
      </c>
      <c r="I253" s="2">
        <v>0</v>
      </c>
    </row>
    <row r="254" spans="1:9" ht="0.5" customHeight="1">
      <c r="A254" s="2" t="s">
        <v>774</v>
      </c>
      <c r="B254" s="2" t="s">
        <v>775</v>
      </c>
      <c r="G254" s="2">
        <v>0</v>
      </c>
      <c r="H254" s="2">
        <v>0</v>
      </c>
      <c r="I254" s="2">
        <v>0</v>
      </c>
    </row>
    <row r="255" spans="1:9" ht="0.5" customHeight="1">
      <c r="A255" s="2" t="s">
        <v>390</v>
      </c>
      <c r="B255" s="2" t="s">
        <v>526</v>
      </c>
      <c r="C255" s="2">
        <v>8.5886220000000009</v>
      </c>
      <c r="E255" s="2">
        <v>2.7282899999999999</v>
      </c>
      <c r="F255" s="2">
        <v>3</v>
      </c>
      <c r="G255" s="2">
        <v>0</v>
      </c>
      <c r="H255" s="2">
        <v>0</v>
      </c>
      <c r="I255" s="2">
        <v>0</v>
      </c>
    </row>
    <row r="256" spans="1:9" ht="0.5" customHeight="1">
      <c r="A256" s="2" t="s">
        <v>776</v>
      </c>
      <c r="B256" s="2" t="s">
        <v>777</v>
      </c>
      <c r="C256" s="2">
        <v>7.9694339999999997</v>
      </c>
      <c r="E256" s="2">
        <v>1.59819</v>
      </c>
      <c r="G256" s="2">
        <v>0</v>
      </c>
      <c r="H256" s="2">
        <v>0</v>
      </c>
      <c r="I256" s="2">
        <v>0</v>
      </c>
    </row>
    <row r="257" spans="1:9" ht="0.5" customHeight="1">
      <c r="A257" s="2" t="s">
        <v>778</v>
      </c>
      <c r="B257" s="2" t="s">
        <v>779</v>
      </c>
      <c r="C257" s="2">
        <v>8.6168479999999992</v>
      </c>
      <c r="G257" s="2">
        <v>0</v>
      </c>
      <c r="H257" s="2">
        <v>0</v>
      </c>
      <c r="I257" s="2">
        <v>0</v>
      </c>
    </row>
    <row r="258" spans="1:9" ht="0.5" customHeight="1">
      <c r="A258" s="2" t="s">
        <v>391</v>
      </c>
      <c r="B258" s="2" t="s">
        <v>780</v>
      </c>
      <c r="C258" s="2">
        <v>8.2061209999999996</v>
      </c>
      <c r="D258" s="2">
        <v>6.1227119999999999</v>
      </c>
      <c r="E258" s="2">
        <v>0.85511999999999999</v>
      </c>
      <c r="G258" s="2">
        <v>0</v>
      </c>
      <c r="H258" s="2">
        <v>0</v>
      </c>
      <c r="I258" s="2">
        <v>0</v>
      </c>
    </row>
    <row r="259" spans="1:9" ht="0.5" customHeight="1">
      <c r="A259" s="2" t="s">
        <v>383</v>
      </c>
      <c r="B259" s="2" t="s">
        <v>781</v>
      </c>
      <c r="C259" s="2">
        <v>9.4283699999999993</v>
      </c>
      <c r="D259" s="2">
        <v>7.8513960000000003</v>
      </c>
      <c r="E259" s="2">
        <v>1.86049</v>
      </c>
      <c r="G259" s="2">
        <v>0</v>
      </c>
      <c r="H259" s="2">
        <v>0</v>
      </c>
      <c r="I259" s="2">
        <v>0</v>
      </c>
    </row>
    <row r="260" spans="1:9" ht="0.5" customHeight="1">
      <c r="A260" s="2" t="s">
        <v>782</v>
      </c>
      <c r="B260" s="2" t="s">
        <v>783</v>
      </c>
      <c r="C260" s="2">
        <v>6.5666960000000003</v>
      </c>
      <c r="D260" s="2">
        <v>3.7067299999999999</v>
      </c>
      <c r="E260" s="2">
        <v>0.32235000000000003</v>
      </c>
      <c r="G260" s="2">
        <v>0</v>
      </c>
      <c r="H260" s="2">
        <v>0</v>
      </c>
      <c r="I260" s="2">
        <v>0</v>
      </c>
    </row>
    <row r="261" spans="1:9" ht="0.5" customHeight="1">
      <c r="A261" s="2" t="s">
        <v>392</v>
      </c>
      <c r="B261" s="2" t="s">
        <v>784</v>
      </c>
      <c r="C261" s="2">
        <v>8.1948419999999995</v>
      </c>
      <c r="G261" s="2">
        <v>0</v>
      </c>
      <c r="H261" s="2">
        <v>0</v>
      </c>
      <c r="I261" s="2">
        <v>0</v>
      </c>
    </row>
    <row r="262" spans="1:9" ht="0.5" customHeight="1">
      <c r="A262" s="2" t="s">
        <v>393</v>
      </c>
      <c r="B262" s="2" t="s">
        <v>785</v>
      </c>
      <c r="C262" s="2">
        <v>7.4437480000000003</v>
      </c>
      <c r="E262" s="2">
        <v>0.50527</v>
      </c>
      <c r="G262" s="2">
        <v>0</v>
      </c>
      <c r="H262" s="2">
        <v>0</v>
      </c>
      <c r="I262" s="2">
        <v>0</v>
      </c>
    </row>
  </sheetData>
  <autoFilter ref="A49:I262"/>
  <mergeCells count="3">
    <mergeCell ref="B30:W30"/>
    <mergeCell ref="D42:F42"/>
    <mergeCell ref="G42:J42"/>
  </mergeCells>
  <pageMargins left="0.7" right="0.7" top="0.75" bottom="0.75" header="0.3" footer="0.3"/>
  <pageSetup scale="44" orientation="portrait" horizontalDpi="4294967292" verticalDpi="4294967292"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27"/>
  <sheetViews>
    <sheetView zoomScale="80" zoomScaleNormal="80" zoomScaleSheetLayoutView="100" zoomScalePageLayoutView="200" workbookViewId="0">
      <selection activeCell="B3" sqref="B3"/>
    </sheetView>
  </sheetViews>
  <sheetFormatPr defaultColWidth="8.81640625" defaultRowHeight="14.5"/>
  <cols>
    <col min="1" max="1" width="3.453125" style="1" customWidth="1"/>
    <col min="2" max="2" width="33.1796875" style="1" customWidth="1"/>
    <col min="3" max="4" width="13.81640625" style="1" customWidth="1"/>
    <col min="5" max="5" width="2.54296875" style="1" customWidth="1"/>
    <col min="6" max="7" width="13.81640625" style="1" customWidth="1"/>
    <col min="8" max="8" width="2.54296875" style="1" customWidth="1"/>
    <col min="9" max="10" width="13.81640625" style="1" customWidth="1"/>
    <col min="11" max="11" width="4.1796875" style="1" customWidth="1"/>
    <col min="12" max="16384" width="8.81640625" style="1"/>
  </cols>
  <sheetData>
    <row r="2" spans="2:12" ht="17.5">
      <c r="B2" s="132" t="s">
        <v>792</v>
      </c>
      <c r="C2" s="234"/>
      <c r="D2" s="234"/>
      <c r="E2" s="234"/>
      <c r="F2" s="234"/>
      <c r="G2" s="234"/>
      <c r="H2" s="234"/>
      <c r="I2" s="234"/>
      <c r="J2" s="234"/>
      <c r="K2" s="234"/>
    </row>
    <row r="3" spans="2:12" ht="15.75" customHeight="1">
      <c r="B3" s="234"/>
      <c r="C3" s="234"/>
      <c r="D3" s="234"/>
      <c r="E3" s="234"/>
      <c r="F3" s="234"/>
      <c r="G3" s="234"/>
      <c r="H3" s="234"/>
      <c r="I3" s="234"/>
      <c r="J3" s="234"/>
      <c r="K3" s="234"/>
    </row>
    <row r="4" spans="2:12" ht="30" customHeight="1">
      <c r="B4" s="451" t="s">
        <v>31</v>
      </c>
      <c r="C4" s="451" t="s">
        <v>793</v>
      </c>
      <c r="D4" s="451"/>
      <c r="E4" s="235"/>
      <c r="F4" s="453" t="s">
        <v>794</v>
      </c>
      <c r="G4" s="453"/>
      <c r="H4" s="236"/>
      <c r="I4" s="453" t="s">
        <v>795</v>
      </c>
      <c r="J4" s="453"/>
      <c r="K4" s="234"/>
    </row>
    <row r="5" spans="2:12" ht="15">
      <c r="B5" s="452"/>
      <c r="C5" s="237" t="s">
        <v>796</v>
      </c>
      <c r="D5" s="237" t="s">
        <v>797</v>
      </c>
      <c r="E5" s="238"/>
      <c r="F5" s="237" t="str">
        <f>+C5</f>
        <v>Circa 1999</v>
      </c>
      <c r="G5" s="237" t="str">
        <f>+D5</f>
        <v>Circa 2014</v>
      </c>
      <c r="H5" s="238"/>
      <c r="I5" s="237" t="str">
        <f>+F5</f>
        <v>Circa 1999</v>
      </c>
      <c r="J5" s="237" t="str">
        <f>+G5</f>
        <v>Circa 2014</v>
      </c>
      <c r="K5" s="234"/>
    </row>
    <row r="6" spans="2:12" ht="15.5">
      <c r="B6" s="239" t="s">
        <v>36</v>
      </c>
      <c r="C6" s="240">
        <v>21.778410000000001</v>
      </c>
      <c r="D6" s="240">
        <v>17.229690000000002</v>
      </c>
      <c r="E6" s="240"/>
      <c r="F6" s="241">
        <v>0.05</v>
      </c>
      <c r="G6" s="242">
        <v>7.0000000000000007E-2</v>
      </c>
      <c r="H6" s="242"/>
      <c r="I6" s="243" t="s">
        <v>491</v>
      </c>
      <c r="J6" s="243" t="s">
        <v>491</v>
      </c>
      <c r="K6" s="234" t="s">
        <v>491</v>
      </c>
      <c r="L6" s="1" t="s">
        <v>491</v>
      </c>
    </row>
    <row r="7" spans="2:12" ht="15.5">
      <c r="B7" s="239" t="s">
        <v>798</v>
      </c>
      <c r="C7" s="240">
        <v>25.94511</v>
      </c>
      <c r="D7" s="240">
        <v>20.918140000000001</v>
      </c>
      <c r="E7" s="240"/>
      <c r="F7" s="241">
        <v>0</v>
      </c>
      <c r="G7" s="242">
        <v>0</v>
      </c>
      <c r="H7" s="242"/>
      <c r="I7" s="243" t="s">
        <v>491</v>
      </c>
      <c r="J7" s="243" t="s">
        <v>491</v>
      </c>
      <c r="K7" s="234" t="s">
        <v>491</v>
      </c>
      <c r="L7" s="1" t="s">
        <v>491</v>
      </c>
    </row>
    <row r="8" spans="2:12" ht="15.5">
      <c r="B8" s="239" t="s">
        <v>41</v>
      </c>
      <c r="C8" s="240">
        <v>31.983059999999998</v>
      </c>
      <c r="D8" s="240">
        <v>19.525870000000001</v>
      </c>
      <c r="E8" s="240"/>
      <c r="F8" s="241">
        <v>0.5</v>
      </c>
      <c r="G8" s="242">
        <v>0.87</v>
      </c>
      <c r="H8" s="242"/>
      <c r="I8" s="243">
        <v>16.039047241210938</v>
      </c>
      <c r="J8" s="243">
        <v>16.632620811462402</v>
      </c>
      <c r="K8" s="234"/>
    </row>
    <row r="9" spans="2:12" ht="15.5">
      <c r="B9" s="239" t="s">
        <v>42</v>
      </c>
      <c r="C9" s="240">
        <v>24.02045</v>
      </c>
      <c r="D9" s="240">
        <v>24.286760000000001</v>
      </c>
      <c r="E9" s="240"/>
      <c r="F9" s="244" t="s">
        <v>799</v>
      </c>
      <c r="G9" s="242">
        <v>7.0000000000000007E-2</v>
      </c>
      <c r="H9" s="242"/>
      <c r="I9" s="243" t="s">
        <v>491</v>
      </c>
      <c r="J9" s="243" t="s">
        <v>491</v>
      </c>
      <c r="K9" s="234"/>
    </row>
    <row r="10" spans="2:12" ht="15.5">
      <c r="B10" s="239" t="s">
        <v>43</v>
      </c>
      <c r="C10" s="245">
        <v>26.8</v>
      </c>
      <c r="D10" s="245">
        <v>13.2</v>
      </c>
      <c r="E10" s="245"/>
      <c r="F10" s="246">
        <v>0</v>
      </c>
      <c r="G10" s="242">
        <v>0.14000000000000001</v>
      </c>
      <c r="H10" s="242"/>
      <c r="I10" s="243">
        <v>15.765202522277832</v>
      </c>
      <c r="J10" s="243">
        <v>16.478654861450195</v>
      </c>
      <c r="K10" s="234"/>
    </row>
    <row r="11" spans="2:12" ht="15.5">
      <c r="B11" s="239" t="s">
        <v>113</v>
      </c>
      <c r="C11" s="245">
        <v>31.181059999999999</v>
      </c>
      <c r="D11" s="245">
        <v>20.563580000000002</v>
      </c>
      <c r="E11" s="245"/>
      <c r="F11" s="246">
        <v>0</v>
      </c>
      <c r="G11" s="242">
        <v>0.03</v>
      </c>
      <c r="H11" s="242"/>
      <c r="I11" s="243">
        <v>12.695323944091797</v>
      </c>
      <c r="J11" s="243">
        <v>13.12035083770752</v>
      </c>
      <c r="K11" s="234"/>
    </row>
    <row r="12" spans="2:12" ht="15.5">
      <c r="B12" s="239" t="s">
        <v>45</v>
      </c>
      <c r="C12" s="245">
        <v>23.691199999999998</v>
      </c>
      <c r="D12" s="245">
        <v>23.291969999999999</v>
      </c>
      <c r="E12" s="245"/>
      <c r="F12" s="242">
        <v>0</v>
      </c>
      <c r="G12" s="242">
        <v>0</v>
      </c>
      <c r="H12" s="242"/>
      <c r="I12" s="243">
        <v>16.490447998046875</v>
      </c>
      <c r="J12" s="243">
        <v>15.836342811584473</v>
      </c>
      <c r="K12" s="234"/>
    </row>
    <row r="13" spans="2:12" ht="15.5">
      <c r="B13" s="239" t="s">
        <v>47</v>
      </c>
      <c r="C13" s="245">
        <v>38.146000000000001</v>
      </c>
      <c r="D13" s="245">
        <v>22.98198</v>
      </c>
      <c r="E13" s="245"/>
      <c r="F13" s="242">
        <v>0</v>
      </c>
      <c r="G13" s="242">
        <v>0</v>
      </c>
      <c r="H13" s="242"/>
      <c r="I13" s="243" t="s">
        <v>491</v>
      </c>
      <c r="J13" s="243" t="s">
        <v>491</v>
      </c>
      <c r="K13" s="234"/>
    </row>
    <row r="14" spans="2:12" ht="15.5">
      <c r="B14" s="239" t="s">
        <v>50</v>
      </c>
      <c r="C14" s="245">
        <v>31.72588</v>
      </c>
      <c r="D14" s="245">
        <v>13.67112</v>
      </c>
      <c r="E14" s="245"/>
      <c r="F14" s="242">
        <v>0</v>
      </c>
      <c r="G14" s="242">
        <v>0.08</v>
      </c>
      <c r="H14" s="242"/>
      <c r="I14" s="243">
        <v>12.276365280151367</v>
      </c>
      <c r="J14" s="243">
        <v>14.199708938598633</v>
      </c>
      <c r="K14" s="234"/>
    </row>
    <row r="15" spans="2:12" ht="15.5">
      <c r="B15" s="239" t="s">
        <v>52</v>
      </c>
      <c r="C15" s="245">
        <v>27.225770000000001</v>
      </c>
      <c r="D15" s="245">
        <v>27.408760000000001</v>
      </c>
      <c r="E15" s="245"/>
      <c r="F15" s="246">
        <v>0</v>
      </c>
      <c r="G15" s="242">
        <v>0.04</v>
      </c>
      <c r="H15" s="242"/>
      <c r="I15" s="243">
        <v>14.751641273498535</v>
      </c>
      <c r="J15" s="243">
        <v>15.70046329498291</v>
      </c>
      <c r="K15" s="234"/>
    </row>
    <row r="16" spans="2:12" ht="15.5">
      <c r="B16" s="239" t="s">
        <v>53</v>
      </c>
      <c r="C16" s="245">
        <v>34.385599999999997</v>
      </c>
      <c r="D16" s="245">
        <v>30.216380000000001</v>
      </c>
      <c r="E16" s="245"/>
      <c r="F16" s="246">
        <v>0</v>
      </c>
      <c r="G16" s="242">
        <v>0.02</v>
      </c>
      <c r="H16" s="242"/>
      <c r="I16" s="243">
        <v>12.297651290893555</v>
      </c>
      <c r="J16" s="243">
        <v>12.948039054870605</v>
      </c>
      <c r="K16" s="234"/>
    </row>
    <row r="17" spans="2:11" ht="15.5">
      <c r="B17" s="239" t="s">
        <v>54</v>
      </c>
      <c r="C17" s="245">
        <v>26.08202</v>
      </c>
      <c r="D17" s="245">
        <v>25.485060000000001</v>
      </c>
      <c r="E17" s="245"/>
      <c r="F17" s="246">
        <v>0</v>
      </c>
      <c r="G17" s="242">
        <v>0.01</v>
      </c>
      <c r="H17" s="242"/>
      <c r="I17" s="243" t="s">
        <v>491</v>
      </c>
      <c r="J17" s="243" t="s">
        <v>491</v>
      </c>
      <c r="K17" s="234"/>
    </row>
    <row r="18" spans="2:11" ht="15.5">
      <c r="B18" s="239" t="s">
        <v>55</v>
      </c>
      <c r="C18" s="245">
        <v>26.958500000000001</v>
      </c>
      <c r="D18" s="245">
        <v>24.159739999999999</v>
      </c>
      <c r="E18" s="245"/>
      <c r="F18" s="246">
        <v>0</v>
      </c>
      <c r="G18" s="242">
        <v>0.04</v>
      </c>
      <c r="H18" s="242"/>
      <c r="I18" s="243" t="s">
        <v>491</v>
      </c>
      <c r="J18" s="243" t="s">
        <v>491</v>
      </c>
      <c r="K18" s="234"/>
    </row>
    <row r="19" spans="2:11" ht="15.5">
      <c r="B19" s="239" t="s">
        <v>56</v>
      </c>
      <c r="C19" s="245">
        <v>28.755549999999999</v>
      </c>
      <c r="D19" s="245">
        <v>17.66104</v>
      </c>
      <c r="E19" s="245"/>
      <c r="F19" s="246">
        <v>0</v>
      </c>
      <c r="G19" s="242">
        <v>0.02</v>
      </c>
      <c r="H19" s="242"/>
      <c r="I19" s="243">
        <v>14.985445976257324</v>
      </c>
      <c r="J19" s="243">
        <v>15.959062576293945</v>
      </c>
      <c r="K19" s="234"/>
    </row>
    <row r="20" spans="2:11" ht="15.5">
      <c r="B20" s="239" t="s">
        <v>58</v>
      </c>
      <c r="C20" s="245">
        <v>20.43957</v>
      </c>
      <c r="D20" s="245">
        <v>11.46753</v>
      </c>
      <c r="E20" s="245"/>
      <c r="F20" s="246">
        <v>0.01</v>
      </c>
      <c r="G20" s="242">
        <v>0.13</v>
      </c>
      <c r="H20" s="242"/>
      <c r="I20" s="243">
        <v>15.80524730682373</v>
      </c>
      <c r="J20" s="243">
        <v>16.027317047119141</v>
      </c>
      <c r="K20" s="234"/>
    </row>
    <row r="21" spans="2:11" ht="9" customHeight="1">
      <c r="B21" s="239"/>
      <c r="C21" s="245"/>
      <c r="D21" s="245"/>
      <c r="E21" s="245"/>
      <c r="F21" s="246"/>
      <c r="G21" s="242"/>
      <c r="H21" s="242"/>
      <c r="I21" s="243"/>
      <c r="J21" s="243"/>
      <c r="K21" s="234"/>
    </row>
    <row r="22" spans="2:11" ht="16" thickBot="1">
      <c r="B22" s="247" t="s">
        <v>20</v>
      </c>
      <c r="C22" s="248">
        <v>27.941212000000004</v>
      </c>
      <c r="D22" s="248">
        <v>20.804507999999998</v>
      </c>
      <c r="E22" s="248"/>
      <c r="F22" s="249">
        <v>0.04</v>
      </c>
      <c r="G22" s="249">
        <v>0.10133333333333333</v>
      </c>
      <c r="H22" s="249"/>
      <c r="I22" s="250">
        <v>14.567374759250217</v>
      </c>
      <c r="J22" s="250">
        <v>15.211395581563314</v>
      </c>
      <c r="K22" s="251"/>
    </row>
    <row r="23" spans="2:11" ht="118.5" customHeight="1" thickTop="1">
      <c r="B23" s="454" t="s">
        <v>800</v>
      </c>
      <c r="C23" s="454"/>
      <c r="D23" s="454"/>
      <c r="E23" s="454"/>
      <c r="F23" s="454"/>
      <c r="G23" s="454"/>
      <c r="H23" s="454"/>
      <c r="I23" s="454"/>
      <c r="J23" s="454"/>
      <c r="K23" s="234"/>
    </row>
    <row r="27" spans="2:11">
      <c r="D27" s="252"/>
      <c r="E27" s="252"/>
    </row>
  </sheetData>
  <mergeCells count="5">
    <mergeCell ref="B4:B5"/>
    <mergeCell ref="C4:D4"/>
    <mergeCell ref="F4:G4"/>
    <mergeCell ref="I4:J4"/>
    <mergeCell ref="B23:J23"/>
  </mergeCells>
  <printOptions horizontalCentered="1"/>
  <pageMargins left="0.7" right="0.7" top="0.75" bottom="0.75" header="0.3" footer="0.3"/>
  <pageSetup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C40"/>
  <sheetViews>
    <sheetView tabSelected="1" topLeftCell="A4" workbookViewId="0">
      <selection activeCell="A4" sqref="A4"/>
    </sheetView>
  </sheetViews>
  <sheetFormatPr defaultColWidth="9.1796875" defaultRowHeight="14.5"/>
  <cols>
    <col min="1" max="1" width="9.1796875" style="2"/>
    <col min="2" max="2" width="30.1796875" style="2" customWidth="1"/>
    <col min="3" max="3" width="40" style="2" customWidth="1"/>
    <col min="4" max="16384" width="9.1796875" style="2"/>
  </cols>
  <sheetData>
    <row r="5" spans="2:3" ht="15.5">
      <c r="B5" s="2" t="s">
        <v>223</v>
      </c>
      <c r="C5" s="78" t="s">
        <v>54</v>
      </c>
    </row>
    <row r="6" spans="2:3">
      <c r="B6" s="2" t="s">
        <v>224</v>
      </c>
    </row>
    <row r="7" spans="2:3">
      <c r="B7" s="2" t="s">
        <v>225</v>
      </c>
    </row>
    <row r="9" spans="2:3" ht="119" customHeight="1">
      <c r="B9" s="487" t="s">
        <v>1227</v>
      </c>
      <c r="C9" s="487"/>
    </row>
    <row r="14" spans="2:3">
      <c r="C14" s="2" t="s">
        <v>1</v>
      </c>
    </row>
    <row r="16" spans="2:3">
      <c r="B16" s="79" t="s">
        <v>20</v>
      </c>
    </row>
    <row r="17" spans="2:2">
      <c r="B17" s="79" t="s">
        <v>36</v>
      </c>
    </row>
    <row r="18" spans="2:2">
      <c r="B18" s="79" t="s">
        <v>66</v>
      </c>
    </row>
    <row r="19" spans="2:2">
      <c r="B19" s="79" t="s">
        <v>67</v>
      </c>
    </row>
    <row r="20" spans="2:2">
      <c r="B20" s="79" t="s">
        <v>39</v>
      </c>
    </row>
    <row r="21" spans="2:2">
      <c r="B21" s="79" t="s">
        <v>40</v>
      </c>
    </row>
    <row r="22" spans="2:2">
      <c r="B22" s="79" t="s">
        <v>41</v>
      </c>
    </row>
    <row r="23" spans="2:2">
      <c r="B23" s="79" t="s">
        <v>42</v>
      </c>
    </row>
    <row r="24" spans="2:2">
      <c r="B24" s="79" t="s">
        <v>43</v>
      </c>
    </row>
    <row r="25" spans="2:2">
      <c r="B25" s="79" t="s">
        <v>113</v>
      </c>
    </row>
    <row r="26" spans="2:2">
      <c r="B26" s="79" t="s">
        <v>45</v>
      </c>
    </row>
    <row r="27" spans="2:2">
      <c r="B27" s="79" t="s">
        <v>46</v>
      </c>
    </row>
    <row r="28" spans="2:2">
      <c r="B28" s="79" t="s">
        <v>47</v>
      </c>
    </row>
    <row r="29" spans="2:2">
      <c r="B29" s="79" t="s">
        <v>69</v>
      </c>
    </row>
    <row r="30" spans="2:2">
      <c r="B30" s="79" t="s">
        <v>70</v>
      </c>
    </row>
    <row r="31" spans="2:2">
      <c r="B31" s="79" t="s">
        <v>50</v>
      </c>
    </row>
    <row r="32" spans="2:2">
      <c r="B32" s="79" t="s">
        <v>71</v>
      </c>
    </row>
    <row r="33" spans="2:2">
      <c r="B33" s="79" t="s">
        <v>52</v>
      </c>
    </row>
    <row r="34" spans="2:2">
      <c r="B34" s="79" t="s">
        <v>53</v>
      </c>
    </row>
    <row r="35" spans="2:2">
      <c r="B35" s="79" t="s">
        <v>54</v>
      </c>
    </row>
    <row r="36" spans="2:2">
      <c r="B36" s="79" t="s">
        <v>55</v>
      </c>
    </row>
    <row r="37" spans="2:2">
      <c r="B37" s="79" t="s">
        <v>56</v>
      </c>
    </row>
    <row r="38" spans="2:2">
      <c r="B38" s="79" t="s">
        <v>72</v>
      </c>
    </row>
    <row r="39" spans="2:2">
      <c r="B39" s="79" t="s">
        <v>58</v>
      </c>
    </row>
    <row r="40" spans="2:2">
      <c r="B40" s="79" t="s">
        <v>59</v>
      </c>
    </row>
  </sheetData>
  <mergeCells count="1">
    <mergeCell ref="B9:C9"/>
  </mergeCells>
  <dataValidations count="1">
    <dataValidation type="list" allowBlank="1" showInputMessage="1" showErrorMessage="1" sqref="C5">
      <formula1>$B$16:$B$40</formula1>
    </dataValidation>
  </dataValidation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22"/>
  <sheetViews>
    <sheetView zoomScaleNormal="100" zoomScaleSheetLayoutView="100" workbookViewId="0">
      <selection activeCell="B22" sqref="B22:J22"/>
    </sheetView>
  </sheetViews>
  <sheetFormatPr defaultColWidth="9.1796875" defaultRowHeight="15.5"/>
  <cols>
    <col min="1" max="1" width="3.81640625" style="168" customWidth="1"/>
    <col min="2" max="2" width="20.1796875" style="168" customWidth="1"/>
    <col min="3" max="10" width="10.26953125" style="168" customWidth="1"/>
    <col min="11" max="11" width="5.7265625" style="168" customWidth="1"/>
    <col min="12" max="16384" width="9.1796875" style="168"/>
  </cols>
  <sheetData>
    <row r="2" spans="2:18" ht="51" customHeight="1">
      <c r="B2" s="459" t="s">
        <v>801</v>
      </c>
      <c r="C2" s="459"/>
      <c r="D2" s="459"/>
      <c r="E2" s="459"/>
      <c r="F2" s="459"/>
      <c r="G2" s="459"/>
      <c r="H2" s="459"/>
      <c r="I2" s="459"/>
      <c r="J2" s="459"/>
      <c r="K2" s="459"/>
    </row>
    <row r="4" spans="2:18">
      <c r="B4" s="449" t="s">
        <v>802</v>
      </c>
      <c r="C4" s="449"/>
      <c r="D4" s="449"/>
      <c r="E4" s="449"/>
      <c r="F4" s="460"/>
      <c r="G4" s="449" t="s">
        <v>803</v>
      </c>
      <c r="H4" s="449"/>
      <c r="I4" s="449"/>
      <c r="J4" s="449"/>
      <c r="K4" s="207"/>
      <c r="L4" s="207"/>
      <c r="M4" s="207"/>
      <c r="N4" s="207"/>
      <c r="O4" s="207"/>
      <c r="P4" s="207"/>
      <c r="Q4" s="207"/>
      <c r="R4" s="207"/>
    </row>
    <row r="5" spans="2:18" ht="42" customHeight="1">
      <c r="B5" s="451" t="s">
        <v>31</v>
      </c>
      <c r="C5" s="461" t="s">
        <v>804</v>
      </c>
      <c r="D5" s="461"/>
      <c r="E5" s="461"/>
      <c r="F5" s="462"/>
      <c r="G5" s="463" t="s">
        <v>805</v>
      </c>
      <c r="H5" s="461"/>
      <c r="I5" s="461"/>
      <c r="J5" s="461"/>
      <c r="K5" s="238"/>
      <c r="L5" s="238"/>
      <c r="M5" s="238"/>
      <c r="N5" s="238"/>
      <c r="O5" s="455"/>
      <c r="P5" s="456"/>
      <c r="Q5" s="456"/>
      <c r="R5" s="456"/>
    </row>
    <row r="6" spans="2:18" ht="46.5">
      <c r="B6" s="452"/>
      <c r="C6" s="253">
        <v>1995</v>
      </c>
      <c r="D6" s="253">
        <v>2005</v>
      </c>
      <c r="E6" s="253">
        <v>2014</v>
      </c>
      <c r="F6" s="254" t="s">
        <v>806</v>
      </c>
      <c r="G6" s="255">
        <v>1995</v>
      </c>
      <c r="H6" s="253">
        <v>2005</v>
      </c>
      <c r="I6" s="253">
        <v>2014</v>
      </c>
      <c r="J6" s="162" t="s">
        <v>806</v>
      </c>
      <c r="K6" s="212"/>
      <c r="L6" s="212"/>
      <c r="M6" s="212"/>
      <c r="N6" s="212"/>
      <c r="O6" s="167"/>
      <c r="P6" s="167"/>
      <c r="Q6" s="167"/>
      <c r="R6" s="256"/>
    </row>
    <row r="7" spans="2:18">
      <c r="B7" s="168" t="s">
        <v>36</v>
      </c>
      <c r="C7" s="257">
        <v>75.043090000000007</v>
      </c>
      <c r="D7" s="258">
        <v>85.38364</v>
      </c>
      <c r="E7" s="259">
        <v>87.135490000000004</v>
      </c>
      <c r="F7" s="260">
        <f>(E7-C7)</f>
        <v>12.092399999999998</v>
      </c>
      <c r="G7" s="258">
        <v>44.041330000000002</v>
      </c>
      <c r="H7" s="258">
        <v>58.888399999999997</v>
      </c>
      <c r="I7" s="259">
        <v>57.711639999999996</v>
      </c>
      <c r="J7" s="261">
        <f>(I7-G7)</f>
        <v>13.670309999999994</v>
      </c>
      <c r="K7" s="262"/>
      <c r="L7" s="262"/>
      <c r="M7" s="262"/>
      <c r="N7" s="262"/>
      <c r="O7" s="258"/>
      <c r="P7" s="258"/>
      <c r="Q7" s="258"/>
      <c r="R7" s="262"/>
    </row>
    <row r="8" spans="2:18">
      <c r="B8" s="168" t="s">
        <v>39</v>
      </c>
      <c r="C8" s="257">
        <v>86.420860000000005</v>
      </c>
      <c r="D8" s="258">
        <v>84.901240000000001</v>
      </c>
      <c r="E8" s="258">
        <v>85.311729999999997</v>
      </c>
      <c r="F8" s="263">
        <f t="shared" ref="F8:F20" si="0">(E8-C8)</f>
        <v>-1.1091300000000075</v>
      </c>
      <c r="G8" s="258">
        <v>48.74671</v>
      </c>
      <c r="H8" s="258">
        <v>47.312290000000004</v>
      </c>
      <c r="I8" s="258">
        <v>60.675530000000002</v>
      </c>
      <c r="J8" s="262">
        <f t="shared" ref="J8:J20" si="1">(I8-G8)</f>
        <v>11.928820000000002</v>
      </c>
      <c r="K8" s="262"/>
      <c r="L8" s="262"/>
      <c r="M8" s="262"/>
      <c r="N8" s="262"/>
      <c r="O8" s="258"/>
      <c r="P8" s="258"/>
      <c r="Q8" s="258"/>
      <c r="R8" s="262"/>
    </row>
    <row r="9" spans="2:18">
      <c r="B9" s="168" t="s">
        <v>40</v>
      </c>
      <c r="C9" s="257">
        <v>37.040050000000001</v>
      </c>
      <c r="D9" s="258">
        <v>63.688279999999999</v>
      </c>
      <c r="E9" s="258">
        <v>66.595819999999989</v>
      </c>
      <c r="F9" s="263">
        <f t="shared" si="0"/>
        <v>29.555769999999988</v>
      </c>
      <c r="G9" s="258">
        <v>15.73725</v>
      </c>
      <c r="H9" s="258">
        <v>39.652150000000006</v>
      </c>
      <c r="I9" s="258">
        <v>53.75656</v>
      </c>
      <c r="J9" s="262">
        <f t="shared" si="1"/>
        <v>38.019310000000004</v>
      </c>
      <c r="K9" s="262"/>
      <c r="L9" s="262"/>
      <c r="M9" s="262"/>
      <c r="N9" s="262"/>
      <c r="O9" s="258"/>
      <c r="P9" s="258"/>
      <c r="Q9" s="258"/>
      <c r="R9" s="262"/>
    </row>
    <row r="10" spans="2:18">
      <c r="B10" s="168" t="s">
        <v>41</v>
      </c>
      <c r="C10" s="257">
        <v>83.922200000000004</v>
      </c>
      <c r="D10" s="258">
        <v>87.330209999999994</v>
      </c>
      <c r="E10" s="258">
        <v>90.718410000000006</v>
      </c>
      <c r="F10" s="263">
        <f t="shared" si="0"/>
        <v>6.7962100000000021</v>
      </c>
      <c r="G10" s="258">
        <v>61.823090000000001</v>
      </c>
      <c r="H10" s="258">
        <v>78.074889999999996</v>
      </c>
      <c r="I10" s="258">
        <v>81.032269999999997</v>
      </c>
      <c r="J10" s="262">
        <f t="shared" si="1"/>
        <v>19.209179999999996</v>
      </c>
      <c r="K10" s="262"/>
      <c r="L10" s="262"/>
      <c r="M10" s="262"/>
      <c r="N10" s="262"/>
      <c r="O10" s="258"/>
      <c r="P10" s="258"/>
      <c r="Q10" s="258"/>
      <c r="R10" s="262"/>
    </row>
    <row r="11" spans="2:18">
      <c r="B11" s="168" t="s">
        <v>42</v>
      </c>
      <c r="C11" s="257">
        <v>71.678529999999995</v>
      </c>
      <c r="D11" s="258">
        <v>79.683880000000002</v>
      </c>
      <c r="E11" s="258">
        <v>85.20423000000001</v>
      </c>
      <c r="F11" s="263">
        <f t="shared" si="0"/>
        <v>13.525700000000015</v>
      </c>
      <c r="G11" s="258">
        <v>22.772069999999999</v>
      </c>
      <c r="H11" s="258">
        <v>43.024619999999999</v>
      </c>
      <c r="I11" s="258">
        <v>50.554869999999994</v>
      </c>
      <c r="J11" s="262">
        <f t="shared" si="1"/>
        <v>27.782799999999995</v>
      </c>
      <c r="K11" s="262"/>
      <c r="L11" s="262"/>
      <c r="M11" s="262"/>
      <c r="N11" s="262"/>
      <c r="O11" s="258"/>
      <c r="P11" s="258"/>
      <c r="Q11" s="258"/>
      <c r="R11" s="262"/>
    </row>
    <row r="12" spans="2:18">
      <c r="B12" s="168" t="s">
        <v>43</v>
      </c>
      <c r="C12" s="257">
        <v>63.052390000000003</v>
      </c>
      <c r="D12" s="258">
        <v>79.090609999999998</v>
      </c>
      <c r="E12" s="258">
        <v>89.68768</v>
      </c>
      <c r="F12" s="263">
        <f t="shared" si="0"/>
        <v>26.635289999999998</v>
      </c>
      <c r="G12" s="258">
        <v>24.784300000000002</v>
      </c>
      <c r="H12" s="258">
        <v>28.988520000000001</v>
      </c>
      <c r="I12" s="258">
        <v>40.383699999999997</v>
      </c>
      <c r="J12" s="262">
        <f t="shared" si="1"/>
        <v>15.599399999999996</v>
      </c>
      <c r="K12" s="262"/>
      <c r="L12" s="262"/>
      <c r="M12" s="262"/>
      <c r="N12" s="262"/>
      <c r="O12" s="258"/>
      <c r="P12" s="258"/>
      <c r="Q12" s="258"/>
      <c r="R12" s="262"/>
    </row>
    <row r="13" spans="2:18">
      <c r="B13" s="168" t="s">
        <v>45</v>
      </c>
      <c r="C13" s="257">
        <v>58.570100000000004</v>
      </c>
      <c r="D13" s="258">
        <v>53.750059999999998</v>
      </c>
      <c r="E13" s="258">
        <v>69.23232999999999</v>
      </c>
      <c r="F13" s="263">
        <f t="shared" si="0"/>
        <v>10.662229999999987</v>
      </c>
      <c r="G13" s="258">
        <v>52.936879999999995</v>
      </c>
      <c r="H13" s="258">
        <v>43.459779999999995</v>
      </c>
      <c r="I13" s="258">
        <v>60.039540000000002</v>
      </c>
      <c r="J13" s="262">
        <f t="shared" si="1"/>
        <v>7.1026600000000073</v>
      </c>
      <c r="K13" s="262"/>
      <c r="L13" s="262"/>
      <c r="M13" s="262"/>
      <c r="N13" s="262"/>
      <c r="O13" s="258"/>
      <c r="P13" s="258"/>
      <c r="Q13" s="258"/>
      <c r="R13" s="262"/>
    </row>
    <row r="14" spans="2:18">
      <c r="B14" s="168" t="s">
        <v>52</v>
      </c>
      <c r="C14" s="257">
        <v>59.042819999999999</v>
      </c>
      <c r="D14" s="258">
        <v>69.382580000000004</v>
      </c>
      <c r="E14" s="258">
        <v>76.467969999999994</v>
      </c>
      <c r="F14" s="263">
        <f t="shared" si="0"/>
        <v>17.425149999999995</v>
      </c>
      <c r="G14" s="258">
        <v>24.45599</v>
      </c>
      <c r="H14" s="258">
        <v>41.330650000000006</v>
      </c>
      <c r="I14" s="258">
        <v>48.614940000000004</v>
      </c>
      <c r="J14" s="262">
        <f t="shared" si="1"/>
        <v>24.158950000000004</v>
      </c>
      <c r="K14" s="262"/>
      <c r="L14" s="262"/>
      <c r="M14" s="262"/>
      <c r="N14" s="262"/>
      <c r="O14" s="258"/>
      <c r="P14" s="258"/>
      <c r="Q14" s="258"/>
      <c r="R14" s="262"/>
    </row>
    <row r="15" spans="2:18">
      <c r="B15" s="168" t="s">
        <v>54</v>
      </c>
      <c r="C15" s="257">
        <v>71.722030000000004</v>
      </c>
      <c r="D15" s="258">
        <v>77.789289999999994</v>
      </c>
      <c r="E15" s="258">
        <v>83.728740000000002</v>
      </c>
      <c r="F15" s="263">
        <f t="shared" si="0"/>
        <v>12.006709999999998</v>
      </c>
      <c r="G15" s="258">
        <v>39.413969999999999</v>
      </c>
      <c r="H15" s="258">
        <v>51.986800000000002</v>
      </c>
      <c r="I15" s="258">
        <v>60.800739999999998</v>
      </c>
      <c r="J15" s="262">
        <f t="shared" si="1"/>
        <v>21.386769999999999</v>
      </c>
      <c r="K15" s="262"/>
      <c r="L15" s="262"/>
      <c r="M15" s="262"/>
      <c r="N15" s="262"/>
      <c r="O15" s="258"/>
      <c r="P15" s="258"/>
      <c r="Q15" s="258"/>
      <c r="R15" s="262"/>
    </row>
    <row r="16" spans="2:18">
      <c r="B16" s="168" t="s">
        <v>56</v>
      </c>
      <c r="C16" s="257">
        <v>72.7654</v>
      </c>
      <c r="D16" s="258">
        <v>77.852919999999997</v>
      </c>
      <c r="E16" s="258">
        <v>85.454419999999999</v>
      </c>
      <c r="F16" s="263">
        <f t="shared" si="0"/>
        <v>12.689019999999999</v>
      </c>
      <c r="G16" s="258">
        <v>44.315010000000001</v>
      </c>
      <c r="H16" s="258">
        <v>61.193539999999999</v>
      </c>
      <c r="I16" s="258">
        <v>72.313780000000008</v>
      </c>
      <c r="J16" s="262">
        <f t="shared" si="1"/>
        <v>27.998770000000007</v>
      </c>
      <c r="K16" s="262"/>
      <c r="L16" s="262"/>
      <c r="M16" s="262"/>
      <c r="N16" s="262"/>
      <c r="O16" s="258"/>
      <c r="P16" s="258"/>
      <c r="Q16" s="258"/>
      <c r="R16" s="262"/>
    </row>
    <row r="17" spans="2:18">
      <c r="B17" s="168" t="s">
        <v>55</v>
      </c>
      <c r="C17" s="257">
        <v>48.570029999999996</v>
      </c>
      <c r="D17" s="258">
        <v>72.558080000000004</v>
      </c>
      <c r="E17" s="258">
        <v>80.036510000000007</v>
      </c>
      <c r="F17" s="263">
        <f t="shared" si="0"/>
        <v>31.466480000000011</v>
      </c>
      <c r="G17" s="258">
        <v>23.439830000000001</v>
      </c>
      <c r="H17" s="258">
        <v>22.390689999999999</v>
      </c>
      <c r="I17" s="258">
        <v>57.034750000000003</v>
      </c>
      <c r="J17" s="262">
        <f t="shared" si="1"/>
        <v>33.594920000000002</v>
      </c>
      <c r="K17" s="262"/>
      <c r="L17" s="262"/>
      <c r="M17" s="262"/>
      <c r="N17" s="262"/>
      <c r="O17" s="258"/>
      <c r="P17" s="258"/>
      <c r="Q17" s="258"/>
      <c r="R17" s="262"/>
    </row>
    <row r="18" spans="2:18">
      <c r="B18" s="168" t="s">
        <v>46</v>
      </c>
      <c r="C18" s="257">
        <v>46.106279999999998</v>
      </c>
      <c r="D18" s="258">
        <v>58.958210000000001</v>
      </c>
      <c r="E18" s="258">
        <v>65.686840000000004</v>
      </c>
      <c r="F18" s="263">
        <f t="shared" si="0"/>
        <v>19.580560000000006</v>
      </c>
      <c r="G18" s="258">
        <v>23.765829999999998</v>
      </c>
      <c r="H18" s="258">
        <v>38.106469999999995</v>
      </c>
      <c r="I18" s="258">
        <v>45.322009999999999</v>
      </c>
      <c r="J18" s="262">
        <f t="shared" si="1"/>
        <v>21.556180000000001</v>
      </c>
      <c r="K18" s="262"/>
      <c r="L18" s="262"/>
      <c r="M18" s="262"/>
      <c r="N18" s="262"/>
      <c r="O18" s="258"/>
      <c r="P18" s="258"/>
      <c r="Q18" s="258"/>
      <c r="R18" s="262"/>
    </row>
    <row r="19" spans="2:18">
      <c r="B19" s="168" t="s">
        <v>58</v>
      </c>
      <c r="C19" s="257">
        <v>69.788619999999995</v>
      </c>
      <c r="D19" s="258">
        <v>80.838210000000004</v>
      </c>
      <c r="E19" s="258">
        <v>81.12527</v>
      </c>
      <c r="F19" s="263">
        <f t="shared" si="0"/>
        <v>11.336650000000006</v>
      </c>
      <c r="G19" s="258">
        <v>32.847050000000003</v>
      </c>
      <c r="H19" s="258">
        <v>31.299440000000001</v>
      </c>
      <c r="I19" s="258">
        <v>32.484059999999999</v>
      </c>
      <c r="J19" s="262">
        <f t="shared" si="1"/>
        <v>-0.36299000000000348</v>
      </c>
      <c r="K19" s="262"/>
      <c r="L19" s="262"/>
      <c r="M19" s="262"/>
      <c r="N19" s="262"/>
      <c r="O19" s="258"/>
      <c r="P19" s="258"/>
      <c r="Q19" s="258"/>
      <c r="R19" s="262"/>
    </row>
    <row r="20" spans="2:18">
      <c r="B20" s="217" t="s">
        <v>59</v>
      </c>
      <c r="C20" s="264">
        <v>75.572620000000001</v>
      </c>
      <c r="D20" s="265">
        <v>82.652929999999998</v>
      </c>
      <c r="E20" s="265">
        <v>83.798929999999999</v>
      </c>
      <c r="F20" s="266">
        <f t="shared" si="0"/>
        <v>8.226309999999998</v>
      </c>
      <c r="G20" s="265">
        <v>31.560660000000002</v>
      </c>
      <c r="H20" s="265">
        <v>47.150730000000003</v>
      </c>
      <c r="I20" s="265">
        <v>62.127129999999994</v>
      </c>
      <c r="J20" s="267">
        <f t="shared" si="1"/>
        <v>30.566469999999992</v>
      </c>
      <c r="K20" s="262"/>
      <c r="L20" s="262"/>
      <c r="M20" s="262"/>
      <c r="N20" s="262"/>
      <c r="O20" s="258"/>
      <c r="P20" s="258"/>
      <c r="Q20" s="258"/>
      <c r="R20" s="262"/>
    </row>
    <row r="21" spans="2:18" s="166" customFormat="1" ht="30.5" thickBot="1">
      <c r="B21" s="268" t="s">
        <v>20</v>
      </c>
      <c r="C21" s="269">
        <f>AVERAGE(C7:C20)</f>
        <v>65.663930000000008</v>
      </c>
      <c r="D21" s="270">
        <f>AVERAGE(D7:D20)</f>
        <v>75.27572428571429</v>
      </c>
      <c r="E21" s="270">
        <f t="shared" ref="E21:I21" si="2">AVERAGE(E7:E20)</f>
        <v>80.727454999999992</v>
      </c>
      <c r="F21" s="271">
        <f>(E21-C21)</f>
        <v>15.063524999999984</v>
      </c>
      <c r="G21" s="270">
        <f t="shared" si="2"/>
        <v>35.045712142857148</v>
      </c>
      <c r="H21" s="270">
        <f t="shared" si="2"/>
        <v>45.204212142857138</v>
      </c>
      <c r="I21" s="270">
        <f t="shared" si="2"/>
        <v>55.917965714285707</v>
      </c>
      <c r="J21" s="272">
        <f>(I21-G21)</f>
        <v>20.872253571428558</v>
      </c>
      <c r="K21" s="273"/>
      <c r="L21" s="273"/>
      <c r="M21" s="273"/>
      <c r="N21" s="273"/>
      <c r="O21" s="274"/>
      <c r="P21" s="274"/>
      <c r="Q21" s="274"/>
      <c r="R21" s="273"/>
    </row>
    <row r="22" spans="2:18" s="166" customFormat="1" ht="44.25" customHeight="1" thickTop="1">
      <c r="B22" s="457" t="s">
        <v>807</v>
      </c>
      <c r="C22" s="457"/>
      <c r="D22" s="457"/>
      <c r="E22" s="457"/>
      <c r="F22" s="457"/>
      <c r="G22" s="457"/>
      <c r="H22" s="457"/>
      <c r="I22" s="457"/>
      <c r="J22" s="457"/>
      <c r="K22" s="275"/>
      <c r="L22" s="275"/>
      <c r="M22" s="275"/>
      <c r="N22" s="275"/>
      <c r="O22" s="458"/>
      <c r="P22" s="458"/>
      <c r="Q22" s="458"/>
      <c r="R22" s="458"/>
    </row>
  </sheetData>
  <mergeCells count="9">
    <mergeCell ref="O5:R5"/>
    <mergeCell ref="B22:J22"/>
    <mergeCell ref="O22:R22"/>
    <mergeCell ref="B2:K2"/>
    <mergeCell ref="B4:F4"/>
    <mergeCell ref="G4:J4"/>
    <mergeCell ref="B5:B6"/>
    <mergeCell ref="C5:F5"/>
    <mergeCell ref="G5:J5"/>
  </mergeCells>
  <pageMargins left="0.7" right="0.7" top="0.75" bottom="0.75" header="0.3" footer="0.3"/>
  <pageSetup scale="6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zoomScaleSheetLayoutView="100" workbookViewId="0">
      <selection activeCell="A18" sqref="A18:XFD32"/>
    </sheetView>
  </sheetViews>
  <sheetFormatPr defaultColWidth="9.1796875" defaultRowHeight="15.5"/>
  <cols>
    <col min="1" max="1" width="3.1796875" style="142" customWidth="1"/>
    <col min="2" max="2" width="15.1796875" style="142" customWidth="1"/>
    <col min="3" max="5" width="24.54296875" style="142" customWidth="1"/>
    <col min="6" max="6" width="7" style="142" customWidth="1"/>
    <col min="7" max="7" width="9.26953125" style="142" customWidth="1"/>
    <col min="8" max="10" width="18.453125" style="142" customWidth="1"/>
    <col min="11" max="12" width="9.1796875" style="142"/>
    <col min="13" max="15" width="15.453125" style="142" customWidth="1"/>
    <col min="16" max="16384" width="9.1796875" style="142"/>
  </cols>
  <sheetData>
    <row r="1" spans="1:6">
      <c r="A1" s="141"/>
      <c r="B1" s="276"/>
      <c r="C1" s="276"/>
      <c r="D1" s="276"/>
      <c r="E1" s="276"/>
      <c r="F1" s="141"/>
    </row>
    <row r="2" spans="1:6" ht="42" customHeight="1">
      <c r="A2" s="141"/>
      <c r="B2" s="464" t="s">
        <v>808</v>
      </c>
      <c r="C2" s="464"/>
      <c r="D2" s="464"/>
      <c r="E2" s="464"/>
      <c r="F2" s="464"/>
    </row>
    <row r="3" spans="1:6">
      <c r="A3" s="141"/>
      <c r="B3" s="141"/>
      <c r="C3" s="141"/>
      <c r="D3" s="141"/>
      <c r="E3" s="141"/>
      <c r="F3" s="141"/>
    </row>
    <row r="4" spans="1:6" ht="30">
      <c r="A4" s="141"/>
      <c r="B4" s="277" t="s">
        <v>809</v>
      </c>
      <c r="C4" s="278" t="s">
        <v>810</v>
      </c>
      <c r="D4" s="278" t="s">
        <v>811</v>
      </c>
      <c r="E4" s="279" t="s">
        <v>812</v>
      </c>
      <c r="F4" s="141"/>
    </row>
    <row r="5" spans="1:6" ht="46.5" customHeight="1">
      <c r="A5" s="141"/>
      <c r="B5" s="280" t="s">
        <v>813</v>
      </c>
      <c r="C5" s="281"/>
      <c r="D5" s="281" t="s">
        <v>814</v>
      </c>
      <c r="E5" s="282"/>
      <c r="F5" s="141"/>
    </row>
    <row r="6" spans="1:6" ht="114.75" customHeight="1">
      <c r="A6" s="141"/>
      <c r="B6" s="280" t="s">
        <v>815</v>
      </c>
      <c r="C6" s="283" t="s">
        <v>816</v>
      </c>
      <c r="D6" s="283" t="s">
        <v>817</v>
      </c>
      <c r="E6" s="284" t="s">
        <v>818</v>
      </c>
      <c r="F6" s="141"/>
    </row>
    <row r="7" spans="1:6" ht="75.75" customHeight="1">
      <c r="A7" s="141"/>
      <c r="B7" s="280" t="s">
        <v>819</v>
      </c>
      <c r="C7" s="283" t="s">
        <v>820</v>
      </c>
      <c r="D7" s="283" t="s">
        <v>821</v>
      </c>
      <c r="E7" s="284" t="s">
        <v>822</v>
      </c>
      <c r="F7" s="141"/>
    </row>
    <row r="8" spans="1:6" ht="52.5" customHeight="1">
      <c r="A8" s="141"/>
      <c r="B8" s="280" t="s">
        <v>823</v>
      </c>
      <c r="C8" s="281"/>
      <c r="D8" s="283" t="s">
        <v>824</v>
      </c>
      <c r="E8" s="282" t="s">
        <v>825</v>
      </c>
      <c r="F8" s="141"/>
    </row>
    <row r="9" spans="1:6" ht="52.5" customHeight="1" thickBot="1">
      <c r="A9" s="141"/>
      <c r="B9" s="285" t="s">
        <v>826</v>
      </c>
      <c r="C9" s="286" t="s">
        <v>827</v>
      </c>
      <c r="D9" s="287"/>
      <c r="E9" s="288" t="s">
        <v>828</v>
      </c>
      <c r="F9" s="141"/>
    </row>
    <row r="10" spans="1:6" ht="50.25" customHeight="1" thickTop="1">
      <c r="A10" s="141"/>
      <c r="B10" s="436" t="s">
        <v>829</v>
      </c>
      <c r="C10" s="436"/>
      <c r="D10" s="436"/>
      <c r="E10" s="436"/>
      <c r="F10" s="141"/>
    </row>
    <row r="18" spans="2:10" ht="0.5" customHeight="1"/>
    <row r="19" spans="2:10" ht="0.5" customHeight="1">
      <c r="B19" s="208" t="s">
        <v>830</v>
      </c>
      <c r="C19" s="208"/>
      <c r="D19" s="208"/>
      <c r="G19" s="208" t="s">
        <v>831</v>
      </c>
    </row>
    <row r="20" spans="2:10" ht="0.5" customHeight="1"/>
    <row r="21" spans="2:10" ht="0.5" customHeight="1">
      <c r="B21" s="289" t="s">
        <v>832</v>
      </c>
      <c r="C21" s="289" t="s">
        <v>174</v>
      </c>
      <c r="D21" s="289" t="s">
        <v>173</v>
      </c>
      <c r="E21" s="289" t="s">
        <v>172</v>
      </c>
      <c r="F21" s="289"/>
      <c r="G21" s="289"/>
      <c r="H21" s="289" t="s">
        <v>174</v>
      </c>
      <c r="I21" s="289" t="s">
        <v>173</v>
      </c>
      <c r="J21" s="289" t="s">
        <v>172</v>
      </c>
    </row>
    <row r="22" spans="2:10" ht="0.5" customHeight="1">
      <c r="B22" s="289" t="s">
        <v>510</v>
      </c>
      <c r="C22" s="290">
        <v>401</v>
      </c>
      <c r="D22" s="290">
        <v>407.34899999999999</v>
      </c>
      <c r="E22" s="290">
        <v>377.07</v>
      </c>
      <c r="G22" s="289" t="s">
        <v>510</v>
      </c>
      <c r="H22" s="291">
        <f t="shared" ref="H22:J30" si="0">(C$31-C22)/30</f>
        <v>3.0666666666666669</v>
      </c>
      <c r="I22" s="291">
        <f t="shared" si="0"/>
        <v>2.8399999999999994</v>
      </c>
      <c r="J22" s="291">
        <f t="shared" si="0"/>
        <v>3.7711333333333337</v>
      </c>
    </row>
    <row r="23" spans="2:10" ht="0.5" customHeight="1">
      <c r="B23" s="289" t="s">
        <v>519</v>
      </c>
      <c r="C23" s="290">
        <v>447</v>
      </c>
      <c r="D23" s="290">
        <v>458.57100000000003</v>
      </c>
      <c r="E23" s="290">
        <v>422.67099999999999</v>
      </c>
      <c r="G23" s="289" t="s">
        <v>519</v>
      </c>
      <c r="H23" s="291">
        <f t="shared" si="0"/>
        <v>1.5333333333333334</v>
      </c>
      <c r="I23" s="291">
        <f t="shared" si="0"/>
        <v>1.1325999999999985</v>
      </c>
      <c r="J23" s="291">
        <f t="shared" si="0"/>
        <v>2.2511000000000005</v>
      </c>
    </row>
    <row r="24" spans="2:10" ht="0.5" customHeight="1">
      <c r="B24" s="289" t="s">
        <v>528</v>
      </c>
      <c r="C24" s="290">
        <v>416</v>
      </c>
      <c r="D24" s="290">
        <v>424.90499999999997</v>
      </c>
      <c r="E24" s="290">
        <v>389.64400000000001</v>
      </c>
      <c r="G24" s="289" t="s">
        <v>528</v>
      </c>
      <c r="H24" s="291">
        <f t="shared" si="0"/>
        <v>2.5666666666666669</v>
      </c>
      <c r="I24" s="291">
        <f t="shared" si="0"/>
        <v>2.2548000000000004</v>
      </c>
      <c r="J24" s="291">
        <f t="shared" si="0"/>
        <v>3.3519999999999999</v>
      </c>
    </row>
    <row r="25" spans="2:10" ht="0.5" customHeight="1">
      <c r="B25" s="289" t="s">
        <v>535</v>
      </c>
      <c r="C25" s="290">
        <v>420</v>
      </c>
      <c r="D25" s="290">
        <v>427.488</v>
      </c>
      <c r="E25" s="290">
        <v>400.25299999999999</v>
      </c>
      <c r="G25" s="289" t="s">
        <v>535</v>
      </c>
      <c r="H25" s="291">
        <f t="shared" si="0"/>
        <v>2.4333333333333331</v>
      </c>
      <c r="I25" s="291">
        <f t="shared" si="0"/>
        <v>2.1686999999999994</v>
      </c>
      <c r="J25" s="291">
        <f t="shared" si="0"/>
        <v>2.9983666666666675</v>
      </c>
    </row>
    <row r="26" spans="2:10" ht="0.5" customHeight="1">
      <c r="B26" s="289" t="s">
        <v>542</v>
      </c>
      <c r="C26" s="290">
        <v>332</v>
      </c>
      <c r="D26" s="290">
        <v>357.738</v>
      </c>
      <c r="E26" s="290">
        <v>327.702</v>
      </c>
      <c r="G26" s="289" t="s">
        <v>542</v>
      </c>
      <c r="H26" s="291">
        <f t="shared" si="0"/>
        <v>5.3666666666666663</v>
      </c>
      <c r="I26" s="291">
        <f t="shared" si="0"/>
        <v>4.4936999999999996</v>
      </c>
      <c r="J26" s="291">
        <f t="shared" si="0"/>
        <v>5.4167333333333341</v>
      </c>
    </row>
    <row r="27" spans="2:10" ht="0.5" customHeight="1">
      <c r="B27" s="289" t="s">
        <v>550</v>
      </c>
      <c r="C27" s="290">
        <v>416</v>
      </c>
      <c r="D27" s="290">
        <v>423.27600000000001</v>
      </c>
      <c r="E27" s="290">
        <v>408.02300000000002</v>
      </c>
      <c r="G27" s="289" t="s">
        <v>550</v>
      </c>
      <c r="H27" s="291">
        <f t="shared" si="0"/>
        <v>2.5666666666666669</v>
      </c>
      <c r="I27" s="291">
        <f t="shared" si="0"/>
        <v>2.309099999999999</v>
      </c>
      <c r="J27" s="291">
        <f t="shared" si="0"/>
        <v>2.7393666666666663</v>
      </c>
    </row>
    <row r="28" spans="2:10" ht="0.5" customHeight="1">
      <c r="B28" s="289" t="s">
        <v>558</v>
      </c>
      <c r="C28" s="290">
        <v>397</v>
      </c>
      <c r="D28" s="290">
        <v>397.541</v>
      </c>
      <c r="E28" s="290">
        <v>386.56099999999998</v>
      </c>
      <c r="G28" s="289" t="s">
        <v>558</v>
      </c>
      <c r="H28" s="291">
        <f t="shared" si="0"/>
        <v>3.2</v>
      </c>
      <c r="I28" s="291">
        <f t="shared" si="0"/>
        <v>3.1669333333333327</v>
      </c>
      <c r="J28" s="291">
        <f t="shared" si="0"/>
        <v>3.4547666666666674</v>
      </c>
    </row>
    <row r="29" spans="2:10" ht="0.5" customHeight="1">
      <c r="B29" s="289" t="s">
        <v>565</v>
      </c>
      <c r="C29" s="290">
        <v>425</v>
      </c>
      <c r="D29" s="290">
        <v>427.27300000000002</v>
      </c>
      <c r="E29" s="290">
        <v>417.24299999999999</v>
      </c>
      <c r="G29" s="289" t="s">
        <v>565</v>
      </c>
      <c r="H29" s="291">
        <f t="shared" si="0"/>
        <v>2.2666666666666666</v>
      </c>
      <c r="I29" s="291">
        <f t="shared" si="0"/>
        <v>2.1758666666666651</v>
      </c>
      <c r="J29" s="291">
        <f t="shared" si="0"/>
        <v>2.4320333333333339</v>
      </c>
    </row>
    <row r="30" spans="2:10" ht="0.5" customHeight="1">
      <c r="B30" s="289" t="s">
        <v>571</v>
      </c>
      <c r="C30" s="290">
        <v>435</v>
      </c>
      <c r="D30" s="290">
        <v>436.572</v>
      </c>
      <c r="E30" s="290">
        <v>417.99200000000002</v>
      </c>
      <c r="G30" s="289" t="s">
        <v>571</v>
      </c>
      <c r="H30" s="291">
        <f t="shared" si="0"/>
        <v>1.9333333333333333</v>
      </c>
      <c r="I30" s="291">
        <f t="shared" si="0"/>
        <v>1.8658999999999992</v>
      </c>
      <c r="J30" s="291">
        <f t="shared" si="0"/>
        <v>2.4070666666666662</v>
      </c>
    </row>
    <row r="31" spans="2:10" ht="0.5" customHeight="1">
      <c r="B31" s="289" t="s">
        <v>833</v>
      </c>
      <c r="C31" s="290">
        <v>493</v>
      </c>
      <c r="D31" s="290">
        <v>492.54899999999998</v>
      </c>
      <c r="E31" s="290">
        <v>490.20400000000001</v>
      </c>
      <c r="G31" s="289"/>
    </row>
    <row r="32" spans="2:10" ht="0.5" customHeight="1">
      <c r="B32" s="289" t="s">
        <v>834</v>
      </c>
      <c r="C32" s="289"/>
      <c r="D32" s="289"/>
      <c r="E32" s="289"/>
    </row>
    <row r="33" spans="2:5">
      <c r="B33" s="289"/>
      <c r="C33" s="289"/>
      <c r="D33" s="289"/>
      <c r="E33" s="289"/>
    </row>
  </sheetData>
  <mergeCells count="2">
    <mergeCell ref="B2:F2"/>
    <mergeCell ref="B10:E10"/>
  </mergeCells>
  <pageMargins left="0.7" right="0.7" top="0.75" bottom="0.75" header="0.3" footer="0.3"/>
  <pageSetup scale="9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view="pageBreakPreview" zoomScaleNormal="100" zoomScaleSheetLayoutView="100" workbookViewId="0"/>
  </sheetViews>
  <sheetFormatPr defaultColWidth="9.1796875" defaultRowHeight="14"/>
  <cols>
    <col min="1" max="1" width="4.26953125" style="293" customWidth="1"/>
    <col min="2" max="5" width="8.453125" style="293" customWidth="1"/>
    <col min="6" max="15" width="9.1796875" style="293"/>
    <col min="16" max="16" width="3.7265625" style="293" customWidth="1"/>
    <col min="17" max="19" width="9.1796875" style="293"/>
    <col min="20" max="20" width="9.1796875" style="293" customWidth="1"/>
    <col min="21" max="16384" width="9.1796875" style="293"/>
  </cols>
  <sheetData>
    <row r="1" spans="1:16">
      <c r="A1" s="292"/>
      <c r="B1" s="292"/>
      <c r="C1" s="292"/>
      <c r="D1" s="292"/>
      <c r="E1" s="292"/>
      <c r="F1" s="292"/>
      <c r="G1" s="292"/>
      <c r="H1" s="292"/>
      <c r="I1" s="292"/>
      <c r="J1" s="292"/>
      <c r="K1" s="292"/>
      <c r="L1" s="292"/>
      <c r="M1" s="292"/>
      <c r="N1" s="292"/>
      <c r="O1" s="292"/>
      <c r="P1" s="292"/>
    </row>
    <row r="2" spans="1:16" ht="17.5">
      <c r="A2" s="292"/>
      <c r="B2" s="3" t="s">
        <v>835</v>
      </c>
      <c r="C2" s="292"/>
      <c r="D2" s="292"/>
      <c r="E2" s="292"/>
      <c r="F2" s="292"/>
      <c r="G2" s="292"/>
      <c r="H2" s="292"/>
      <c r="I2" s="292"/>
      <c r="J2" s="292"/>
      <c r="K2" s="292"/>
      <c r="L2" s="292"/>
      <c r="M2" s="292"/>
      <c r="N2" s="292"/>
      <c r="O2" s="292"/>
      <c r="P2" s="292"/>
    </row>
    <row r="3" spans="1:16">
      <c r="A3" s="292"/>
      <c r="B3" s="292"/>
      <c r="C3" s="292"/>
      <c r="D3" s="292"/>
      <c r="E3" s="292"/>
      <c r="F3" s="292"/>
      <c r="G3" s="292"/>
      <c r="H3" s="292"/>
      <c r="I3" s="292"/>
      <c r="J3" s="292"/>
      <c r="K3" s="292"/>
      <c r="L3" s="292"/>
      <c r="M3" s="292"/>
      <c r="N3" s="292"/>
      <c r="O3" s="292"/>
      <c r="P3" s="292"/>
    </row>
    <row r="4" spans="1:16">
      <c r="A4" s="292"/>
      <c r="B4" s="292"/>
      <c r="C4" s="292"/>
      <c r="D4" s="292"/>
      <c r="E4" s="292"/>
      <c r="F4" s="292"/>
      <c r="G4" s="292"/>
      <c r="H4" s="292"/>
      <c r="I4" s="292"/>
      <c r="J4" s="292"/>
      <c r="K4" s="292"/>
      <c r="L4" s="292"/>
      <c r="M4" s="292"/>
      <c r="N4" s="292"/>
      <c r="O4" s="292"/>
      <c r="P4" s="292"/>
    </row>
    <row r="5" spans="1:16">
      <c r="A5" s="292"/>
      <c r="B5" s="292"/>
      <c r="C5" s="292"/>
      <c r="D5" s="292"/>
      <c r="E5" s="292"/>
      <c r="F5" s="292"/>
      <c r="G5" s="292"/>
      <c r="H5" s="292"/>
      <c r="I5" s="292"/>
      <c r="J5" s="292"/>
      <c r="K5" s="292"/>
      <c r="L5" s="292"/>
      <c r="M5" s="292"/>
      <c r="N5" s="292"/>
      <c r="O5" s="292"/>
      <c r="P5" s="292"/>
    </row>
    <row r="6" spans="1:16">
      <c r="A6" s="292"/>
      <c r="B6" s="292"/>
      <c r="C6" s="292"/>
      <c r="D6" s="292"/>
      <c r="E6" s="292"/>
      <c r="F6" s="292"/>
      <c r="G6" s="292"/>
      <c r="H6" s="292"/>
      <c r="I6" s="292"/>
      <c r="J6" s="292"/>
      <c r="K6" s="292"/>
      <c r="L6" s="292"/>
      <c r="M6" s="292"/>
      <c r="N6" s="292"/>
      <c r="O6" s="292"/>
      <c r="P6" s="292"/>
    </row>
    <row r="7" spans="1:16">
      <c r="A7" s="292"/>
      <c r="B7" s="292"/>
      <c r="C7" s="292"/>
      <c r="D7" s="292"/>
      <c r="E7" s="292"/>
      <c r="F7" s="292"/>
      <c r="G7" s="292"/>
      <c r="H7" s="292"/>
      <c r="I7" s="292"/>
      <c r="J7" s="292"/>
      <c r="K7" s="292"/>
      <c r="L7" s="292"/>
      <c r="M7" s="292"/>
      <c r="N7" s="292"/>
      <c r="O7" s="292"/>
      <c r="P7" s="292"/>
    </row>
    <row r="8" spans="1:16">
      <c r="A8" s="292"/>
      <c r="B8" s="292"/>
      <c r="C8" s="292"/>
      <c r="D8" s="292"/>
      <c r="E8" s="292"/>
      <c r="F8" s="292"/>
      <c r="G8" s="292"/>
      <c r="H8" s="292"/>
      <c r="I8" s="292"/>
      <c r="J8" s="292"/>
      <c r="K8" s="292"/>
      <c r="L8" s="292"/>
      <c r="M8" s="292"/>
      <c r="N8" s="292"/>
      <c r="O8" s="292"/>
      <c r="P8" s="292"/>
    </row>
    <row r="9" spans="1:16">
      <c r="A9" s="292"/>
      <c r="B9" s="292"/>
      <c r="C9" s="292"/>
      <c r="D9" s="292"/>
      <c r="E9" s="292"/>
      <c r="F9" s="292"/>
      <c r="G9" s="292"/>
      <c r="H9" s="292"/>
      <c r="I9" s="292"/>
      <c r="J9" s="292"/>
      <c r="K9" s="292"/>
      <c r="L9" s="292"/>
      <c r="M9" s="292"/>
      <c r="N9" s="292"/>
      <c r="O9" s="292"/>
      <c r="P9" s="292"/>
    </row>
    <row r="10" spans="1:16">
      <c r="A10" s="292"/>
      <c r="B10" s="292"/>
      <c r="C10" s="292"/>
      <c r="D10" s="292"/>
      <c r="E10" s="292"/>
      <c r="F10" s="292"/>
      <c r="G10" s="292"/>
      <c r="H10" s="292"/>
      <c r="I10" s="292"/>
      <c r="J10" s="292"/>
      <c r="K10" s="292"/>
      <c r="L10" s="292"/>
      <c r="M10" s="292"/>
      <c r="N10" s="292"/>
      <c r="O10" s="292"/>
      <c r="P10" s="292"/>
    </row>
    <row r="11" spans="1:16">
      <c r="A11" s="292"/>
      <c r="B11" s="292"/>
      <c r="C11" s="292"/>
      <c r="D11" s="292"/>
      <c r="E11" s="292"/>
      <c r="F11" s="292"/>
      <c r="G11" s="292"/>
      <c r="H11" s="292"/>
      <c r="I11" s="292"/>
      <c r="J11" s="292"/>
      <c r="K11" s="292"/>
      <c r="L11" s="292"/>
      <c r="M11" s="292"/>
      <c r="N11" s="292"/>
      <c r="O11" s="292"/>
      <c r="P11" s="292"/>
    </row>
    <row r="12" spans="1:16">
      <c r="A12" s="292"/>
      <c r="B12" s="292"/>
      <c r="C12" s="292"/>
      <c r="D12" s="292"/>
      <c r="E12" s="292"/>
      <c r="F12" s="292"/>
      <c r="G12" s="292"/>
      <c r="H12" s="292"/>
      <c r="I12" s="292"/>
      <c r="J12" s="292"/>
      <c r="K12" s="292"/>
      <c r="L12" s="292"/>
      <c r="M12" s="292"/>
      <c r="N12" s="292"/>
      <c r="O12" s="292"/>
      <c r="P12" s="292"/>
    </row>
    <row r="13" spans="1:16">
      <c r="A13" s="292"/>
      <c r="B13" s="292"/>
      <c r="C13" s="292"/>
      <c r="D13" s="292"/>
      <c r="E13" s="292"/>
      <c r="F13" s="292"/>
      <c r="G13" s="292"/>
      <c r="H13" s="292"/>
      <c r="I13" s="292"/>
      <c r="J13" s="292"/>
      <c r="K13" s="292"/>
      <c r="L13" s="292"/>
      <c r="M13" s="292"/>
      <c r="N13" s="292"/>
      <c r="O13" s="292"/>
      <c r="P13" s="292"/>
    </row>
    <row r="14" spans="1:16">
      <c r="A14" s="292"/>
      <c r="B14" s="292"/>
      <c r="C14" s="292"/>
      <c r="D14" s="292"/>
      <c r="E14" s="292"/>
      <c r="F14" s="292"/>
      <c r="G14" s="292"/>
      <c r="H14" s="292"/>
      <c r="I14" s="292"/>
      <c r="J14" s="292"/>
      <c r="K14" s="292"/>
      <c r="L14" s="292"/>
      <c r="M14" s="292"/>
      <c r="N14" s="292"/>
      <c r="O14" s="292"/>
      <c r="P14" s="292"/>
    </row>
    <row r="15" spans="1:16">
      <c r="A15" s="292"/>
      <c r="B15" s="292"/>
      <c r="C15" s="292"/>
      <c r="D15" s="292"/>
      <c r="E15" s="292"/>
      <c r="F15" s="292"/>
      <c r="G15" s="292"/>
      <c r="H15" s="292"/>
      <c r="I15" s="292"/>
      <c r="J15" s="292"/>
      <c r="K15" s="292"/>
      <c r="L15" s="292"/>
      <c r="M15" s="292"/>
      <c r="N15" s="292"/>
      <c r="O15" s="292"/>
      <c r="P15" s="292"/>
    </row>
    <row r="16" spans="1:16">
      <c r="A16" s="292"/>
      <c r="B16" s="292"/>
      <c r="C16" s="292"/>
      <c r="D16" s="292"/>
      <c r="E16" s="292"/>
      <c r="F16" s="292"/>
      <c r="G16" s="292"/>
      <c r="H16" s="292"/>
      <c r="I16" s="292"/>
      <c r="J16" s="292"/>
      <c r="K16" s="292"/>
      <c r="L16" s="292"/>
      <c r="M16" s="292"/>
      <c r="N16" s="292"/>
      <c r="O16" s="292"/>
      <c r="P16" s="292"/>
    </row>
    <row r="17" spans="1:16">
      <c r="A17" s="292"/>
      <c r="B17" s="292"/>
      <c r="C17" s="292"/>
      <c r="D17" s="292"/>
      <c r="E17" s="292"/>
      <c r="F17" s="292"/>
      <c r="G17" s="292"/>
      <c r="H17" s="292"/>
      <c r="I17" s="292"/>
      <c r="J17" s="292"/>
      <c r="K17" s="292"/>
      <c r="L17" s="292"/>
      <c r="M17" s="292"/>
      <c r="N17" s="292"/>
      <c r="O17" s="292"/>
      <c r="P17" s="292"/>
    </row>
    <row r="18" spans="1:16" ht="34.5" customHeight="1">
      <c r="A18" s="292"/>
      <c r="B18" s="292"/>
      <c r="C18" s="292"/>
      <c r="D18" s="292"/>
      <c r="E18" s="292"/>
      <c r="F18" s="292"/>
      <c r="G18" s="292"/>
      <c r="H18" s="292"/>
      <c r="I18" s="292"/>
      <c r="J18" s="292"/>
      <c r="K18" s="292"/>
      <c r="L18" s="292"/>
      <c r="M18" s="292"/>
      <c r="N18" s="292"/>
      <c r="O18" s="292"/>
      <c r="P18" s="292"/>
    </row>
    <row r="19" spans="1:16">
      <c r="A19" s="292"/>
      <c r="B19" s="292"/>
      <c r="C19" s="292"/>
      <c r="D19" s="292"/>
      <c r="E19" s="292"/>
      <c r="F19" s="292"/>
      <c r="G19" s="292"/>
      <c r="H19" s="292"/>
      <c r="I19" s="292"/>
      <c r="J19" s="292"/>
      <c r="K19" s="292"/>
      <c r="L19" s="292"/>
      <c r="M19" s="292"/>
      <c r="N19" s="292"/>
      <c r="O19" s="292"/>
      <c r="P19" s="292"/>
    </row>
    <row r="20" spans="1:16">
      <c r="A20" s="292"/>
      <c r="B20" s="292"/>
      <c r="C20" s="292"/>
      <c r="D20" s="292"/>
      <c r="E20" s="292"/>
      <c r="F20" s="292"/>
      <c r="G20" s="292"/>
      <c r="H20" s="292"/>
      <c r="I20" s="292"/>
      <c r="J20" s="292"/>
      <c r="K20" s="292"/>
      <c r="L20" s="292"/>
      <c r="M20" s="292"/>
      <c r="N20" s="292"/>
      <c r="O20" s="292"/>
      <c r="P20" s="292"/>
    </row>
    <row r="21" spans="1:16">
      <c r="A21" s="292"/>
      <c r="B21" s="292"/>
      <c r="C21" s="292"/>
      <c r="D21" s="292"/>
      <c r="E21" s="292"/>
      <c r="F21" s="292"/>
      <c r="G21" s="292"/>
      <c r="H21" s="292"/>
      <c r="I21" s="292"/>
      <c r="J21" s="292"/>
      <c r="K21" s="292"/>
      <c r="L21" s="292"/>
      <c r="M21" s="292"/>
      <c r="N21" s="292"/>
      <c r="O21" s="292"/>
      <c r="P21" s="292"/>
    </row>
    <row r="22" spans="1:16">
      <c r="A22" s="292"/>
      <c r="B22" s="292"/>
      <c r="C22" s="292"/>
      <c r="D22" s="292"/>
      <c r="E22" s="292"/>
      <c r="F22" s="292"/>
      <c r="G22" s="292"/>
      <c r="H22" s="292"/>
      <c r="I22" s="292"/>
      <c r="J22" s="292"/>
      <c r="K22" s="292"/>
      <c r="L22" s="292"/>
      <c r="M22" s="292"/>
      <c r="N22" s="292"/>
      <c r="O22" s="292"/>
      <c r="P22" s="292"/>
    </row>
    <row r="23" spans="1:16" ht="36.75" customHeight="1">
      <c r="A23" s="292"/>
      <c r="B23" s="436" t="s">
        <v>836</v>
      </c>
      <c r="C23" s="436"/>
      <c r="D23" s="436"/>
      <c r="E23" s="436"/>
      <c r="F23" s="436"/>
      <c r="G23" s="436"/>
      <c r="H23" s="436"/>
      <c r="I23" s="436"/>
      <c r="J23" s="436"/>
      <c r="K23" s="436"/>
      <c r="L23" s="436"/>
      <c r="M23" s="436"/>
      <c r="N23" s="292"/>
      <c r="O23" s="292"/>
      <c r="P23" s="292"/>
    </row>
    <row r="38" spans="2:5" ht="0.5" customHeight="1">
      <c r="B38" s="294" t="s">
        <v>837</v>
      </c>
    </row>
    <row r="39" spans="2:5" ht="0.5" customHeight="1">
      <c r="B39" s="295" t="s">
        <v>838</v>
      </c>
    </row>
    <row r="40" spans="2:5" ht="0.5" customHeight="1">
      <c r="B40" s="293" t="s">
        <v>839</v>
      </c>
    </row>
    <row r="41" spans="2:5" ht="0.5" customHeight="1"/>
    <row r="42" spans="2:5" ht="0.5" customHeight="1">
      <c r="C42" s="293" t="s">
        <v>173</v>
      </c>
      <c r="D42" s="293" t="s">
        <v>172</v>
      </c>
      <c r="E42" s="293" t="s">
        <v>174</v>
      </c>
    </row>
    <row r="43" spans="2:5" ht="0.5" customHeight="1">
      <c r="B43" s="293" t="s">
        <v>40</v>
      </c>
      <c r="C43" s="296">
        <v>-2.5</v>
      </c>
      <c r="D43" s="297">
        <v>6.1771695058977132</v>
      </c>
      <c r="E43" s="298">
        <v>2.7414710484495202</v>
      </c>
    </row>
    <row r="44" spans="2:5" ht="0.5" customHeight="1">
      <c r="B44" s="293" t="s">
        <v>41</v>
      </c>
      <c r="C44" s="297">
        <v>9</v>
      </c>
      <c r="D44" s="296">
        <v>3.5469399618513915</v>
      </c>
      <c r="E44" s="298">
        <v>2.35146623563057</v>
      </c>
    </row>
    <row r="45" spans="2:5" ht="0.5" customHeight="1">
      <c r="B45" s="293" t="s">
        <v>42</v>
      </c>
      <c r="C45" s="297">
        <v>10.9</v>
      </c>
      <c r="D45" s="297">
        <v>5.4369322666985376</v>
      </c>
      <c r="E45" s="299">
        <v>7.9647159145484601</v>
      </c>
    </row>
    <row r="46" spans="2:5" ht="0.5" customHeight="1">
      <c r="B46" s="293" t="s">
        <v>43</v>
      </c>
      <c r="C46" s="297">
        <v>-9.4</v>
      </c>
      <c r="D46" s="296">
        <v>-5.7978613203087406</v>
      </c>
      <c r="E46" s="298">
        <v>-6.7186380931613101</v>
      </c>
    </row>
    <row r="47" spans="2:5" ht="0.5" customHeight="1">
      <c r="B47" s="293" t="s">
        <v>52</v>
      </c>
      <c r="C47" s="296">
        <v>2.7</v>
      </c>
      <c r="D47" s="297">
        <v>5.3141127002780282</v>
      </c>
      <c r="E47" s="298">
        <v>1.7389521729678099</v>
      </c>
    </row>
    <row r="48" spans="2:5" ht="0.5" customHeight="1">
      <c r="B48" s="293" t="s">
        <v>56</v>
      </c>
      <c r="C48" s="297">
        <v>15.2</v>
      </c>
      <c r="D48" s="297">
        <v>10.426375223152267</v>
      </c>
      <c r="E48" s="299">
        <v>13.690306310134099</v>
      </c>
    </row>
    <row r="49" spans="2:5" ht="0.5" customHeight="1">
      <c r="B49" s="293" t="s">
        <v>193</v>
      </c>
      <c r="C49" s="297">
        <v>5.4</v>
      </c>
      <c r="D49" s="296">
        <v>1.5992155075073242</v>
      </c>
      <c r="E49" s="299">
        <v>7.1974191665649396</v>
      </c>
    </row>
    <row r="50" spans="2:5" ht="0.5" customHeight="1">
      <c r="B50" s="293" t="s">
        <v>58</v>
      </c>
      <c r="C50" s="296">
        <v>0.4</v>
      </c>
      <c r="D50" s="296">
        <v>-2.5683273298557787</v>
      </c>
      <c r="E50" s="298">
        <v>1.0381128888612801</v>
      </c>
    </row>
    <row r="51" spans="2:5" ht="0.5" customHeight="1"/>
    <row r="52" spans="2:5" ht="0.5" customHeight="1">
      <c r="B52" s="300" t="s">
        <v>840</v>
      </c>
    </row>
    <row r="53" spans="2:5" ht="0.5" customHeight="1">
      <c r="B53" s="293" t="s">
        <v>841</v>
      </c>
    </row>
  </sheetData>
  <mergeCells count="1">
    <mergeCell ref="B23:M23"/>
  </mergeCells>
  <pageMargins left="0.7" right="0.7" top="0.75" bottom="0.75" header="0.3" footer="0.3"/>
  <pageSetup scale="67"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1"/>
  <sheetViews>
    <sheetView zoomScaleNormal="100" zoomScaleSheetLayoutView="100" workbookViewId="0">
      <selection activeCell="B1" sqref="B1"/>
    </sheetView>
  </sheetViews>
  <sheetFormatPr defaultColWidth="9.1796875" defaultRowHeight="14.5"/>
  <cols>
    <col min="1" max="1" width="4" style="1" customWidth="1"/>
    <col min="2" max="2" width="20.26953125" style="136" customWidth="1"/>
    <col min="3" max="3" width="31.54296875" style="1" customWidth="1"/>
    <col min="4" max="11" width="10" style="1" customWidth="1"/>
    <col min="12" max="12" width="17.26953125" style="1" customWidth="1"/>
    <col min="13" max="13" width="10" style="1" customWidth="1"/>
    <col min="14" max="14" width="3.26953125" style="1" customWidth="1"/>
    <col min="15" max="16384" width="9.1796875" style="1"/>
  </cols>
  <sheetData>
    <row r="2" spans="2:15" ht="17.5">
      <c r="B2" s="3" t="s">
        <v>842</v>
      </c>
    </row>
    <row r="3" spans="2:15">
      <c r="D3" s="301"/>
    </row>
    <row r="4" spans="2:15" s="141" customFormat="1" ht="33.75" customHeight="1">
      <c r="B4" s="465" t="s">
        <v>843</v>
      </c>
      <c r="C4" s="466"/>
      <c r="D4" s="211" t="s">
        <v>40</v>
      </c>
      <c r="E4" s="211" t="s">
        <v>41</v>
      </c>
      <c r="F4" s="211" t="s">
        <v>42</v>
      </c>
      <c r="G4" s="211" t="s">
        <v>43</v>
      </c>
      <c r="H4" s="211" t="s">
        <v>844</v>
      </c>
      <c r="I4" s="211" t="s">
        <v>56</v>
      </c>
      <c r="J4" s="211" t="s">
        <v>193</v>
      </c>
      <c r="K4" s="211" t="s">
        <v>58</v>
      </c>
      <c r="L4" s="211" t="s">
        <v>20</v>
      </c>
      <c r="M4" s="211" t="s">
        <v>115</v>
      </c>
    </row>
    <row r="5" spans="2:15" s="276" customFormat="1" ht="25.5" customHeight="1">
      <c r="B5" s="302" t="s">
        <v>845</v>
      </c>
      <c r="C5" s="303" t="s">
        <v>846</v>
      </c>
      <c r="D5" s="304" t="s">
        <v>847</v>
      </c>
      <c r="E5" s="305">
        <v>7.23902</v>
      </c>
      <c r="F5" s="305">
        <v>5.32789</v>
      </c>
      <c r="G5" s="305">
        <v>20.148759999999999</v>
      </c>
      <c r="H5" s="305">
        <v>22.39378</v>
      </c>
      <c r="I5" s="305">
        <v>9.1569099999999999</v>
      </c>
      <c r="J5" s="305">
        <v>10.82761</v>
      </c>
      <c r="K5" s="305">
        <v>0.93454999999999999</v>
      </c>
      <c r="L5" s="305">
        <v>10.06814</v>
      </c>
      <c r="M5" s="305">
        <v>37.733650000000004</v>
      </c>
      <c r="O5" s="306"/>
    </row>
    <row r="6" spans="2:15" s="141" customFormat="1" ht="15.5">
      <c r="B6" s="467" t="s">
        <v>848</v>
      </c>
      <c r="C6" s="307" t="s">
        <v>849</v>
      </c>
      <c r="D6" s="308">
        <v>30.50733</v>
      </c>
      <c r="E6" s="308">
        <v>27.34834</v>
      </c>
      <c r="F6" s="308">
        <v>27.455629999999999</v>
      </c>
      <c r="G6" s="308">
        <v>28.03248</v>
      </c>
      <c r="H6" s="308">
        <v>29.383800000000001</v>
      </c>
      <c r="I6" s="308">
        <v>21.02824</v>
      </c>
      <c r="J6" s="308">
        <v>28.616530000000001</v>
      </c>
      <c r="K6" s="308">
        <v>23.837900000000001</v>
      </c>
      <c r="L6" s="308">
        <v>27.02628</v>
      </c>
      <c r="M6" s="308">
        <v>23.214670000000002</v>
      </c>
    </row>
    <row r="7" spans="2:15" s="141" customFormat="1" ht="15.5">
      <c r="B7" s="468"/>
      <c r="C7" s="309" t="s">
        <v>850</v>
      </c>
      <c r="D7" s="310">
        <v>0.3396711</v>
      </c>
      <c r="E7" s="310">
        <v>1.0387980000000001</v>
      </c>
      <c r="F7" s="310">
        <v>1.1341159999999999</v>
      </c>
      <c r="G7" s="310">
        <v>0.45931870000000002</v>
      </c>
      <c r="H7" s="310">
        <v>0.52366520000000005</v>
      </c>
      <c r="I7" s="310">
        <v>0.49838480000000002</v>
      </c>
      <c r="J7" s="310">
        <v>0.56701369999999995</v>
      </c>
      <c r="K7" s="310">
        <v>0.409885</v>
      </c>
      <c r="L7" s="310">
        <v>0.62135649999999998</v>
      </c>
      <c r="M7" s="310">
        <v>0.92614129999999995</v>
      </c>
    </row>
    <row r="8" spans="2:15" s="276" customFormat="1" ht="46.5">
      <c r="B8" s="311" t="s">
        <v>851</v>
      </c>
      <c r="C8" s="312" t="s">
        <v>852</v>
      </c>
      <c r="D8" s="306">
        <v>10.048859999999999</v>
      </c>
      <c r="E8" s="306">
        <v>2.1912399999999996</v>
      </c>
      <c r="F8" s="306">
        <v>6.3701999999999996</v>
      </c>
      <c r="G8" s="306">
        <v>7.0607899999999999</v>
      </c>
      <c r="H8" s="306">
        <v>3.8208100000000003</v>
      </c>
      <c r="I8" s="306">
        <v>7.9169900000000002</v>
      </c>
      <c r="J8" s="313" t="s">
        <v>853</v>
      </c>
      <c r="K8" s="306">
        <v>11.47601</v>
      </c>
      <c r="L8" s="306">
        <v>6.9835599999999998</v>
      </c>
      <c r="M8" s="306">
        <v>4.9959600000000002</v>
      </c>
      <c r="O8" s="306"/>
    </row>
    <row r="9" spans="2:15" s="276" customFormat="1" ht="31">
      <c r="B9" s="467" t="s">
        <v>854</v>
      </c>
      <c r="C9" s="314" t="s">
        <v>855</v>
      </c>
      <c r="D9" s="315">
        <v>60.835740000000001</v>
      </c>
      <c r="E9" s="315">
        <v>65.456729999999993</v>
      </c>
      <c r="F9" s="315">
        <v>56.364309999999996</v>
      </c>
      <c r="G9" s="315">
        <v>56.680059999999997</v>
      </c>
      <c r="H9" s="315">
        <v>45.372370000000004</v>
      </c>
      <c r="I9" s="315">
        <v>68.804929999999999</v>
      </c>
      <c r="J9" s="315">
        <v>46.491909999999997</v>
      </c>
      <c r="K9" s="315">
        <v>66.818080000000009</v>
      </c>
      <c r="L9" s="315">
        <v>58.353020000000001</v>
      </c>
      <c r="M9" s="315">
        <v>73.587249999999997</v>
      </c>
      <c r="O9" s="306"/>
    </row>
    <row r="10" spans="2:15" s="276" customFormat="1" ht="31.5" thickBot="1">
      <c r="B10" s="469"/>
      <c r="C10" s="316" t="s">
        <v>856</v>
      </c>
      <c r="D10" s="317">
        <v>22.92961</v>
      </c>
      <c r="E10" s="317">
        <v>42.478630000000003</v>
      </c>
      <c r="F10" s="317">
        <v>29.212959999999999</v>
      </c>
      <c r="G10" s="317">
        <v>33.129550000000002</v>
      </c>
      <c r="H10" s="317">
        <v>28.231250000000003</v>
      </c>
      <c r="I10" s="317">
        <v>34.22316</v>
      </c>
      <c r="J10" s="317">
        <v>55.301270000000002</v>
      </c>
      <c r="K10" s="317">
        <v>47.194409999999998</v>
      </c>
      <c r="L10" s="317">
        <v>36.587609999999998</v>
      </c>
      <c r="M10" s="317">
        <v>63.843450000000004</v>
      </c>
      <c r="O10" s="306"/>
    </row>
    <row r="11" spans="2:15" ht="15" thickTop="1">
      <c r="B11" s="102" t="s">
        <v>857</v>
      </c>
      <c r="C11" s="201"/>
      <c r="D11" s="201"/>
      <c r="E11" s="201"/>
      <c r="F11" s="201"/>
      <c r="G11" s="201"/>
      <c r="H11" s="201"/>
      <c r="I11" s="201"/>
      <c r="J11" s="201"/>
      <c r="K11" s="201"/>
      <c r="L11" s="201"/>
      <c r="M11" s="201"/>
    </row>
  </sheetData>
  <mergeCells count="3">
    <mergeCell ref="B4:C4"/>
    <mergeCell ref="B6:B7"/>
    <mergeCell ref="B9:B10"/>
  </mergeCells>
  <pageMargins left="0.7" right="0.7" top="0.75" bottom="0.75" header="0.3" footer="0.3"/>
  <pageSetup scale="5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view="pageBreakPreview" zoomScaleNormal="100" zoomScaleSheetLayoutView="100" workbookViewId="0"/>
  </sheetViews>
  <sheetFormatPr defaultColWidth="8.81640625" defaultRowHeight="14.5"/>
  <cols>
    <col min="1" max="1" width="3.7265625" style="2" customWidth="1"/>
    <col min="2" max="2" width="14.54296875" style="2" bestFit="1" customWidth="1"/>
    <col min="3" max="15" width="8.81640625" style="2"/>
    <col min="16" max="16" width="6" style="2" customWidth="1"/>
    <col min="17" max="16384" width="8.81640625" style="2"/>
  </cols>
  <sheetData>
    <row r="1" spans="1:16">
      <c r="A1" s="1"/>
      <c r="B1" s="1"/>
      <c r="C1" s="1"/>
      <c r="D1" s="1"/>
      <c r="E1" s="1"/>
      <c r="F1" s="1"/>
      <c r="G1" s="1"/>
      <c r="H1" s="1"/>
      <c r="I1" s="1"/>
      <c r="J1" s="1"/>
      <c r="K1" s="1"/>
      <c r="L1" s="1"/>
      <c r="M1" s="1"/>
      <c r="N1" s="1"/>
      <c r="O1" s="1"/>
      <c r="P1" s="1"/>
    </row>
    <row r="2" spans="1:16" ht="17.5">
      <c r="A2" s="1"/>
      <c r="B2" s="318" t="s">
        <v>858</v>
      </c>
      <c r="C2" s="1"/>
      <c r="D2" s="1"/>
      <c r="E2" s="1"/>
      <c r="F2" s="1"/>
      <c r="G2" s="1"/>
      <c r="H2" s="1"/>
      <c r="I2" s="1"/>
      <c r="J2" s="1"/>
      <c r="K2" s="1"/>
      <c r="L2" s="1"/>
      <c r="M2" s="1"/>
      <c r="N2" s="1"/>
      <c r="O2" s="1"/>
      <c r="P2" s="1"/>
    </row>
    <row r="3" spans="1:16">
      <c r="A3" s="1"/>
      <c r="B3" s="1"/>
      <c r="C3" s="1"/>
      <c r="D3" s="1"/>
      <c r="E3" s="1"/>
      <c r="F3" s="1"/>
      <c r="G3" s="1"/>
      <c r="H3" s="1"/>
      <c r="I3" s="1"/>
      <c r="J3" s="1"/>
      <c r="K3" s="1"/>
      <c r="L3" s="1"/>
      <c r="M3" s="1"/>
      <c r="N3" s="1"/>
      <c r="O3" s="1"/>
      <c r="P3" s="1"/>
    </row>
    <row r="4" spans="1:16">
      <c r="A4" s="1"/>
      <c r="B4" s="1"/>
      <c r="C4" s="1"/>
      <c r="D4" s="1"/>
      <c r="E4" s="1"/>
      <c r="F4" s="1"/>
      <c r="G4" s="1"/>
      <c r="H4" s="1"/>
      <c r="I4" s="1"/>
      <c r="J4" s="1"/>
      <c r="K4" s="1"/>
      <c r="L4" s="1"/>
      <c r="M4" s="1"/>
      <c r="N4" s="1"/>
      <c r="O4" s="1"/>
      <c r="P4" s="1"/>
    </row>
    <row r="5" spans="1:16">
      <c r="A5" s="1"/>
      <c r="B5" s="1"/>
      <c r="C5" s="1"/>
      <c r="D5" s="1"/>
      <c r="E5" s="1"/>
      <c r="F5" s="1"/>
      <c r="G5" s="1"/>
      <c r="H5" s="1"/>
      <c r="I5" s="1"/>
      <c r="J5" s="1"/>
      <c r="K5" s="1"/>
      <c r="L5" s="1"/>
      <c r="M5" s="1"/>
      <c r="N5" s="1"/>
      <c r="O5" s="1"/>
      <c r="P5" s="1"/>
    </row>
    <row r="6" spans="1:16">
      <c r="A6" s="1"/>
      <c r="B6" s="1"/>
      <c r="C6" s="1"/>
      <c r="D6" s="1"/>
      <c r="E6" s="1"/>
      <c r="F6" s="1"/>
      <c r="G6" s="1"/>
      <c r="H6" s="1"/>
      <c r="I6" s="1"/>
      <c r="J6" s="1"/>
      <c r="K6" s="1"/>
      <c r="L6" s="1"/>
      <c r="M6" s="1"/>
      <c r="N6" s="1"/>
      <c r="O6" s="1"/>
      <c r="P6" s="1"/>
    </row>
    <row r="7" spans="1:16">
      <c r="A7" s="1"/>
      <c r="B7" s="1"/>
      <c r="C7" s="1"/>
      <c r="D7" s="1"/>
      <c r="E7" s="1"/>
      <c r="F7" s="1"/>
      <c r="G7" s="1"/>
      <c r="H7" s="1"/>
      <c r="I7" s="1"/>
      <c r="J7" s="1"/>
      <c r="K7" s="1"/>
      <c r="L7" s="1"/>
      <c r="M7" s="1"/>
      <c r="N7" s="1"/>
      <c r="O7" s="1"/>
      <c r="P7" s="1"/>
    </row>
    <row r="8" spans="1:16">
      <c r="A8" s="1"/>
      <c r="B8" s="1"/>
      <c r="C8" s="1"/>
      <c r="D8" s="1"/>
      <c r="E8" s="1"/>
      <c r="F8" s="1"/>
      <c r="G8" s="1"/>
      <c r="H8" s="1"/>
      <c r="I8" s="1"/>
      <c r="J8" s="1"/>
      <c r="K8" s="1"/>
      <c r="L8" s="1"/>
      <c r="M8" s="1"/>
      <c r="N8" s="1"/>
      <c r="O8" s="1"/>
      <c r="P8" s="1"/>
    </row>
    <row r="9" spans="1:16">
      <c r="A9" s="1"/>
      <c r="B9" s="1"/>
      <c r="C9" s="1"/>
      <c r="D9" s="1"/>
      <c r="E9" s="1"/>
      <c r="F9" s="1"/>
      <c r="G9" s="1"/>
      <c r="H9" s="1"/>
      <c r="I9" s="1"/>
      <c r="J9" s="1"/>
      <c r="K9" s="1"/>
      <c r="L9" s="1"/>
      <c r="M9" s="1"/>
      <c r="N9" s="1"/>
      <c r="O9" s="1"/>
      <c r="P9" s="1"/>
    </row>
    <row r="10" spans="1:16">
      <c r="A10" s="1"/>
      <c r="B10" s="1"/>
      <c r="C10" s="1"/>
      <c r="D10" s="1"/>
      <c r="E10" s="1"/>
      <c r="F10" s="1"/>
      <c r="G10" s="1"/>
      <c r="H10" s="1"/>
      <c r="I10" s="1"/>
      <c r="J10" s="1"/>
      <c r="K10" s="1"/>
      <c r="L10" s="1"/>
      <c r="M10" s="1"/>
      <c r="N10" s="1"/>
      <c r="O10" s="1"/>
      <c r="P10" s="1"/>
    </row>
    <row r="11" spans="1:16">
      <c r="A11" s="1"/>
      <c r="B11" s="1"/>
      <c r="C11" s="1"/>
      <c r="D11" s="1"/>
      <c r="E11" s="1"/>
      <c r="F11" s="1"/>
      <c r="G11" s="1"/>
      <c r="H11" s="1"/>
      <c r="I11" s="1"/>
      <c r="J11" s="1"/>
      <c r="K11" s="1"/>
      <c r="L11" s="1"/>
      <c r="M11" s="1"/>
      <c r="N11" s="1"/>
      <c r="O11" s="1"/>
      <c r="P11" s="1"/>
    </row>
    <row r="12" spans="1:16">
      <c r="A12" s="1"/>
      <c r="B12" s="1"/>
      <c r="C12" s="1"/>
      <c r="D12" s="1"/>
      <c r="E12" s="1"/>
      <c r="F12" s="1"/>
      <c r="G12" s="1"/>
      <c r="H12" s="1"/>
      <c r="I12" s="1"/>
      <c r="J12" s="1"/>
      <c r="K12" s="1"/>
      <c r="L12" s="1"/>
      <c r="M12" s="1"/>
      <c r="N12" s="1"/>
      <c r="O12" s="1"/>
      <c r="P12" s="1"/>
    </row>
    <row r="13" spans="1:16">
      <c r="A13" s="1"/>
      <c r="B13" s="1"/>
      <c r="C13" s="1"/>
      <c r="D13" s="1"/>
      <c r="E13" s="1"/>
      <c r="F13" s="1"/>
      <c r="G13" s="1"/>
      <c r="H13" s="1"/>
      <c r="I13" s="1"/>
      <c r="J13" s="1"/>
      <c r="K13" s="1"/>
      <c r="L13" s="1"/>
      <c r="M13" s="1"/>
      <c r="N13" s="1"/>
      <c r="O13" s="1"/>
      <c r="P13" s="1"/>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ht="36" customHeight="1">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ht="36" customHeight="1">
      <c r="A25" s="1"/>
      <c r="B25" s="436" t="s">
        <v>859</v>
      </c>
      <c r="C25" s="436"/>
      <c r="D25" s="436"/>
      <c r="E25" s="436"/>
      <c r="F25" s="436"/>
      <c r="G25" s="436"/>
      <c r="H25" s="436"/>
      <c r="I25" s="436"/>
      <c r="J25" s="436"/>
      <c r="K25" s="436"/>
      <c r="L25" s="436"/>
      <c r="M25" s="436"/>
      <c r="N25" s="1"/>
      <c r="O25" s="1"/>
      <c r="P25" s="1"/>
    </row>
    <row r="29" spans="1:16" ht="0.5" customHeight="1">
      <c r="C29" s="319" t="s">
        <v>39</v>
      </c>
      <c r="D29" s="319" t="s">
        <v>41</v>
      </c>
      <c r="E29" s="319" t="s">
        <v>43</v>
      </c>
      <c r="F29" s="319" t="s">
        <v>45</v>
      </c>
      <c r="G29" s="319" t="s">
        <v>54</v>
      </c>
      <c r="H29" s="319" t="s">
        <v>55</v>
      </c>
      <c r="I29" s="319" t="s">
        <v>20</v>
      </c>
      <c r="J29" s="319"/>
      <c r="K29" s="319" t="s">
        <v>571</v>
      </c>
    </row>
    <row r="30" spans="1:16" ht="0.5" customHeight="1">
      <c r="B30" s="2" t="s">
        <v>860</v>
      </c>
      <c r="C30" s="320">
        <v>0.17749999999999999</v>
      </c>
      <c r="D30" s="320">
        <v>4.4871800000000003E-2</v>
      </c>
      <c r="E30" s="320">
        <v>0.16139980000000001</v>
      </c>
      <c r="F30" s="320">
        <v>0.28112989999999999</v>
      </c>
      <c r="G30" s="320">
        <v>0.21560380000000001</v>
      </c>
      <c r="H30" s="320">
        <v>0.27639550000000002</v>
      </c>
      <c r="I30" s="321">
        <f t="shared" ref="I30:I36" si="0">AVERAGE(C30:H30)</f>
        <v>0.19281680000000001</v>
      </c>
      <c r="J30" s="320"/>
      <c r="K30" s="320">
        <v>8.0087699999999998E-2</v>
      </c>
    </row>
    <row r="31" spans="1:16" ht="0.5" customHeight="1">
      <c r="B31" s="2" t="s">
        <v>861</v>
      </c>
      <c r="C31" s="320">
        <v>0.20158570000000001</v>
      </c>
      <c r="D31" s="320">
        <v>0.20148170000000001</v>
      </c>
      <c r="E31" s="320">
        <v>0.31387520000000002</v>
      </c>
      <c r="F31" s="320">
        <v>0.2405137</v>
      </c>
      <c r="G31" s="320">
        <v>0.4151861</v>
      </c>
      <c r="H31" s="320">
        <v>0.2148591</v>
      </c>
      <c r="I31" s="321">
        <f t="shared" si="0"/>
        <v>0.26458358333333337</v>
      </c>
      <c r="J31" s="320"/>
      <c r="K31" s="320">
        <v>0.72839220000000005</v>
      </c>
    </row>
    <row r="32" spans="1:16" ht="0.5" customHeight="1">
      <c r="B32" s="2" t="s">
        <v>7</v>
      </c>
      <c r="C32" s="320">
        <v>0.33033859999999998</v>
      </c>
      <c r="D32" s="320">
        <v>0.101758</v>
      </c>
      <c r="E32" s="320">
        <v>5.8666900000000001E-2</v>
      </c>
      <c r="F32" s="320">
        <v>0.111676</v>
      </c>
      <c r="G32" s="320">
        <v>7.7904600000000004E-2</v>
      </c>
      <c r="H32" s="320">
        <v>0.14008509999999999</v>
      </c>
      <c r="I32" s="321">
        <f t="shared" si="0"/>
        <v>0.1367382</v>
      </c>
      <c r="J32" s="320"/>
      <c r="K32" s="320">
        <v>9.4733899999999996E-2</v>
      </c>
    </row>
    <row r="33" spans="2:11" ht="0.5" customHeight="1">
      <c r="B33" s="2" t="s">
        <v>862</v>
      </c>
      <c r="C33" s="320">
        <v>0.14139550000000001</v>
      </c>
      <c r="D33" s="320">
        <v>0.23952100000000001</v>
      </c>
      <c r="E33" s="320">
        <v>0.129945</v>
      </c>
      <c r="F33" s="320">
        <v>0.18183299999999999</v>
      </c>
      <c r="G33" s="320">
        <v>0.15715390000000001</v>
      </c>
      <c r="H33" s="320">
        <v>0.15590109999999999</v>
      </c>
      <c r="I33" s="321">
        <f t="shared" si="0"/>
        <v>0.16762491666666665</v>
      </c>
      <c r="J33" s="320"/>
      <c r="K33" s="320">
        <v>0.29390359999999999</v>
      </c>
    </row>
    <row r="34" spans="2:11" ht="0.5" customHeight="1">
      <c r="B34" s="2" t="s">
        <v>863</v>
      </c>
      <c r="C34" s="320">
        <v>8.28845E-2</v>
      </c>
      <c r="D34" s="320">
        <v>8.9437000000000006E-3</v>
      </c>
      <c r="E34" s="320">
        <v>9.4657099999999994E-2</v>
      </c>
      <c r="F34" s="320">
        <v>1.24928E-2</v>
      </c>
      <c r="G34" s="320">
        <v>4.0568800000000002E-2</v>
      </c>
      <c r="H34" s="320">
        <v>0.13341310000000001</v>
      </c>
      <c r="I34" s="321">
        <f t="shared" si="0"/>
        <v>6.216E-2</v>
      </c>
      <c r="J34" s="320"/>
    </row>
    <row r="35" spans="2:11" ht="0.5" customHeight="1">
      <c r="B35" s="2" t="s">
        <v>864</v>
      </c>
      <c r="C35" s="320">
        <v>1.51495E-2</v>
      </c>
      <c r="D35" s="320">
        <v>8.5175799999999996E-2</v>
      </c>
      <c r="E35" s="320">
        <v>4.2017800000000001E-2</v>
      </c>
      <c r="F35" s="320">
        <v>6.5687300000000004E-2</v>
      </c>
      <c r="G35" s="320">
        <v>1.5563799999999999E-2</v>
      </c>
      <c r="H35" s="320">
        <v>5.1501900000000003E-2</v>
      </c>
      <c r="I35" s="321">
        <f t="shared" si="0"/>
        <v>4.5849350000000004E-2</v>
      </c>
      <c r="J35" s="320"/>
    </row>
    <row r="36" spans="2:11" ht="0.5" customHeight="1">
      <c r="B36" s="2" t="s">
        <v>865</v>
      </c>
      <c r="C36" s="320">
        <v>5.11461E-2</v>
      </c>
      <c r="D36" s="320">
        <v>0.31824809999999998</v>
      </c>
      <c r="E36" s="320">
        <v>0.19943820000000001</v>
      </c>
      <c r="F36" s="320">
        <v>0.10634010000000001</v>
      </c>
      <c r="G36" s="320">
        <v>7.8019099999999994E-2</v>
      </c>
      <c r="H36" s="320">
        <v>2.78442E-2</v>
      </c>
      <c r="I36" s="321">
        <f t="shared" si="0"/>
        <v>0.13017263333333334</v>
      </c>
      <c r="J36" s="320"/>
    </row>
  </sheetData>
  <mergeCells count="1">
    <mergeCell ref="B25:M25"/>
  </mergeCells>
  <pageMargins left="0.7" right="0.7" top="0.75" bottom="0.75" header="0.3" footer="0.3"/>
  <pageSetup scale="6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zoomScaleNormal="100" zoomScaleSheetLayoutView="100" workbookViewId="0"/>
  </sheetViews>
  <sheetFormatPr defaultColWidth="9.1796875" defaultRowHeight="14.5"/>
  <cols>
    <col min="1" max="1" width="3.7265625" style="2" customWidth="1"/>
    <col min="2" max="2" width="12.81640625" style="2" customWidth="1"/>
    <col min="3" max="12" width="9.1796875" style="2"/>
    <col min="13" max="13" width="3.54296875" style="2" customWidth="1"/>
    <col min="14" max="16384" width="9.1796875" style="2"/>
  </cols>
  <sheetData>
    <row r="1" spans="1:13">
      <c r="A1" s="1"/>
      <c r="B1" s="1"/>
      <c r="C1" s="1"/>
      <c r="D1" s="1"/>
      <c r="E1" s="1"/>
      <c r="F1" s="1"/>
      <c r="G1" s="1"/>
      <c r="H1" s="1"/>
      <c r="I1" s="1"/>
      <c r="J1" s="1"/>
      <c r="K1" s="1"/>
      <c r="L1" s="1"/>
      <c r="M1" s="1"/>
    </row>
    <row r="2" spans="1:13">
      <c r="A2" s="1"/>
      <c r="B2" s="322" t="s">
        <v>866</v>
      </c>
      <c r="C2" s="1"/>
      <c r="D2" s="1"/>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c r="A5" s="1"/>
      <c r="B5" s="1"/>
      <c r="C5" s="1"/>
      <c r="D5" s="1"/>
      <c r="E5" s="1"/>
      <c r="F5" s="1"/>
      <c r="G5" s="1"/>
      <c r="H5" s="1"/>
      <c r="I5" s="1"/>
      <c r="J5" s="1"/>
      <c r="K5" s="1"/>
      <c r="L5" s="1"/>
      <c r="M5" s="1"/>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c r="A8" s="1"/>
      <c r="B8" s="1"/>
      <c r="C8" s="1"/>
      <c r="D8" s="1"/>
      <c r="E8" s="1"/>
      <c r="F8" s="1"/>
      <c r="G8" s="1"/>
      <c r="H8" s="1"/>
      <c r="I8" s="1"/>
      <c r="J8" s="1"/>
      <c r="K8" s="1"/>
      <c r="L8" s="1"/>
      <c r="M8" s="1"/>
    </row>
    <row r="9" spans="1:13">
      <c r="A9" s="1"/>
      <c r="B9" s="1"/>
      <c r="C9" s="1"/>
      <c r="D9" s="1"/>
      <c r="E9" s="1"/>
      <c r="F9" s="1"/>
      <c r="G9" s="1"/>
      <c r="H9" s="1"/>
      <c r="I9" s="1"/>
      <c r="J9" s="1"/>
      <c r="K9" s="1"/>
      <c r="L9" s="1"/>
      <c r="M9" s="1"/>
    </row>
    <row r="10" spans="1:13">
      <c r="A10" s="1"/>
      <c r="B10" s="1"/>
      <c r="C10" s="1"/>
      <c r="D10" s="1"/>
      <c r="E10" s="1"/>
      <c r="F10" s="1"/>
      <c r="G10" s="1"/>
      <c r="H10" s="1"/>
      <c r="I10" s="1"/>
      <c r="J10" s="1"/>
      <c r="K10" s="1"/>
      <c r="L10" s="1"/>
      <c r="M10" s="1"/>
    </row>
    <row r="11" spans="1:13">
      <c r="A11" s="1"/>
      <c r="B11" s="1"/>
      <c r="C11" s="1"/>
      <c r="D11" s="1"/>
      <c r="E11" s="1"/>
      <c r="F11" s="1"/>
      <c r="G11" s="1"/>
      <c r="H11" s="1"/>
      <c r="I11" s="1"/>
      <c r="J11" s="1"/>
      <c r="K11" s="1"/>
      <c r="L11" s="1"/>
      <c r="M11" s="1"/>
    </row>
    <row r="12" spans="1:13">
      <c r="A12" s="1"/>
      <c r="B12" s="1"/>
      <c r="C12" s="1"/>
      <c r="D12" s="1"/>
      <c r="E12" s="1"/>
      <c r="F12" s="1"/>
      <c r="G12" s="1"/>
      <c r="H12" s="1"/>
      <c r="I12" s="1"/>
      <c r="J12" s="1"/>
      <c r="K12" s="1"/>
      <c r="L12" s="1"/>
      <c r="M12" s="1"/>
    </row>
    <row r="13" spans="1:13">
      <c r="A13" s="1"/>
      <c r="B13" s="1"/>
      <c r="C13" s="1"/>
      <c r="D13" s="1"/>
      <c r="E13" s="1"/>
      <c r="F13" s="1"/>
      <c r="G13" s="1"/>
      <c r="H13" s="1"/>
      <c r="I13" s="1"/>
      <c r="J13" s="1"/>
      <c r="K13" s="1"/>
      <c r="L13" s="1"/>
      <c r="M13" s="1"/>
    </row>
    <row r="14" spans="1:13">
      <c r="A14" s="1"/>
      <c r="B14" s="1"/>
      <c r="C14" s="1"/>
      <c r="D14" s="1"/>
      <c r="E14" s="1"/>
      <c r="F14" s="1"/>
      <c r="G14" s="1"/>
      <c r="H14" s="1"/>
      <c r="I14" s="1"/>
      <c r="J14" s="1"/>
      <c r="K14" s="1"/>
      <c r="L14" s="1"/>
      <c r="M14" s="1"/>
    </row>
    <row r="15" spans="1:13">
      <c r="A15" s="1"/>
      <c r="B15" s="1"/>
      <c r="C15" s="1"/>
      <c r="D15" s="1"/>
      <c r="E15" s="1"/>
      <c r="F15" s="1"/>
      <c r="G15" s="1"/>
      <c r="H15" s="1"/>
      <c r="I15" s="1"/>
      <c r="J15" s="1"/>
      <c r="K15" s="1"/>
      <c r="L15" s="1"/>
      <c r="M15" s="1"/>
    </row>
    <row r="16" spans="1:13">
      <c r="A16" s="1"/>
      <c r="B16" s="1"/>
      <c r="C16" s="1"/>
      <c r="D16" s="1"/>
      <c r="E16" s="1"/>
      <c r="F16" s="1"/>
      <c r="G16" s="1"/>
      <c r="H16" s="1"/>
      <c r="I16" s="1"/>
      <c r="J16" s="1"/>
      <c r="K16" s="1"/>
      <c r="L16" s="1"/>
      <c r="M16" s="1"/>
    </row>
    <row r="17" spans="1:13">
      <c r="A17" s="1"/>
      <c r="B17" s="1"/>
      <c r="C17" s="1"/>
      <c r="D17" s="1"/>
      <c r="E17" s="1"/>
      <c r="F17" s="1"/>
      <c r="G17" s="1"/>
      <c r="H17" s="1"/>
      <c r="I17" s="1"/>
      <c r="J17" s="1"/>
      <c r="K17" s="1"/>
      <c r="L17" s="1"/>
      <c r="M17" s="1"/>
    </row>
    <row r="18" spans="1:13">
      <c r="A18" s="1"/>
      <c r="B18" s="1"/>
      <c r="C18" s="1"/>
      <c r="D18" s="1"/>
      <c r="E18" s="1"/>
      <c r="F18" s="1"/>
      <c r="G18" s="1"/>
      <c r="H18" s="1"/>
      <c r="I18" s="1"/>
      <c r="J18" s="1"/>
      <c r="K18" s="1"/>
      <c r="L18" s="1"/>
      <c r="M18" s="1"/>
    </row>
    <row r="19" spans="1:13">
      <c r="A19" s="1"/>
      <c r="B19" s="1"/>
      <c r="C19" s="1"/>
      <c r="D19" s="1"/>
      <c r="E19" s="1"/>
      <c r="F19" s="1"/>
      <c r="G19" s="1"/>
      <c r="H19" s="1"/>
      <c r="I19" s="1"/>
      <c r="J19" s="1"/>
      <c r="K19" s="1"/>
      <c r="L19" s="1"/>
      <c r="M19" s="1"/>
    </row>
    <row r="20" spans="1:13" ht="44.25" customHeight="1">
      <c r="A20" s="1"/>
      <c r="B20" s="470" t="s">
        <v>867</v>
      </c>
      <c r="C20" s="470"/>
      <c r="D20" s="470"/>
      <c r="E20" s="470"/>
      <c r="F20" s="470"/>
      <c r="G20" s="470"/>
      <c r="H20" s="470"/>
      <c r="I20" s="470"/>
      <c r="J20" s="470"/>
      <c r="K20" s="470"/>
      <c r="L20" s="470"/>
      <c r="M20" s="1"/>
    </row>
    <row r="32" spans="1:13" ht="0.5" customHeight="1">
      <c r="C32" s="2" t="s">
        <v>50</v>
      </c>
      <c r="D32" s="2" t="s">
        <v>52</v>
      </c>
      <c r="E32" s="2" t="s">
        <v>40</v>
      </c>
      <c r="F32" s="2" t="s">
        <v>56</v>
      </c>
      <c r="G32" s="2" t="s">
        <v>43</v>
      </c>
      <c r="H32" s="2" t="s">
        <v>42</v>
      </c>
      <c r="I32" s="2" t="s">
        <v>36</v>
      </c>
      <c r="J32" s="2" t="s">
        <v>41</v>
      </c>
    </row>
    <row r="33" spans="2:10" ht="0.5" customHeight="1">
      <c r="B33" s="2" t="s">
        <v>868</v>
      </c>
      <c r="C33" s="2">
        <v>10</v>
      </c>
      <c r="E33" s="2">
        <v>11</v>
      </c>
      <c r="F33" s="2">
        <v>30</v>
      </c>
      <c r="I33" s="2">
        <v>41</v>
      </c>
      <c r="J33" s="2">
        <v>26</v>
      </c>
    </row>
    <row r="34" spans="2:10" ht="0.5" customHeight="1">
      <c r="B34" s="2" t="s">
        <v>869</v>
      </c>
      <c r="C34" s="2">
        <v>17</v>
      </c>
      <c r="D34" s="2">
        <v>29</v>
      </c>
      <c r="E34" s="2">
        <v>22</v>
      </c>
      <c r="F34" s="2">
        <v>32</v>
      </c>
      <c r="G34" s="2">
        <v>38</v>
      </c>
      <c r="H34" s="2">
        <v>37</v>
      </c>
      <c r="I34" s="2">
        <v>58</v>
      </c>
      <c r="J34" s="2">
        <v>43</v>
      </c>
    </row>
    <row r="35" spans="2:10" ht="0.5" customHeight="1">
      <c r="B35" s="2" t="s">
        <v>797</v>
      </c>
      <c r="C35" s="2">
        <v>23</v>
      </c>
      <c r="D35" s="2">
        <v>35</v>
      </c>
      <c r="E35" s="2">
        <v>39</v>
      </c>
      <c r="F35" s="2">
        <v>42</v>
      </c>
      <c r="G35" s="2">
        <v>49</v>
      </c>
      <c r="H35" s="2">
        <v>50</v>
      </c>
      <c r="I35" s="2">
        <v>59</v>
      </c>
      <c r="J35" s="2">
        <v>61</v>
      </c>
    </row>
    <row r="36" spans="2:10" ht="0.5" customHeight="1"/>
  </sheetData>
  <mergeCells count="1">
    <mergeCell ref="B20:L20"/>
  </mergeCells>
  <pageMargins left="0.7" right="0.7" top="0.75" bottom="0.75" header="0.3" footer="0.3"/>
  <pageSetup scale="81"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zoomScaleNormal="100" zoomScaleSheetLayoutView="100" workbookViewId="0"/>
  </sheetViews>
  <sheetFormatPr defaultColWidth="8.81640625" defaultRowHeight="14"/>
  <cols>
    <col min="1" max="1" width="3.7265625" style="323" customWidth="1"/>
    <col min="2" max="8" width="11" style="323" customWidth="1"/>
    <col min="9" max="10" width="9.54296875" style="323" bestFit="1" customWidth="1"/>
    <col min="11" max="14" width="9.54296875" style="323" customWidth="1"/>
    <col min="15" max="15" width="5.1796875" style="323" customWidth="1"/>
    <col min="16" max="16" width="9.54296875" style="323" bestFit="1" customWidth="1"/>
    <col min="17" max="17" width="12.26953125" style="323" customWidth="1"/>
    <col min="18" max="18" width="8.81640625" style="323"/>
    <col min="19" max="19" width="1.7265625" style="323" customWidth="1"/>
    <col min="20" max="20" width="8.81640625" style="323"/>
    <col min="21" max="21" width="1.7265625" style="323" customWidth="1"/>
    <col min="22" max="22" width="8.81640625" style="323"/>
    <col min="23" max="23" width="1.453125" style="323" customWidth="1"/>
    <col min="24" max="24" width="8.81640625" style="323"/>
    <col min="25" max="25" width="1.26953125" style="323" customWidth="1"/>
    <col min="26" max="26" width="8.81640625" style="323"/>
    <col min="27" max="27" width="1.453125" style="323" customWidth="1"/>
    <col min="28" max="28" width="7.1796875" style="323" bestFit="1" customWidth="1"/>
    <col min="29" max="16384" width="8.81640625" style="323"/>
  </cols>
  <sheetData>
    <row r="1" spans="1:21">
      <c r="A1" s="201"/>
      <c r="B1" s="201"/>
      <c r="C1" s="201"/>
      <c r="D1" s="201"/>
      <c r="E1" s="201"/>
      <c r="F1" s="201"/>
      <c r="G1" s="201"/>
      <c r="H1" s="201"/>
      <c r="I1" s="201"/>
      <c r="J1" s="201"/>
      <c r="K1" s="201"/>
      <c r="L1" s="201"/>
      <c r="M1" s="201"/>
      <c r="N1" s="201"/>
      <c r="O1" s="201"/>
    </row>
    <row r="2" spans="1:21" ht="17.5">
      <c r="A2" s="201"/>
      <c r="B2" s="3" t="s">
        <v>870</v>
      </c>
      <c r="C2" s="201"/>
      <c r="D2" s="201"/>
      <c r="E2" s="201"/>
      <c r="F2" s="201"/>
      <c r="G2" s="201"/>
      <c r="H2" s="201"/>
      <c r="I2" s="201"/>
      <c r="J2" s="201"/>
      <c r="K2" s="201"/>
      <c r="L2" s="201"/>
      <c r="M2" s="201"/>
      <c r="N2" s="201"/>
      <c r="O2" s="201"/>
    </row>
    <row r="3" spans="1:21">
      <c r="A3" s="201"/>
      <c r="B3" s="201"/>
      <c r="C3" s="201"/>
      <c r="D3" s="201"/>
      <c r="E3" s="201"/>
      <c r="F3" s="201"/>
      <c r="G3" s="201"/>
      <c r="H3" s="201"/>
      <c r="I3" s="201"/>
      <c r="J3" s="201"/>
      <c r="K3" s="201"/>
      <c r="L3" s="201"/>
      <c r="M3" s="201"/>
      <c r="N3" s="201"/>
      <c r="O3" s="201"/>
    </row>
    <row r="4" spans="1:21">
      <c r="A4" s="201"/>
      <c r="B4" s="201"/>
      <c r="C4" s="201"/>
      <c r="D4" s="201"/>
      <c r="E4" s="201"/>
      <c r="F4" s="201"/>
      <c r="G4" s="201"/>
      <c r="H4" s="201"/>
      <c r="I4" s="201"/>
      <c r="J4" s="201"/>
      <c r="K4" s="201"/>
      <c r="L4" s="201"/>
      <c r="M4" s="201"/>
      <c r="N4" s="201"/>
      <c r="O4" s="201"/>
    </row>
    <row r="5" spans="1:21">
      <c r="A5" s="201"/>
      <c r="B5" s="201"/>
      <c r="C5" s="201"/>
      <c r="D5" s="201"/>
      <c r="E5" s="201"/>
      <c r="F5" s="201"/>
      <c r="G5" s="201"/>
      <c r="H5" s="201"/>
      <c r="I5" s="201"/>
      <c r="J5" s="201"/>
      <c r="K5" s="201"/>
      <c r="L5" s="201"/>
      <c r="M5" s="201"/>
      <c r="N5" s="201"/>
      <c r="O5" s="201"/>
    </row>
    <row r="6" spans="1:21">
      <c r="A6" s="201"/>
      <c r="B6" s="201"/>
      <c r="C6" s="201"/>
      <c r="D6" s="201"/>
      <c r="E6" s="201"/>
      <c r="F6" s="201"/>
      <c r="G6" s="201"/>
      <c r="H6" s="201"/>
      <c r="I6" s="201"/>
      <c r="J6" s="201"/>
      <c r="K6" s="201"/>
      <c r="L6" s="201"/>
      <c r="M6" s="201"/>
      <c r="N6" s="201"/>
      <c r="O6" s="201"/>
    </row>
    <row r="7" spans="1:21">
      <c r="A7" s="201"/>
      <c r="B7" s="201"/>
      <c r="C7" s="201"/>
      <c r="D7" s="201"/>
      <c r="E7" s="201"/>
      <c r="F7" s="201"/>
      <c r="G7" s="201"/>
      <c r="H7" s="201"/>
      <c r="I7" s="201"/>
      <c r="J7" s="201"/>
      <c r="K7" s="201"/>
      <c r="L7" s="201"/>
      <c r="M7" s="201"/>
      <c r="N7" s="201"/>
      <c r="O7" s="201"/>
    </row>
    <row r="8" spans="1:21">
      <c r="A8" s="201"/>
      <c r="B8" s="201"/>
      <c r="C8" s="201"/>
      <c r="D8" s="201"/>
      <c r="E8" s="201"/>
      <c r="F8" s="201"/>
      <c r="G8" s="201"/>
      <c r="H8" s="201"/>
      <c r="I8" s="201"/>
      <c r="J8" s="201"/>
      <c r="K8" s="201"/>
      <c r="L8" s="201"/>
      <c r="M8" s="201"/>
      <c r="N8" s="201"/>
      <c r="O8" s="201"/>
    </row>
    <row r="9" spans="1:21">
      <c r="A9" s="201"/>
      <c r="B9" s="201"/>
      <c r="C9" s="201"/>
      <c r="D9" s="201"/>
      <c r="E9" s="201"/>
      <c r="F9" s="201"/>
      <c r="G9" s="201"/>
      <c r="H9" s="201"/>
      <c r="I9" s="201"/>
      <c r="J9" s="201"/>
      <c r="K9" s="201"/>
      <c r="L9" s="201"/>
      <c r="M9" s="201"/>
      <c r="N9" s="201"/>
      <c r="O9" s="201"/>
    </row>
    <row r="10" spans="1:21">
      <c r="A10" s="201"/>
      <c r="B10" s="201"/>
      <c r="C10" s="201"/>
      <c r="D10" s="201"/>
      <c r="E10" s="201"/>
      <c r="F10" s="201"/>
      <c r="G10" s="201"/>
      <c r="H10" s="201"/>
      <c r="I10" s="201"/>
      <c r="J10" s="201"/>
      <c r="K10" s="201"/>
      <c r="L10" s="201"/>
      <c r="M10" s="201"/>
      <c r="N10" s="201"/>
      <c r="O10" s="201"/>
      <c r="Q10" s="324"/>
      <c r="S10" s="324"/>
      <c r="U10" s="324"/>
    </row>
    <row r="11" spans="1:21">
      <c r="A11" s="201"/>
      <c r="B11" s="201"/>
      <c r="C11" s="201"/>
      <c r="D11" s="201"/>
      <c r="E11" s="201"/>
      <c r="F11" s="201"/>
      <c r="G11" s="201"/>
      <c r="H11" s="201"/>
      <c r="I11" s="201"/>
      <c r="J11" s="201"/>
      <c r="K11" s="201"/>
      <c r="L11" s="201"/>
      <c r="M11" s="201"/>
      <c r="N11" s="201"/>
      <c r="O11" s="201"/>
    </row>
    <row r="12" spans="1:21">
      <c r="A12" s="201"/>
      <c r="B12" s="201"/>
      <c r="C12" s="201"/>
      <c r="D12" s="201"/>
      <c r="E12" s="201"/>
      <c r="F12" s="201"/>
      <c r="G12" s="201"/>
      <c r="H12" s="201"/>
      <c r="I12" s="201"/>
      <c r="J12" s="201"/>
      <c r="K12" s="201"/>
      <c r="L12" s="201"/>
      <c r="M12" s="201"/>
      <c r="N12" s="201"/>
      <c r="O12" s="201"/>
    </row>
    <row r="13" spans="1:21">
      <c r="A13" s="201"/>
      <c r="B13" s="201"/>
      <c r="C13" s="201"/>
      <c r="D13" s="201"/>
      <c r="E13" s="201"/>
      <c r="F13" s="201"/>
      <c r="G13" s="201"/>
      <c r="H13" s="201"/>
      <c r="I13" s="201"/>
      <c r="J13" s="201"/>
      <c r="K13" s="201"/>
      <c r="L13" s="201"/>
      <c r="M13" s="201"/>
      <c r="N13" s="201"/>
      <c r="O13" s="201"/>
    </row>
    <row r="14" spans="1:21">
      <c r="A14" s="201"/>
      <c r="B14" s="201"/>
      <c r="C14" s="201"/>
      <c r="D14" s="201"/>
      <c r="E14" s="201"/>
      <c r="F14" s="201"/>
      <c r="G14" s="201"/>
      <c r="H14" s="201"/>
      <c r="I14" s="201"/>
      <c r="J14" s="201"/>
      <c r="K14" s="201"/>
      <c r="L14" s="201"/>
      <c r="M14" s="201"/>
      <c r="N14" s="201"/>
      <c r="O14" s="201"/>
    </row>
    <row r="15" spans="1:21">
      <c r="A15" s="201"/>
      <c r="B15" s="201"/>
      <c r="C15" s="201"/>
      <c r="D15" s="201"/>
      <c r="E15" s="201"/>
      <c r="F15" s="201"/>
      <c r="G15" s="201"/>
      <c r="H15" s="201"/>
      <c r="I15" s="201"/>
      <c r="J15" s="201"/>
      <c r="K15" s="201"/>
      <c r="L15" s="201"/>
      <c r="M15" s="201"/>
      <c r="N15" s="201"/>
      <c r="O15" s="201"/>
    </row>
    <row r="16" spans="1:21">
      <c r="A16" s="201"/>
      <c r="B16" s="201"/>
      <c r="C16" s="201"/>
      <c r="D16" s="201"/>
      <c r="E16" s="201"/>
      <c r="F16" s="201"/>
      <c r="G16" s="201"/>
      <c r="H16" s="201"/>
      <c r="I16" s="201"/>
      <c r="J16" s="201"/>
      <c r="K16" s="201"/>
      <c r="L16" s="201"/>
      <c r="M16" s="201"/>
      <c r="N16" s="201"/>
      <c r="O16" s="201"/>
    </row>
    <row r="17" spans="1:16">
      <c r="A17" s="201"/>
      <c r="B17" s="201"/>
      <c r="C17" s="201"/>
      <c r="D17" s="201"/>
      <c r="E17" s="201"/>
      <c r="F17" s="201"/>
      <c r="G17" s="201"/>
      <c r="H17" s="201"/>
      <c r="I17" s="201"/>
      <c r="J17" s="201"/>
      <c r="K17" s="201"/>
      <c r="L17" s="201"/>
      <c r="M17" s="201"/>
      <c r="N17" s="201"/>
      <c r="O17" s="201"/>
    </row>
    <row r="18" spans="1:16">
      <c r="A18" s="201"/>
      <c r="B18" s="201"/>
      <c r="C18" s="201"/>
      <c r="D18" s="201"/>
      <c r="E18" s="201"/>
      <c r="F18" s="201"/>
      <c r="G18" s="201"/>
      <c r="H18" s="201"/>
      <c r="I18" s="201"/>
      <c r="J18" s="201"/>
      <c r="K18" s="201"/>
      <c r="L18" s="201"/>
      <c r="M18" s="201"/>
      <c r="N18" s="201"/>
      <c r="O18" s="201"/>
    </row>
    <row r="19" spans="1:16">
      <c r="A19" s="201"/>
      <c r="B19" s="201"/>
      <c r="C19" s="201"/>
      <c r="D19" s="201"/>
      <c r="E19" s="201"/>
      <c r="F19" s="201"/>
      <c r="G19" s="201"/>
      <c r="H19" s="201"/>
      <c r="I19" s="201"/>
      <c r="J19" s="201"/>
      <c r="K19" s="201"/>
      <c r="L19" s="201"/>
      <c r="M19" s="201"/>
      <c r="N19" s="201"/>
      <c r="O19" s="201"/>
    </row>
    <row r="20" spans="1:16">
      <c r="A20" s="201"/>
      <c r="B20" s="201"/>
      <c r="C20" s="201"/>
      <c r="D20" s="201"/>
      <c r="E20" s="201"/>
      <c r="F20" s="201"/>
      <c r="G20" s="201"/>
      <c r="H20" s="201"/>
      <c r="I20" s="201"/>
      <c r="J20" s="201"/>
      <c r="K20" s="201"/>
      <c r="L20" s="201"/>
      <c r="M20" s="201"/>
      <c r="N20" s="201"/>
      <c r="O20" s="201"/>
    </row>
    <row r="21" spans="1:16">
      <c r="A21" s="201"/>
      <c r="B21" s="201"/>
      <c r="C21" s="201"/>
      <c r="D21" s="201"/>
      <c r="E21" s="201"/>
      <c r="F21" s="201"/>
      <c r="G21" s="201"/>
      <c r="H21" s="201"/>
      <c r="I21" s="201"/>
      <c r="J21" s="201"/>
      <c r="K21" s="201"/>
      <c r="L21" s="201"/>
      <c r="M21" s="201"/>
      <c r="N21" s="201"/>
      <c r="O21" s="201"/>
    </row>
    <row r="22" spans="1:16">
      <c r="A22" s="201"/>
      <c r="B22" s="201"/>
      <c r="C22" s="201"/>
      <c r="D22" s="201"/>
      <c r="E22" s="201"/>
      <c r="F22" s="201"/>
      <c r="G22" s="201"/>
      <c r="H22" s="201"/>
      <c r="I22" s="201"/>
      <c r="J22" s="201"/>
      <c r="K22" s="201"/>
      <c r="L22" s="201"/>
      <c r="M22" s="201"/>
      <c r="N22" s="201"/>
      <c r="O22" s="201"/>
    </row>
    <row r="23" spans="1:16">
      <c r="A23" s="201"/>
      <c r="B23" s="201"/>
      <c r="C23" s="201"/>
      <c r="D23" s="201"/>
      <c r="E23" s="201"/>
      <c r="F23" s="201"/>
      <c r="G23" s="201"/>
      <c r="H23" s="201"/>
      <c r="I23" s="201"/>
      <c r="J23" s="201"/>
      <c r="K23" s="201"/>
      <c r="L23" s="201"/>
      <c r="M23" s="201"/>
      <c r="N23" s="201"/>
      <c r="O23" s="201"/>
    </row>
    <row r="24" spans="1:16">
      <c r="A24" s="201"/>
      <c r="B24" s="201"/>
      <c r="C24" s="201"/>
      <c r="D24" s="201"/>
      <c r="E24" s="201"/>
      <c r="F24" s="201"/>
      <c r="G24" s="201"/>
      <c r="H24" s="201"/>
      <c r="I24" s="201"/>
      <c r="J24" s="201"/>
      <c r="K24" s="201"/>
      <c r="L24" s="201"/>
      <c r="M24" s="201"/>
      <c r="N24" s="201"/>
      <c r="O24" s="201"/>
    </row>
    <row r="25" spans="1:16">
      <c r="A25" s="201"/>
      <c r="B25" s="102" t="s">
        <v>871</v>
      </c>
      <c r="C25" s="201"/>
      <c r="D25" s="201"/>
      <c r="E25" s="201"/>
      <c r="F25" s="201"/>
      <c r="G25" s="201"/>
      <c r="H25" s="201"/>
      <c r="I25" s="201"/>
      <c r="J25" s="201"/>
      <c r="K25" s="201"/>
      <c r="L25" s="201"/>
      <c r="M25" s="201"/>
      <c r="N25" s="201"/>
      <c r="O25" s="201"/>
    </row>
    <row r="29" spans="1:16" ht="0.5" customHeight="1">
      <c r="B29" s="325"/>
      <c r="C29" s="326" t="s">
        <v>52</v>
      </c>
      <c r="D29" s="471" t="s">
        <v>56</v>
      </c>
      <c r="E29" s="471"/>
      <c r="F29" s="472" t="s">
        <v>50</v>
      </c>
      <c r="G29" s="472"/>
      <c r="H29" s="327" t="s">
        <v>42</v>
      </c>
      <c r="I29" s="471" t="s">
        <v>40</v>
      </c>
      <c r="J29" s="471"/>
      <c r="K29" s="471" t="s">
        <v>36</v>
      </c>
      <c r="L29" s="471"/>
      <c r="M29" s="471" t="s">
        <v>41</v>
      </c>
      <c r="N29" s="471"/>
      <c r="O29" s="471" t="s">
        <v>43</v>
      </c>
      <c r="P29" s="471"/>
    </row>
    <row r="30" spans="1:16" ht="0.5" customHeight="1">
      <c r="B30" s="328"/>
      <c r="C30" s="326">
        <v>2014</v>
      </c>
      <c r="D30" s="326">
        <v>1998</v>
      </c>
      <c r="E30" s="326">
        <v>2014</v>
      </c>
      <c r="F30" s="326">
        <v>1998</v>
      </c>
      <c r="G30" s="326">
        <v>2014</v>
      </c>
      <c r="H30" s="327">
        <v>2014</v>
      </c>
      <c r="I30" s="326">
        <v>1998</v>
      </c>
      <c r="J30" s="326">
        <v>2014</v>
      </c>
      <c r="K30" s="326">
        <v>1998</v>
      </c>
      <c r="L30" s="326">
        <v>2014</v>
      </c>
      <c r="M30" s="326">
        <v>1998</v>
      </c>
      <c r="N30" s="326">
        <v>2014</v>
      </c>
      <c r="O30" s="326">
        <v>1998</v>
      </c>
      <c r="P30" s="326">
        <v>2014</v>
      </c>
    </row>
    <row r="31" spans="1:16" ht="0.5" customHeight="1">
      <c r="B31" s="324" t="s">
        <v>872</v>
      </c>
      <c r="C31" s="329">
        <v>15.076029999999999</v>
      </c>
      <c r="D31" s="329">
        <v>12.852130000000001</v>
      </c>
      <c r="E31" s="329">
        <v>17.025069999999999</v>
      </c>
      <c r="F31" s="329">
        <v>0.8045329</v>
      </c>
      <c r="G31" s="329">
        <v>2.7782119999999999</v>
      </c>
      <c r="H31" s="329">
        <v>21.163430000000002</v>
      </c>
      <c r="I31" s="329">
        <v>1</v>
      </c>
      <c r="J31" s="329">
        <v>9.41</v>
      </c>
      <c r="K31" s="329">
        <v>24.500579999999999</v>
      </c>
      <c r="L31" s="329">
        <v>61.839550000000003</v>
      </c>
      <c r="M31" s="329">
        <v>8.5564160000000005</v>
      </c>
      <c r="N31" s="329">
        <v>29.56578</v>
      </c>
      <c r="O31" s="329">
        <v>3.466682</v>
      </c>
      <c r="P31" s="329">
        <v>14.672319999999999</v>
      </c>
    </row>
    <row r="32" spans="1:16" ht="0.5" customHeight="1">
      <c r="B32" s="330" t="s">
        <v>873</v>
      </c>
      <c r="C32" s="331">
        <v>55.014470000000003</v>
      </c>
      <c r="D32" s="331">
        <v>49.670160000000003</v>
      </c>
      <c r="E32" s="331">
        <v>59.486310000000003</v>
      </c>
      <c r="F32" s="331">
        <v>6.2063879999999996</v>
      </c>
      <c r="G32" s="331">
        <v>66.296599999999998</v>
      </c>
      <c r="H32" s="331">
        <v>71.614369999999994</v>
      </c>
      <c r="I32" s="331">
        <v>37.953530000000001</v>
      </c>
      <c r="J32" s="331">
        <v>70.19</v>
      </c>
      <c r="K32" s="331">
        <v>78.493510000000001</v>
      </c>
      <c r="L32" s="331">
        <v>74.140479999999997</v>
      </c>
      <c r="M32" s="331">
        <v>54.274850000000001</v>
      </c>
      <c r="N32" s="331">
        <v>78.918549999999996</v>
      </c>
      <c r="O32" s="331">
        <v>67.397019999999998</v>
      </c>
      <c r="P32" s="331">
        <v>93.451679999999996</v>
      </c>
    </row>
  </sheetData>
  <mergeCells count="6">
    <mergeCell ref="O29:P29"/>
    <mergeCell ref="D29:E29"/>
    <mergeCell ref="F29:G29"/>
    <mergeCell ref="I29:J29"/>
    <mergeCell ref="K29:L29"/>
    <mergeCell ref="M29:N29"/>
  </mergeCells>
  <pageMargins left="0.7" right="0.7" top="0.75" bottom="0.75" header="0.3" footer="0.3"/>
  <pageSetup scale="63"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11"/>
  <sheetViews>
    <sheetView zoomScaleNormal="100" zoomScaleSheetLayoutView="100" workbookViewId="0"/>
  </sheetViews>
  <sheetFormatPr defaultColWidth="8.81640625" defaultRowHeight="14.5"/>
  <cols>
    <col min="1" max="1" width="5.1796875" style="334" customWidth="1"/>
    <col min="2" max="2" width="8.81640625" style="334"/>
    <col min="3" max="4" width="11.7265625" style="334" customWidth="1"/>
    <col min="5" max="7" width="8.81640625" style="334"/>
    <col min="8" max="9" width="11.1796875" style="334" customWidth="1"/>
    <col min="10" max="10" width="8.81640625" style="334"/>
    <col min="11" max="11" width="4.453125" style="334" customWidth="1"/>
    <col min="12" max="16384" width="8.81640625" style="334"/>
  </cols>
  <sheetData>
    <row r="1" spans="1:13" ht="15" customHeight="1">
      <c r="A1" s="332"/>
      <c r="B1" s="332"/>
      <c r="C1" s="333"/>
      <c r="D1" s="333"/>
      <c r="E1" s="332"/>
      <c r="F1" s="332"/>
      <c r="G1" s="332"/>
      <c r="H1" s="332"/>
      <c r="I1" s="332"/>
      <c r="J1" s="332"/>
      <c r="K1" s="332"/>
      <c r="L1" s="332"/>
      <c r="M1" s="332"/>
    </row>
    <row r="2" spans="1:13" ht="20">
      <c r="A2" s="332"/>
      <c r="B2" s="335" t="s">
        <v>874</v>
      </c>
      <c r="C2" s="336"/>
      <c r="D2" s="336"/>
      <c r="E2" s="336"/>
      <c r="F2" s="332"/>
      <c r="G2" s="332"/>
      <c r="H2" s="332"/>
      <c r="I2" s="332"/>
      <c r="J2" s="332"/>
      <c r="K2" s="332"/>
      <c r="L2" s="332"/>
      <c r="M2" s="332"/>
    </row>
    <row r="3" spans="1:13" s="338" customFormat="1" ht="12.5">
      <c r="A3" s="337"/>
      <c r="B3" s="337"/>
      <c r="C3" s="337"/>
      <c r="D3" s="337"/>
      <c r="E3" s="337"/>
      <c r="F3" s="337"/>
      <c r="G3" s="337"/>
      <c r="H3" s="337"/>
      <c r="I3" s="337"/>
      <c r="J3" s="337"/>
      <c r="K3" s="337"/>
      <c r="L3" s="337"/>
      <c r="M3" s="337"/>
    </row>
    <row r="4" spans="1:13">
      <c r="A4" s="332"/>
      <c r="B4" s="332"/>
      <c r="C4" s="332"/>
      <c r="D4" s="332"/>
      <c r="E4" s="332"/>
      <c r="F4" s="332"/>
      <c r="G4" s="332"/>
      <c r="H4" s="332"/>
      <c r="I4" s="332"/>
      <c r="J4" s="332"/>
      <c r="K4" s="332"/>
      <c r="L4" s="332"/>
      <c r="M4" s="332"/>
    </row>
    <row r="5" spans="1:13">
      <c r="A5" s="332"/>
      <c r="B5" s="332"/>
      <c r="C5" s="332"/>
      <c r="D5" s="332"/>
      <c r="E5" s="332"/>
      <c r="F5" s="332"/>
      <c r="G5" s="332"/>
      <c r="H5" s="332"/>
      <c r="I5" s="332"/>
      <c r="J5" s="332"/>
      <c r="K5" s="332"/>
      <c r="L5" s="332"/>
      <c r="M5" s="332"/>
    </row>
    <row r="6" spans="1:13">
      <c r="A6" s="332"/>
      <c r="B6" s="332"/>
      <c r="C6" s="332"/>
      <c r="D6" s="332"/>
      <c r="E6" s="332"/>
      <c r="F6" s="332"/>
      <c r="G6" s="332"/>
      <c r="H6" s="332"/>
      <c r="I6" s="332"/>
      <c r="J6" s="332"/>
      <c r="K6" s="332"/>
      <c r="L6" s="332"/>
      <c r="M6" s="332"/>
    </row>
    <row r="7" spans="1:13">
      <c r="A7" s="332"/>
      <c r="B7" s="332"/>
      <c r="C7" s="332"/>
      <c r="D7" s="332"/>
      <c r="E7" s="332"/>
      <c r="F7" s="332"/>
      <c r="G7" s="332"/>
      <c r="H7" s="332"/>
      <c r="I7" s="332"/>
      <c r="J7" s="332"/>
      <c r="K7" s="332"/>
      <c r="L7" s="332"/>
      <c r="M7" s="332"/>
    </row>
    <row r="8" spans="1:13">
      <c r="A8" s="332"/>
      <c r="B8" s="332"/>
      <c r="C8" s="332"/>
      <c r="D8" s="332"/>
      <c r="E8" s="332"/>
      <c r="F8" s="332"/>
      <c r="G8" s="332"/>
      <c r="H8" s="332"/>
      <c r="I8" s="332"/>
      <c r="J8" s="332"/>
      <c r="K8" s="332"/>
      <c r="L8" s="332"/>
      <c r="M8" s="332"/>
    </row>
    <row r="9" spans="1:13">
      <c r="A9" s="332"/>
      <c r="B9" s="332"/>
      <c r="C9" s="332"/>
      <c r="D9" s="332"/>
      <c r="E9" s="332"/>
      <c r="F9" s="332"/>
      <c r="G9" s="332"/>
      <c r="H9" s="332"/>
      <c r="I9" s="332"/>
      <c r="J9" s="332"/>
      <c r="K9" s="332"/>
      <c r="L9" s="332"/>
      <c r="M9" s="332"/>
    </row>
    <row r="10" spans="1:13">
      <c r="A10" s="332"/>
      <c r="B10" s="332"/>
      <c r="C10" s="332"/>
      <c r="D10" s="332"/>
      <c r="E10" s="332"/>
      <c r="F10" s="332"/>
      <c r="G10" s="332"/>
      <c r="H10" s="332"/>
      <c r="I10" s="332"/>
      <c r="J10" s="332"/>
      <c r="K10" s="332"/>
      <c r="L10" s="332"/>
      <c r="M10" s="332"/>
    </row>
    <row r="11" spans="1:13">
      <c r="A11" s="332"/>
      <c r="B11" s="332"/>
      <c r="C11" s="332"/>
      <c r="D11" s="332"/>
      <c r="E11" s="332"/>
      <c r="F11" s="332"/>
      <c r="G11" s="332"/>
      <c r="H11" s="332"/>
      <c r="I11" s="332"/>
      <c r="J11" s="332"/>
      <c r="K11" s="332"/>
      <c r="L11" s="332"/>
      <c r="M11" s="332"/>
    </row>
    <row r="12" spans="1:13">
      <c r="A12" s="332"/>
      <c r="B12" s="332"/>
      <c r="C12" s="332"/>
      <c r="D12" s="332"/>
      <c r="E12" s="332"/>
      <c r="F12" s="332"/>
      <c r="G12" s="332"/>
      <c r="H12" s="332"/>
      <c r="I12" s="332"/>
      <c r="J12" s="332"/>
      <c r="K12" s="332"/>
      <c r="L12" s="332"/>
      <c r="M12" s="332"/>
    </row>
    <row r="13" spans="1:13">
      <c r="A13" s="332"/>
      <c r="B13" s="332"/>
      <c r="C13" s="332"/>
      <c r="D13" s="332"/>
      <c r="E13" s="332"/>
      <c r="F13" s="332"/>
      <c r="G13" s="332"/>
      <c r="H13" s="332"/>
      <c r="I13" s="332"/>
      <c r="J13" s="332"/>
      <c r="K13" s="332"/>
      <c r="L13" s="332"/>
      <c r="M13" s="332"/>
    </row>
    <row r="14" spans="1:13">
      <c r="A14" s="332"/>
      <c r="B14" s="332"/>
      <c r="C14" s="332"/>
      <c r="D14" s="332"/>
      <c r="E14" s="332"/>
      <c r="F14" s="332"/>
      <c r="G14" s="332"/>
      <c r="H14" s="332"/>
      <c r="I14" s="332"/>
      <c r="J14" s="332"/>
      <c r="K14" s="332"/>
      <c r="L14" s="332"/>
      <c r="M14" s="332"/>
    </row>
    <row r="15" spans="1:13">
      <c r="A15" s="332"/>
      <c r="B15" s="332"/>
      <c r="C15" s="332"/>
      <c r="D15" s="332"/>
      <c r="E15" s="332"/>
      <c r="F15" s="332"/>
      <c r="G15" s="332"/>
      <c r="H15" s="332"/>
      <c r="I15" s="332"/>
      <c r="J15" s="332"/>
      <c r="K15" s="332"/>
      <c r="L15" s="332"/>
      <c r="M15" s="332"/>
    </row>
    <row r="16" spans="1:13">
      <c r="A16" s="332"/>
      <c r="B16" s="332"/>
      <c r="C16" s="332"/>
      <c r="D16" s="332"/>
      <c r="E16" s="332"/>
      <c r="F16" s="332"/>
      <c r="G16" s="332"/>
      <c r="H16" s="332"/>
      <c r="I16" s="332"/>
      <c r="J16" s="332"/>
      <c r="K16" s="332"/>
      <c r="L16" s="332"/>
      <c r="M16" s="332"/>
    </row>
    <row r="17" spans="1:13">
      <c r="A17" s="332"/>
      <c r="B17" s="332"/>
      <c r="C17" s="332"/>
      <c r="D17" s="332"/>
      <c r="E17" s="332"/>
      <c r="F17" s="332"/>
      <c r="G17" s="332"/>
      <c r="H17" s="332"/>
      <c r="I17" s="332"/>
      <c r="J17" s="332"/>
      <c r="K17" s="332"/>
      <c r="L17" s="332"/>
      <c r="M17" s="332"/>
    </row>
    <row r="18" spans="1:13">
      <c r="A18" s="332"/>
      <c r="B18" s="332"/>
      <c r="C18" s="332"/>
      <c r="D18" s="332"/>
      <c r="E18" s="332"/>
      <c r="F18" s="332"/>
      <c r="G18" s="332"/>
      <c r="H18" s="332"/>
      <c r="I18" s="332"/>
      <c r="J18" s="332"/>
      <c r="K18" s="332"/>
      <c r="L18" s="332"/>
      <c r="M18" s="332"/>
    </row>
    <row r="19" spans="1:13">
      <c r="A19" s="332"/>
      <c r="B19" s="332"/>
      <c r="C19" s="332"/>
      <c r="D19" s="332"/>
      <c r="E19" s="332"/>
      <c r="F19" s="332"/>
      <c r="G19" s="332"/>
      <c r="H19" s="332"/>
      <c r="I19" s="332"/>
      <c r="J19" s="332"/>
      <c r="K19" s="332"/>
      <c r="L19" s="332"/>
      <c r="M19" s="332"/>
    </row>
    <row r="20" spans="1:13">
      <c r="A20" s="332"/>
      <c r="B20" s="332"/>
      <c r="C20" s="332"/>
      <c r="D20" s="332"/>
      <c r="E20" s="332"/>
      <c r="F20" s="332"/>
      <c r="G20" s="332"/>
      <c r="H20" s="332"/>
      <c r="I20" s="332"/>
      <c r="J20" s="332"/>
      <c r="K20" s="332"/>
      <c r="L20" s="332"/>
      <c r="M20" s="332"/>
    </row>
    <row r="21" spans="1:13">
      <c r="A21" s="332"/>
      <c r="B21" s="332"/>
      <c r="C21" s="332"/>
      <c r="D21" s="332"/>
      <c r="E21" s="332"/>
      <c r="F21" s="332"/>
      <c r="G21" s="332"/>
      <c r="H21" s="332"/>
      <c r="I21" s="332"/>
      <c r="J21" s="332"/>
      <c r="K21" s="332"/>
      <c r="L21" s="332"/>
      <c r="M21" s="332"/>
    </row>
    <row r="22" spans="1:13">
      <c r="A22" s="332"/>
      <c r="B22" s="332"/>
      <c r="C22" s="332"/>
      <c r="D22" s="332"/>
      <c r="E22" s="332"/>
      <c r="F22" s="332"/>
      <c r="G22" s="332"/>
      <c r="H22" s="332"/>
      <c r="I22" s="332"/>
      <c r="J22" s="332"/>
      <c r="K22" s="332"/>
      <c r="L22" s="332"/>
      <c r="M22" s="332"/>
    </row>
    <row r="23" spans="1:13">
      <c r="A23" s="332"/>
      <c r="B23" s="332"/>
      <c r="C23" s="332"/>
      <c r="D23" s="332"/>
      <c r="E23" s="332"/>
      <c r="F23" s="332"/>
      <c r="G23" s="332"/>
      <c r="H23" s="332"/>
      <c r="I23" s="332"/>
      <c r="J23" s="332"/>
      <c r="K23" s="332"/>
      <c r="L23" s="332"/>
      <c r="M23" s="332"/>
    </row>
    <row r="24" spans="1:13">
      <c r="A24" s="332"/>
      <c r="B24" s="332"/>
      <c r="C24" s="332"/>
      <c r="D24" s="332"/>
      <c r="E24" s="332"/>
      <c r="F24" s="332"/>
      <c r="G24" s="332"/>
      <c r="H24" s="332"/>
      <c r="I24" s="332"/>
      <c r="J24" s="332"/>
      <c r="K24" s="332"/>
      <c r="L24" s="332"/>
      <c r="M24" s="332"/>
    </row>
    <row r="25" spans="1:13">
      <c r="A25" s="332"/>
      <c r="B25" s="332"/>
      <c r="C25" s="332"/>
      <c r="D25" s="332"/>
      <c r="E25" s="332"/>
      <c r="F25" s="332"/>
      <c r="G25" s="332"/>
      <c r="H25" s="332"/>
      <c r="I25" s="332"/>
      <c r="J25" s="332"/>
      <c r="K25" s="332"/>
      <c r="L25" s="332"/>
      <c r="M25" s="332"/>
    </row>
    <row r="26" spans="1:13">
      <c r="A26" s="332"/>
      <c r="B26" s="332"/>
      <c r="C26" s="332"/>
      <c r="D26" s="332"/>
      <c r="E26" s="332"/>
      <c r="F26" s="332"/>
      <c r="G26" s="332"/>
      <c r="H26" s="332"/>
      <c r="I26" s="332"/>
      <c r="J26" s="332"/>
      <c r="K26" s="332"/>
      <c r="L26" s="332"/>
      <c r="M26" s="332"/>
    </row>
    <row r="27" spans="1:13" ht="66.75" customHeight="1">
      <c r="A27" s="332"/>
      <c r="B27" s="436" t="s">
        <v>875</v>
      </c>
      <c r="C27" s="436"/>
      <c r="D27" s="436"/>
      <c r="E27" s="436"/>
      <c r="F27" s="436"/>
      <c r="G27" s="436"/>
      <c r="H27" s="436"/>
      <c r="I27" s="436"/>
      <c r="J27" s="436"/>
      <c r="K27" s="436"/>
      <c r="L27" s="436"/>
      <c r="M27" s="332"/>
    </row>
    <row r="34" spans="3:10" ht="0.5" customHeight="1">
      <c r="C34" s="339"/>
      <c r="D34" s="340" t="s">
        <v>876</v>
      </c>
      <c r="E34" s="340" t="s">
        <v>877</v>
      </c>
      <c r="F34" s="338"/>
      <c r="H34" s="2" t="s">
        <v>31</v>
      </c>
      <c r="I34" s="340" t="s">
        <v>876</v>
      </c>
      <c r="J34" s="340" t="s">
        <v>877</v>
      </c>
    </row>
    <row r="35" spans="3:10" ht="0.5" customHeight="1">
      <c r="C35" s="341" t="s">
        <v>36</v>
      </c>
      <c r="D35" s="342">
        <v>0.82537000000000005</v>
      </c>
      <c r="E35" s="342">
        <v>0.95799999999999996</v>
      </c>
      <c r="H35" s="2" t="s">
        <v>56</v>
      </c>
      <c r="I35" s="343">
        <v>0.69145999999999996</v>
      </c>
      <c r="J35" s="343">
        <v>0.49518000000000001</v>
      </c>
    </row>
    <row r="36" spans="3:10" ht="0.5" customHeight="1">
      <c r="C36" s="341" t="s">
        <v>40</v>
      </c>
      <c r="D36" s="342">
        <v>0.73077000000000003</v>
      </c>
      <c r="E36" s="342">
        <v>0.81574999999999998</v>
      </c>
      <c r="H36" s="2" t="s">
        <v>41</v>
      </c>
      <c r="I36" s="343">
        <v>0.39660000000000001</v>
      </c>
      <c r="J36" s="343">
        <v>0.59682999999999997</v>
      </c>
    </row>
    <row r="37" spans="3:10" ht="0.5" customHeight="1">
      <c r="C37" s="341" t="s">
        <v>41</v>
      </c>
      <c r="D37" s="342">
        <v>0.39660000000000001</v>
      </c>
      <c r="E37" s="342">
        <v>0.59682999999999997</v>
      </c>
      <c r="H37" s="2" t="s">
        <v>40</v>
      </c>
      <c r="I37" s="343">
        <v>0.73077000000000003</v>
      </c>
      <c r="J37" s="343">
        <v>0.81574999999999998</v>
      </c>
    </row>
    <row r="38" spans="3:10" ht="0.5" customHeight="1">
      <c r="C38" s="341" t="s">
        <v>42</v>
      </c>
      <c r="D38" s="342">
        <v>0.73709000000000002</v>
      </c>
      <c r="E38" s="342">
        <v>0.83701000000000003</v>
      </c>
      <c r="H38" s="2" t="s">
        <v>52</v>
      </c>
      <c r="I38" s="344">
        <v>0.60419</v>
      </c>
      <c r="J38" s="344">
        <v>0.84853000000000001</v>
      </c>
    </row>
    <row r="39" spans="3:10" ht="0.5" customHeight="1">
      <c r="C39" s="341" t="s">
        <v>50</v>
      </c>
      <c r="D39" s="342"/>
      <c r="E39" s="342">
        <v>0.97428999999999999</v>
      </c>
      <c r="H39" s="2" t="s">
        <v>36</v>
      </c>
      <c r="I39" s="343">
        <v>0.82537000000000005</v>
      </c>
      <c r="J39" s="343">
        <v>0.95799999999999996</v>
      </c>
    </row>
    <row r="40" spans="3:10" ht="0.5" customHeight="1">
      <c r="C40" s="341" t="s">
        <v>52</v>
      </c>
      <c r="D40" s="342">
        <v>0.60419</v>
      </c>
      <c r="E40" s="342">
        <v>0.84853000000000001</v>
      </c>
      <c r="H40" s="2" t="s">
        <v>22</v>
      </c>
      <c r="I40" s="345">
        <v>0.89839000000000002</v>
      </c>
      <c r="J40" s="345">
        <v>0.96621000000000001</v>
      </c>
    </row>
    <row r="41" spans="3:10" ht="0.5" customHeight="1">
      <c r="C41" s="341" t="s">
        <v>56</v>
      </c>
      <c r="D41" s="342">
        <v>0.69145999999999996</v>
      </c>
      <c r="E41" s="342">
        <v>0.49518000000000001</v>
      </c>
      <c r="G41" s="338"/>
      <c r="H41" s="2" t="s">
        <v>50</v>
      </c>
      <c r="I41" s="343"/>
      <c r="J41" s="343">
        <v>0.97428999999999999</v>
      </c>
    </row>
    <row r="42" spans="3:10" s="338" customFormat="1" ht="0.5" customHeight="1">
      <c r="C42" s="346" t="s">
        <v>878</v>
      </c>
      <c r="D42" s="347">
        <v>0.89839000000000002</v>
      </c>
      <c r="E42" s="347">
        <v>0.96621000000000001</v>
      </c>
      <c r="F42" s="334"/>
      <c r="G42" s="334"/>
      <c r="H42" s="2" t="s">
        <v>115</v>
      </c>
      <c r="I42" s="348">
        <f>AVERAGE(D49:D82)</f>
        <v>0.8758119230769229</v>
      </c>
      <c r="J42" s="348">
        <f>AVERAGE(E49:E82)</f>
        <v>1.0058199999999999</v>
      </c>
    </row>
    <row r="43" spans="3:10" ht="0.5" customHeight="1"/>
    <row r="44" spans="3:10" ht="0.5" customHeight="1">
      <c r="C44" s="349" t="s">
        <v>115</v>
      </c>
    </row>
    <row r="45" spans="3:10" ht="0.5" customHeight="1">
      <c r="C45" s="346" t="s">
        <v>89</v>
      </c>
      <c r="D45" s="347">
        <v>0.77129999999999999</v>
      </c>
      <c r="E45" s="347">
        <v>0.73385</v>
      </c>
      <c r="G45" s="338"/>
      <c r="H45" s="338"/>
      <c r="I45" s="338"/>
    </row>
    <row r="46" spans="3:10" s="338" customFormat="1" ht="0.5" customHeight="1">
      <c r="C46" s="346" t="s">
        <v>94</v>
      </c>
      <c r="D46" s="347">
        <v>1.09792</v>
      </c>
      <c r="E46" s="347">
        <v>1.6571199999999999</v>
      </c>
      <c r="F46" s="334"/>
    </row>
    <row r="47" spans="3:10" s="338" customFormat="1" ht="0.5" customHeight="1">
      <c r="C47" s="346" t="s">
        <v>118</v>
      </c>
      <c r="D47" s="347">
        <v>1.0803</v>
      </c>
      <c r="E47" s="347">
        <v>1.2177100000000001</v>
      </c>
      <c r="F47" s="334"/>
    </row>
    <row r="48" spans="3:10" s="338" customFormat="1" ht="0.5" customHeight="1">
      <c r="C48" s="346" t="s">
        <v>119</v>
      </c>
      <c r="D48" s="347"/>
      <c r="E48" s="347">
        <v>1.36443</v>
      </c>
      <c r="F48" s="334"/>
    </row>
    <row r="49" spans="3:6" s="338" customFormat="1" ht="0.5" customHeight="1">
      <c r="C49" s="346" t="s">
        <v>41</v>
      </c>
      <c r="D49" s="347">
        <v>0.39660000000000001</v>
      </c>
      <c r="E49" s="347">
        <v>0.59682999999999997</v>
      </c>
      <c r="F49" s="334"/>
    </row>
    <row r="50" spans="3:6" s="338" customFormat="1" ht="0.5" customHeight="1">
      <c r="C50" s="346" t="s">
        <v>93</v>
      </c>
      <c r="D50" s="347">
        <v>0.66884999999999994</v>
      </c>
      <c r="E50" s="347">
        <v>0.98126999999999998</v>
      </c>
      <c r="F50" s="334"/>
    </row>
    <row r="51" spans="3:6" s="338" customFormat="1" ht="0.5" customHeight="1">
      <c r="C51" s="346" t="s">
        <v>82</v>
      </c>
      <c r="D51" s="347">
        <v>1.7224600000000001</v>
      </c>
      <c r="E51" s="347">
        <v>1.70821</v>
      </c>
      <c r="F51" s="334"/>
    </row>
    <row r="52" spans="3:6" s="338" customFormat="1" ht="0.5" customHeight="1">
      <c r="C52" s="346" t="s">
        <v>120</v>
      </c>
      <c r="D52" s="347">
        <v>0.88461000000000001</v>
      </c>
      <c r="E52" s="347">
        <v>0.94569000000000003</v>
      </c>
      <c r="F52" s="334"/>
    </row>
    <row r="53" spans="3:6" s="338" customFormat="1" ht="0.5" customHeight="1">
      <c r="C53" s="346" t="s">
        <v>121</v>
      </c>
      <c r="D53" s="347">
        <v>1.56071</v>
      </c>
      <c r="E53" s="347">
        <v>1.7771399999999999</v>
      </c>
      <c r="F53" s="334"/>
    </row>
    <row r="54" spans="3:6" s="338" customFormat="1" ht="0.5" customHeight="1">
      <c r="C54" s="346" t="s">
        <v>122</v>
      </c>
      <c r="D54" s="347">
        <v>0.87514999999999998</v>
      </c>
      <c r="E54" s="347">
        <v>1.1328100000000001</v>
      </c>
      <c r="F54" s="334"/>
    </row>
    <row r="55" spans="3:6" s="338" customFormat="1" ht="0.5" customHeight="1">
      <c r="C55" s="346" t="s">
        <v>102</v>
      </c>
      <c r="D55" s="347"/>
      <c r="E55" s="347">
        <v>1.02918</v>
      </c>
      <c r="F55" s="334"/>
    </row>
    <row r="56" spans="3:6" s="338" customFormat="1" ht="0.5" customHeight="1">
      <c r="C56" s="346" t="s">
        <v>123</v>
      </c>
      <c r="D56" s="347">
        <v>0.96294999999999997</v>
      </c>
      <c r="E56" s="347"/>
      <c r="F56" s="334"/>
    </row>
    <row r="57" spans="3:6" s="338" customFormat="1" ht="0.5" customHeight="1">
      <c r="C57" s="346" t="s">
        <v>96</v>
      </c>
      <c r="D57" s="347">
        <v>0.86775000000000002</v>
      </c>
      <c r="E57" s="347">
        <v>0.68032000000000004</v>
      </c>
      <c r="F57" s="334"/>
    </row>
    <row r="58" spans="3:6" s="338" customFormat="1" ht="0.5" customHeight="1">
      <c r="C58" s="346" t="s">
        <v>124</v>
      </c>
      <c r="D58" s="347"/>
      <c r="E58" s="347">
        <v>1.00874</v>
      </c>
      <c r="F58" s="334"/>
    </row>
    <row r="59" spans="3:6" s="338" customFormat="1" ht="0.5" customHeight="1">
      <c r="C59" s="346" t="s">
        <v>125</v>
      </c>
      <c r="D59" s="347">
        <v>1.0006699999999999</v>
      </c>
      <c r="E59" s="347">
        <v>1.02677</v>
      </c>
      <c r="F59" s="334"/>
    </row>
    <row r="60" spans="3:6" s="338" customFormat="1" ht="0.5" customHeight="1">
      <c r="C60" s="346" t="s">
        <v>126</v>
      </c>
      <c r="D60" s="347">
        <v>1.0234000000000001</v>
      </c>
      <c r="E60" s="347">
        <v>0.82660999999999996</v>
      </c>
      <c r="F60" s="334"/>
    </row>
    <row r="61" spans="3:6" s="338" customFormat="1" ht="0.5" customHeight="1">
      <c r="C61" s="346" t="s">
        <v>87</v>
      </c>
      <c r="D61" s="347">
        <v>0.66879999999999995</v>
      </c>
      <c r="E61" s="347">
        <v>0.62309000000000003</v>
      </c>
      <c r="F61" s="334"/>
    </row>
    <row r="62" spans="3:6" s="338" customFormat="1" ht="0.5" customHeight="1">
      <c r="C62" s="346" t="s">
        <v>86</v>
      </c>
      <c r="D62" s="347">
        <v>0.46011000000000002</v>
      </c>
      <c r="E62" s="347">
        <v>0.54586000000000001</v>
      </c>
      <c r="F62" s="334"/>
    </row>
    <row r="63" spans="3:6" s="338" customFormat="1" ht="0.5" customHeight="1">
      <c r="C63" s="346" t="s">
        <v>128</v>
      </c>
      <c r="D63" s="347"/>
      <c r="E63" s="347"/>
      <c r="F63" s="334"/>
    </row>
    <row r="64" spans="3:6" s="338" customFormat="1" ht="0.5" customHeight="1">
      <c r="C64" s="346" t="s">
        <v>52</v>
      </c>
      <c r="D64" s="347">
        <v>0.60419</v>
      </c>
      <c r="E64" s="347">
        <v>0.84853000000000001</v>
      </c>
      <c r="F64" s="334"/>
    </row>
    <row r="65" spans="3:9" s="338" customFormat="1" ht="0.5" customHeight="1">
      <c r="C65" s="346" t="s">
        <v>100</v>
      </c>
      <c r="D65" s="347">
        <v>0.99422999999999995</v>
      </c>
      <c r="E65" s="347">
        <v>1.1652800000000001</v>
      </c>
      <c r="F65" s="334"/>
    </row>
    <row r="66" spans="3:9" s="338" customFormat="1" ht="0.5" customHeight="1">
      <c r="C66" s="346" t="s">
        <v>99</v>
      </c>
      <c r="D66" s="347">
        <v>0.86924999999999997</v>
      </c>
      <c r="E66" s="347">
        <v>0.95543999999999996</v>
      </c>
      <c r="F66" s="334"/>
    </row>
    <row r="67" spans="3:9" s="338" customFormat="1" ht="0.5" customHeight="1">
      <c r="C67" s="346" t="s">
        <v>92</v>
      </c>
      <c r="D67" s="347">
        <v>1.24909</v>
      </c>
      <c r="E67" s="347">
        <v>1.1951400000000001</v>
      </c>
      <c r="F67" s="334"/>
    </row>
    <row r="68" spans="3:9" s="338" customFormat="1" ht="0.5" customHeight="1">
      <c r="C68" s="346" t="s">
        <v>129</v>
      </c>
      <c r="D68" s="347">
        <v>0.81737000000000004</v>
      </c>
      <c r="E68" s="347">
        <v>0.96811999999999998</v>
      </c>
      <c r="F68" s="334"/>
    </row>
    <row r="69" spans="3:9" s="338" customFormat="1" ht="0.5" customHeight="1">
      <c r="C69" s="346" t="s">
        <v>130</v>
      </c>
      <c r="D69" s="347">
        <v>0.92030000000000001</v>
      </c>
      <c r="E69" s="347">
        <v>0.85318000000000005</v>
      </c>
      <c r="F69" s="334"/>
    </row>
    <row r="70" spans="3:9" s="338" customFormat="1" ht="0.5" customHeight="1">
      <c r="C70" s="346" t="s">
        <v>879</v>
      </c>
      <c r="D70" s="347">
        <v>0.72438999999999998</v>
      </c>
      <c r="E70" s="347">
        <v>0.75126999999999999</v>
      </c>
      <c r="F70" s="334"/>
    </row>
    <row r="71" spans="3:9" s="338" customFormat="1" ht="0.5" customHeight="1">
      <c r="C71" s="346" t="s">
        <v>80</v>
      </c>
      <c r="D71" s="347">
        <v>0.92784999999999995</v>
      </c>
      <c r="E71" s="347">
        <v>1.0141</v>
      </c>
      <c r="F71" s="334"/>
    </row>
    <row r="72" spans="3:9" s="338" customFormat="1" ht="0.5" customHeight="1">
      <c r="C72" s="346" t="s">
        <v>131</v>
      </c>
      <c r="D72" s="347">
        <v>0.86128000000000005</v>
      </c>
      <c r="E72" s="347">
        <v>0.89217000000000002</v>
      </c>
      <c r="F72" s="334"/>
      <c r="G72" s="334"/>
      <c r="H72" s="334"/>
      <c r="I72" s="334"/>
    </row>
    <row r="73" spans="3:9" ht="0.5" customHeight="1">
      <c r="C73" s="346" t="s">
        <v>88</v>
      </c>
      <c r="D73" s="347">
        <v>1.30958</v>
      </c>
      <c r="E73" s="347">
        <v>1.4441999999999999</v>
      </c>
    </row>
    <row r="74" spans="3:9" ht="0.5" customHeight="1">
      <c r="C74" s="346" t="s">
        <v>132</v>
      </c>
      <c r="D74" s="347"/>
      <c r="E74" s="347">
        <v>1.2353499999999999</v>
      </c>
    </row>
    <row r="75" spans="3:9" ht="0.5" customHeight="1">
      <c r="C75" s="346" t="s">
        <v>133</v>
      </c>
      <c r="D75" s="347">
        <v>0.75005999999999995</v>
      </c>
      <c r="E75" s="347"/>
    </row>
    <row r="76" spans="3:9" ht="0.5" customHeight="1">
      <c r="C76" s="346" t="s">
        <v>880</v>
      </c>
      <c r="D76" s="347">
        <v>0.72019</v>
      </c>
      <c r="E76" s="347">
        <v>0.97980999999999996</v>
      </c>
    </row>
    <row r="77" spans="3:9" ht="0.5" customHeight="1">
      <c r="C77" s="346" t="s">
        <v>878</v>
      </c>
      <c r="D77" s="347">
        <v>0.89839000000000002</v>
      </c>
      <c r="E77" s="347">
        <v>0.96621000000000001</v>
      </c>
    </row>
    <row r="78" spans="3:9" ht="0.5" customHeight="1">
      <c r="C78" s="346" t="s">
        <v>881</v>
      </c>
      <c r="D78" s="347"/>
      <c r="E78" s="347"/>
      <c r="F78" s="338"/>
    </row>
    <row r="79" spans="3:9" ht="0.5" customHeight="1"/>
    <row r="80" spans="3:9" ht="0.5" customHeight="1"/>
    <row r="81" spans="3:6" ht="0.5" customHeight="1">
      <c r="C81" s="350" t="s">
        <v>882</v>
      </c>
    </row>
    <row r="82" spans="3:6" ht="0.5" customHeight="1">
      <c r="C82" s="346" t="s">
        <v>553</v>
      </c>
      <c r="D82" s="347">
        <v>3.288E-2</v>
      </c>
      <c r="E82" s="347"/>
      <c r="F82" s="338"/>
    </row>
    <row r="83" spans="3:6" ht="0.5" customHeight="1">
      <c r="C83" s="346" t="s">
        <v>36</v>
      </c>
      <c r="D83" s="347">
        <v>0.82537000000000005</v>
      </c>
      <c r="E83" s="347" t="s">
        <v>883</v>
      </c>
      <c r="F83" s="338"/>
    </row>
    <row r="84" spans="3:6" ht="0.5" customHeight="1">
      <c r="C84" s="346" t="s">
        <v>67</v>
      </c>
      <c r="D84" s="347">
        <v>0.18639</v>
      </c>
      <c r="E84" s="347">
        <v>0.27600999999999998</v>
      </c>
      <c r="F84" s="338"/>
    </row>
    <row r="85" spans="3:6" ht="0.5" customHeight="1">
      <c r="C85" s="346" t="s">
        <v>884</v>
      </c>
      <c r="D85" s="347"/>
      <c r="E85" s="347">
        <v>1.51508</v>
      </c>
      <c r="F85" s="338"/>
    </row>
    <row r="86" spans="3:6" ht="0.5" customHeight="1">
      <c r="C86" s="346" t="s">
        <v>40</v>
      </c>
      <c r="D86" s="347">
        <v>0.73077000000000003</v>
      </c>
      <c r="E86" s="347">
        <v>0.81574999999999998</v>
      </c>
      <c r="F86" s="338"/>
    </row>
    <row r="87" spans="3:6" ht="0.5" customHeight="1">
      <c r="C87" s="346" t="s">
        <v>41</v>
      </c>
      <c r="D87" s="347">
        <v>0.39660000000000001</v>
      </c>
      <c r="E87" s="347">
        <v>0.59682999999999997</v>
      </c>
      <c r="F87" s="338"/>
    </row>
    <row r="88" spans="3:6" ht="0.5" customHeight="1">
      <c r="C88" s="346" t="s">
        <v>42</v>
      </c>
      <c r="D88" s="347">
        <v>0.73709000000000002</v>
      </c>
      <c r="E88" s="347">
        <v>0.83701000000000003</v>
      </c>
      <c r="F88" s="338"/>
    </row>
    <row r="89" spans="3:6" ht="0.5" customHeight="1">
      <c r="C89" s="346" t="s">
        <v>43</v>
      </c>
      <c r="D89" s="347">
        <v>0.90154000000000001</v>
      </c>
      <c r="E89" s="347"/>
      <c r="F89" s="338"/>
    </row>
    <row r="90" spans="3:6" ht="0.5" customHeight="1">
      <c r="C90" s="346" t="s">
        <v>634</v>
      </c>
      <c r="D90" s="347"/>
      <c r="E90" s="347"/>
      <c r="F90" s="338"/>
    </row>
    <row r="91" spans="3:6" ht="0.5" customHeight="1">
      <c r="C91" s="346" t="s">
        <v>113</v>
      </c>
      <c r="D91" s="347">
        <v>0.22017999999999999</v>
      </c>
      <c r="E91" s="347"/>
      <c r="F91" s="338"/>
    </row>
    <row r="92" spans="3:6" ht="0.5" customHeight="1">
      <c r="C92" s="346" t="s">
        <v>45</v>
      </c>
      <c r="D92" s="347"/>
      <c r="E92" s="347">
        <v>1.07673</v>
      </c>
      <c r="F92" s="338"/>
    </row>
    <row r="93" spans="3:6" ht="0.5" customHeight="1">
      <c r="C93" s="346" t="s">
        <v>46</v>
      </c>
      <c r="D93" s="347">
        <v>0.20705000000000001</v>
      </c>
      <c r="E93" s="347"/>
      <c r="F93" s="338"/>
    </row>
    <row r="94" spans="3:6" ht="0.5" customHeight="1">
      <c r="C94" s="346" t="s">
        <v>657</v>
      </c>
      <c r="D94" s="347"/>
      <c r="E94" s="347"/>
      <c r="F94" s="338"/>
    </row>
    <row r="95" spans="3:6" ht="0.5" customHeight="1">
      <c r="C95" s="346" t="s">
        <v>47</v>
      </c>
      <c r="D95" s="347"/>
      <c r="E95" s="347">
        <v>0.37938</v>
      </c>
      <c r="F95" s="338"/>
    </row>
    <row r="96" spans="3:6" ht="0.5" customHeight="1">
      <c r="C96" s="346" t="s">
        <v>69</v>
      </c>
      <c r="D96" s="347">
        <v>0.40887000000000001</v>
      </c>
      <c r="E96" s="347">
        <v>0.16169</v>
      </c>
      <c r="F96" s="338"/>
    </row>
    <row r="97" spans="3:6" ht="0.5" customHeight="1">
      <c r="C97" s="346" t="s">
        <v>70</v>
      </c>
      <c r="D97" s="347"/>
      <c r="E97" s="347"/>
      <c r="F97" s="338"/>
    </row>
    <row r="98" spans="3:6" ht="0.5" customHeight="1">
      <c r="C98" s="346" t="s">
        <v>50</v>
      </c>
      <c r="D98" s="347"/>
      <c r="E98" s="347">
        <v>0.97428999999999999</v>
      </c>
      <c r="F98" s="338"/>
    </row>
    <row r="99" spans="3:6" ht="0.5" customHeight="1">
      <c r="C99" s="346" t="s">
        <v>71</v>
      </c>
      <c r="D99" s="347">
        <v>1.04423</v>
      </c>
      <c r="E99" s="347">
        <v>1.05481</v>
      </c>
      <c r="F99" s="338"/>
    </row>
    <row r="100" spans="3:6" ht="0.5" customHeight="1">
      <c r="C100" s="346" t="s">
        <v>52</v>
      </c>
      <c r="D100" s="347">
        <v>0.60419</v>
      </c>
      <c r="E100" s="347"/>
      <c r="F100" s="338"/>
    </row>
    <row r="101" spans="3:6" ht="0.5" customHeight="1">
      <c r="C101" s="346" t="s">
        <v>53</v>
      </c>
      <c r="D101" s="347"/>
      <c r="E101" s="347"/>
      <c r="F101" s="338"/>
    </row>
    <row r="102" spans="3:6" ht="0.5" customHeight="1">
      <c r="C102" s="346" t="s">
        <v>54</v>
      </c>
      <c r="D102" s="347">
        <v>1.15008</v>
      </c>
      <c r="E102" s="347">
        <v>0.64561000000000002</v>
      </c>
      <c r="F102" s="338"/>
    </row>
    <row r="103" spans="3:6" ht="0.5" customHeight="1">
      <c r="C103" s="346" t="s">
        <v>55</v>
      </c>
      <c r="D103" s="347">
        <v>0.71633000000000002</v>
      </c>
      <c r="E103" s="347">
        <v>1.09711</v>
      </c>
      <c r="F103" s="338"/>
    </row>
    <row r="104" spans="3:6" ht="0.5" customHeight="1">
      <c r="C104" s="346" t="s">
        <v>56</v>
      </c>
      <c r="D104" s="347">
        <v>0.69145999999999996</v>
      </c>
      <c r="E104" s="347">
        <v>0.49518000000000001</v>
      </c>
      <c r="F104" s="338"/>
    </row>
    <row r="105" spans="3:6" ht="0.5" customHeight="1">
      <c r="C105" s="346" t="s">
        <v>885</v>
      </c>
      <c r="D105" s="347"/>
      <c r="E105" s="347"/>
      <c r="F105" s="338"/>
    </row>
    <row r="106" spans="3:6" ht="0.5" customHeight="1">
      <c r="C106" s="346" t="s">
        <v>886</v>
      </c>
      <c r="D106" s="347"/>
      <c r="E106" s="347"/>
      <c r="F106" s="338"/>
    </row>
    <row r="107" spans="3:6" ht="0.5" customHeight="1">
      <c r="C107" s="346" t="s">
        <v>887</v>
      </c>
      <c r="D107" s="347"/>
      <c r="E107" s="347"/>
      <c r="F107" s="338"/>
    </row>
    <row r="108" spans="3:6" ht="0.5" customHeight="1">
      <c r="C108" s="346" t="s">
        <v>745</v>
      </c>
      <c r="D108" s="347"/>
      <c r="E108" s="347"/>
      <c r="F108" s="338"/>
    </row>
    <row r="109" spans="3:6" ht="0.5" customHeight="1"/>
    <row r="110" spans="3:6" ht="0.5" customHeight="1"/>
    <row r="111" spans="3:6" ht="0.5" customHeight="1">
      <c r="C111" s="334" t="s">
        <v>888</v>
      </c>
    </row>
  </sheetData>
  <mergeCells count="1">
    <mergeCell ref="B27:L27"/>
  </mergeCells>
  <pageMargins left="0.7" right="0.7" top="0.75" bottom="0.75" header="0.3" footer="0.3"/>
  <pageSetup scale="77" orientation="portrait" horizontalDpi="4294967292" verticalDpi="4294967292"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zoomScaleNormal="100" zoomScaleSheetLayoutView="100" workbookViewId="0"/>
  </sheetViews>
  <sheetFormatPr defaultColWidth="8.81640625" defaultRowHeight="14.5"/>
  <cols>
    <col min="1" max="1" width="3.54296875" style="2" customWidth="1"/>
    <col min="2" max="13" width="8.81640625" style="2"/>
    <col min="14" max="14" width="3.7265625" style="2" customWidth="1"/>
    <col min="15" max="16384" width="8.81640625" style="2"/>
  </cols>
  <sheetData>
    <row r="1" spans="1:14">
      <c r="A1" s="201"/>
      <c r="B1" s="201"/>
      <c r="C1" s="201"/>
      <c r="D1" s="201"/>
      <c r="E1" s="201"/>
      <c r="F1" s="201"/>
      <c r="G1" s="201"/>
      <c r="H1" s="201"/>
      <c r="I1" s="201"/>
      <c r="J1" s="201"/>
      <c r="K1" s="201"/>
      <c r="L1" s="201"/>
      <c r="M1" s="201"/>
      <c r="N1" s="201"/>
    </row>
    <row r="2" spans="1:14" ht="17.5">
      <c r="A2" s="201"/>
      <c r="B2" s="132" t="s">
        <v>889</v>
      </c>
      <c r="C2" s="201"/>
      <c r="D2" s="201"/>
      <c r="E2" s="201"/>
      <c r="F2" s="201"/>
      <c r="G2" s="201"/>
      <c r="H2" s="201"/>
      <c r="I2" s="201"/>
      <c r="J2" s="201"/>
      <c r="K2" s="201"/>
      <c r="L2" s="201"/>
      <c r="M2" s="201"/>
      <c r="N2" s="201"/>
    </row>
    <row r="3" spans="1:14">
      <c r="A3" s="201"/>
      <c r="B3" s="201"/>
      <c r="C3" s="201"/>
      <c r="D3" s="201"/>
      <c r="E3" s="201"/>
      <c r="F3" s="201"/>
      <c r="G3" s="201"/>
      <c r="H3" s="201"/>
      <c r="I3" s="201"/>
      <c r="J3" s="201"/>
      <c r="K3" s="201"/>
      <c r="L3" s="201"/>
      <c r="M3" s="201"/>
      <c r="N3" s="201"/>
    </row>
    <row r="4" spans="1:14">
      <c r="A4" s="201"/>
      <c r="B4" s="201"/>
      <c r="C4" s="201"/>
      <c r="D4" s="201"/>
      <c r="E4" s="201"/>
      <c r="F4" s="201"/>
      <c r="G4" s="201"/>
      <c r="H4" s="201"/>
      <c r="I4" s="201"/>
      <c r="J4" s="201"/>
      <c r="K4" s="201"/>
      <c r="L4" s="201"/>
      <c r="M4" s="201"/>
      <c r="N4" s="201"/>
    </row>
    <row r="5" spans="1:14">
      <c r="A5" s="201"/>
      <c r="B5" s="201"/>
      <c r="C5" s="201"/>
      <c r="D5" s="201"/>
      <c r="E5" s="201"/>
      <c r="F5" s="201"/>
      <c r="G5" s="201"/>
      <c r="H5" s="201"/>
      <c r="I5" s="201"/>
      <c r="J5" s="201"/>
      <c r="K5" s="201"/>
      <c r="L5" s="201"/>
      <c r="M5" s="201"/>
      <c r="N5" s="201"/>
    </row>
    <row r="6" spans="1:14">
      <c r="A6" s="201"/>
      <c r="B6" s="201"/>
      <c r="C6" s="201"/>
      <c r="D6" s="201"/>
      <c r="E6" s="201"/>
      <c r="F6" s="201"/>
      <c r="G6" s="201"/>
      <c r="H6" s="201"/>
      <c r="I6" s="201"/>
      <c r="J6" s="201"/>
      <c r="K6" s="201"/>
      <c r="L6" s="201"/>
      <c r="M6" s="201"/>
      <c r="N6" s="201"/>
    </row>
    <row r="7" spans="1:14">
      <c r="A7" s="201"/>
      <c r="B7" s="201"/>
      <c r="C7" s="201"/>
      <c r="D7" s="201"/>
      <c r="E7" s="201"/>
      <c r="F7" s="201"/>
      <c r="G7" s="201"/>
      <c r="H7" s="201"/>
      <c r="I7" s="201"/>
      <c r="J7" s="201"/>
      <c r="K7" s="201"/>
      <c r="L7" s="201"/>
      <c r="M7" s="201"/>
      <c r="N7" s="201"/>
    </row>
    <row r="8" spans="1:14">
      <c r="A8" s="201"/>
      <c r="B8" s="201"/>
      <c r="C8" s="201"/>
      <c r="D8" s="201"/>
      <c r="E8" s="201"/>
      <c r="F8" s="201"/>
      <c r="G8" s="201"/>
      <c r="H8" s="201"/>
      <c r="I8" s="201"/>
      <c r="J8" s="201"/>
      <c r="K8" s="201"/>
      <c r="L8" s="201"/>
      <c r="M8" s="201"/>
      <c r="N8" s="201"/>
    </row>
    <row r="9" spans="1:14">
      <c r="A9" s="201"/>
      <c r="B9" s="201"/>
      <c r="C9" s="201"/>
      <c r="D9" s="201"/>
      <c r="E9" s="201"/>
      <c r="F9" s="201"/>
      <c r="G9" s="201"/>
      <c r="H9" s="201"/>
      <c r="I9" s="201"/>
      <c r="J9" s="201"/>
      <c r="K9" s="201"/>
      <c r="L9" s="201"/>
      <c r="M9" s="201"/>
      <c r="N9" s="201"/>
    </row>
    <row r="10" spans="1:14">
      <c r="A10" s="201"/>
      <c r="B10" s="201"/>
      <c r="C10" s="201"/>
      <c r="D10" s="201"/>
      <c r="E10" s="201"/>
      <c r="F10" s="201"/>
      <c r="G10" s="201"/>
      <c r="H10" s="201"/>
      <c r="I10" s="201"/>
      <c r="J10" s="201"/>
      <c r="K10" s="201"/>
      <c r="L10" s="201"/>
      <c r="M10" s="201"/>
      <c r="N10" s="201"/>
    </row>
    <row r="11" spans="1:14">
      <c r="A11" s="201"/>
      <c r="B11" s="201"/>
      <c r="C11" s="201"/>
      <c r="D11" s="201"/>
      <c r="E11" s="201"/>
      <c r="F11" s="201"/>
      <c r="G11" s="201"/>
      <c r="H11" s="201"/>
      <c r="I11" s="201"/>
      <c r="J11" s="201"/>
      <c r="K11" s="201"/>
      <c r="L11" s="201"/>
      <c r="M11" s="201"/>
      <c r="N11" s="201"/>
    </row>
    <row r="12" spans="1:14">
      <c r="A12" s="201"/>
      <c r="B12" s="201"/>
      <c r="C12" s="201"/>
      <c r="D12" s="201"/>
      <c r="E12" s="201"/>
      <c r="F12" s="201"/>
      <c r="G12" s="201"/>
      <c r="H12" s="201"/>
      <c r="I12" s="201"/>
      <c r="J12" s="201"/>
      <c r="K12" s="201"/>
      <c r="L12" s="201"/>
      <c r="M12" s="201"/>
      <c r="N12" s="201"/>
    </row>
    <row r="13" spans="1:14">
      <c r="A13" s="201"/>
      <c r="B13" s="201"/>
      <c r="C13" s="201"/>
      <c r="D13" s="201"/>
      <c r="E13" s="201"/>
      <c r="F13" s="201"/>
      <c r="G13" s="201"/>
      <c r="H13" s="201"/>
      <c r="I13" s="201"/>
      <c r="J13" s="201"/>
      <c r="K13" s="201"/>
      <c r="L13" s="201"/>
      <c r="M13" s="201"/>
      <c r="N13" s="201"/>
    </row>
    <row r="14" spans="1:14">
      <c r="A14" s="201"/>
      <c r="B14" s="201"/>
      <c r="C14" s="201"/>
      <c r="D14" s="201"/>
      <c r="E14" s="201"/>
      <c r="F14" s="201"/>
      <c r="G14" s="201"/>
      <c r="H14" s="201"/>
      <c r="I14" s="201"/>
      <c r="J14" s="201"/>
      <c r="K14" s="201"/>
      <c r="L14" s="201"/>
      <c r="M14" s="201"/>
      <c r="N14" s="201"/>
    </row>
    <row r="15" spans="1:14">
      <c r="A15" s="201"/>
      <c r="B15" s="201"/>
      <c r="C15" s="201"/>
      <c r="D15" s="201"/>
      <c r="E15" s="201"/>
      <c r="F15" s="201"/>
      <c r="G15" s="201"/>
      <c r="H15" s="201"/>
      <c r="I15" s="201"/>
      <c r="J15" s="201"/>
      <c r="K15" s="201"/>
      <c r="L15" s="201"/>
      <c r="M15" s="201"/>
      <c r="N15" s="201"/>
    </row>
    <row r="16" spans="1:14">
      <c r="A16" s="201"/>
      <c r="B16" s="201"/>
      <c r="C16" s="201"/>
      <c r="D16" s="201"/>
      <c r="E16" s="201"/>
      <c r="F16" s="201"/>
      <c r="G16" s="201"/>
      <c r="H16" s="201"/>
      <c r="I16" s="201"/>
      <c r="J16" s="201"/>
      <c r="K16" s="201"/>
      <c r="L16" s="201"/>
      <c r="M16" s="201"/>
      <c r="N16" s="201"/>
    </row>
    <row r="17" spans="1:14">
      <c r="A17" s="201"/>
      <c r="B17" s="201"/>
      <c r="C17" s="201"/>
      <c r="D17" s="201"/>
      <c r="E17" s="201"/>
      <c r="F17" s="201"/>
      <c r="G17" s="201"/>
      <c r="H17" s="201"/>
      <c r="I17" s="201"/>
      <c r="J17" s="201"/>
      <c r="K17" s="201"/>
      <c r="L17" s="201"/>
      <c r="M17" s="201"/>
      <c r="N17" s="201"/>
    </row>
    <row r="18" spans="1:14">
      <c r="A18" s="201"/>
      <c r="B18" s="201"/>
      <c r="C18" s="201"/>
      <c r="D18" s="201"/>
      <c r="E18" s="201"/>
      <c r="F18" s="201"/>
      <c r="G18" s="201"/>
      <c r="H18" s="201"/>
      <c r="I18" s="201"/>
      <c r="J18" s="201"/>
      <c r="K18" s="201"/>
      <c r="L18" s="201"/>
      <c r="M18" s="201"/>
      <c r="N18" s="201"/>
    </row>
    <row r="19" spans="1:14">
      <c r="A19" s="201"/>
      <c r="B19" s="201"/>
      <c r="C19" s="201"/>
      <c r="D19" s="201"/>
      <c r="E19" s="201"/>
      <c r="F19" s="201"/>
      <c r="G19" s="201"/>
      <c r="H19" s="201"/>
      <c r="I19" s="201"/>
      <c r="J19" s="201"/>
      <c r="K19" s="201"/>
      <c r="L19" s="201"/>
      <c r="M19" s="201"/>
      <c r="N19" s="201"/>
    </row>
    <row r="20" spans="1:14">
      <c r="A20" s="201"/>
      <c r="B20" s="201"/>
      <c r="C20" s="201"/>
      <c r="D20" s="201"/>
      <c r="E20" s="201"/>
      <c r="F20" s="201"/>
      <c r="G20" s="201"/>
      <c r="H20" s="201"/>
      <c r="I20" s="201"/>
      <c r="J20" s="201"/>
      <c r="K20" s="201"/>
      <c r="L20" s="201"/>
      <c r="M20" s="201"/>
      <c r="N20" s="201"/>
    </row>
    <row r="21" spans="1:14">
      <c r="A21" s="201"/>
      <c r="B21" s="201"/>
      <c r="C21" s="201"/>
      <c r="D21" s="201"/>
      <c r="E21" s="201"/>
      <c r="F21" s="201"/>
      <c r="G21" s="201"/>
      <c r="H21" s="201"/>
      <c r="I21" s="201"/>
      <c r="J21" s="201"/>
      <c r="K21" s="201"/>
      <c r="L21" s="201"/>
      <c r="M21" s="201"/>
      <c r="N21" s="201"/>
    </row>
    <row r="22" spans="1:14">
      <c r="A22" s="201"/>
      <c r="B22" s="201"/>
      <c r="C22" s="201"/>
      <c r="D22" s="201"/>
      <c r="E22" s="201"/>
      <c r="F22" s="201"/>
      <c r="G22" s="201"/>
      <c r="H22" s="201"/>
      <c r="I22" s="201"/>
      <c r="J22" s="201"/>
      <c r="K22" s="201"/>
      <c r="L22" s="201"/>
      <c r="M22" s="201"/>
      <c r="N22" s="201"/>
    </row>
    <row r="23" spans="1:14">
      <c r="A23" s="201"/>
      <c r="B23" s="201"/>
      <c r="C23" s="201"/>
      <c r="D23" s="201"/>
      <c r="E23" s="201"/>
      <c r="F23" s="201"/>
      <c r="G23" s="201"/>
      <c r="H23" s="201"/>
      <c r="I23" s="201"/>
      <c r="J23" s="201"/>
      <c r="K23" s="201"/>
      <c r="L23" s="201"/>
      <c r="M23" s="201"/>
      <c r="N23" s="201"/>
    </row>
    <row r="24" spans="1:14">
      <c r="A24" s="201"/>
      <c r="B24" s="201"/>
      <c r="C24" s="201"/>
      <c r="D24" s="201"/>
      <c r="E24" s="201"/>
      <c r="F24" s="201"/>
      <c r="G24" s="201"/>
      <c r="H24" s="201"/>
      <c r="I24" s="201"/>
      <c r="J24" s="201"/>
      <c r="K24" s="201"/>
      <c r="L24" s="201"/>
      <c r="M24" s="201"/>
      <c r="N24" s="201"/>
    </row>
    <row r="25" spans="1:14" ht="38.25" customHeight="1">
      <c r="A25" s="201"/>
      <c r="B25" s="470" t="s">
        <v>890</v>
      </c>
      <c r="C25" s="470"/>
      <c r="D25" s="470"/>
      <c r="E25" s="470"/>
      <c r="F25" s="470"/>
      <c r="G25" s="470"/>
      <c r="H25" s="470"/>
      <c r="I25" s="470"/>
      <c r="J25" s="470"/>
      <c r="K25" s="470"/>
      <c r="L25" s="470"/>
      <c r="M25" s="470"/>
      <c r="N25" s="201"/>
    </row>
    <row r="28" spans="1:14" ht="0.5" customHeight="1">
      <c r="B28" s="2" t="s">
        <v>31</v>
      </c>
      <c r="C28" s="139" t="s">
        <v>891</v>
      </c>
      <c r="D28" s="139" t="s">
        <v>892</v>
      </c>
    </row>
    <row r="29" spans="1:14" ht="0.5" customHeight="1">
      <c r="B29" s="2" t="s">
        <v>40</v>
      </c>
      <c r="C29" s="351">
        <v>71.390110000000007</v>
      </c>
      <c r="D29" s="351">
        <v>73.967879999999994</v>
      </c>
    </row>
    <row r="30" spans="1:14" ht="0.5" customHeight="1">
      <c r="B30" s="2" t="s">
        <v>41</v>
      </c>
      <c r="C30" s="351">
        <v>49.425910000000002</v>
      </c>
      <c r="D30" s="351">
        <v>68.536810000000003</v>
      </c>
    </row>
    <row r="31" spans="1:14" ht="0.5" customHeight="1">
      <c r="B31" s="2" t="s">
        <v>43</v>
      </c>
      <c r="C31" s="351">
        <v>64.82253</v>
      </c>
      <c r="D31" s="351">
        <v>66.968689999999995</v>
      </c>
    </row>
    <row r="32" spans="1:14" ht="0.5" customHeight="1">
      <c r="B32" s="2" t="s">
        <v>56</v>
      </c>
      <c r="C32" s="351">
        <v>39.190339999999999</v>
      </c>
      <c r="D32" s="351">
        <v>66.224770000000007</v>
      </c>
    </row>
    <row r="33" spans="2:5" ht="0.5" customHeight="1">
      <c r="B33" s="2" t="s">
        <v>50</v>
      </c>
      <c r="C33" s="351">
        <v>19.624300000000002</v>
      </c>
      <c r="D33" s="351">
        <v>34.774430000000002</v>
      </c>
    </row>
    <row r="34" spans="2:5" ht="0.5" customHeight="1">
      <c r="B34" s="2" t="s">
        <v>42</v>
      </c>
      <c r="C34" s="351">
        <v>45.07273</v>
      </c>
      <c r="D34" s="351">
        <v>33.937649999999998</v>
      </c>
    </row>
    <row r="35" spans="2:5" ht="0.5" customHeight="1">
      <c r="B35" s="2" t="s">
        <v>52</v>
      </c>
      <c r="C35" s="351">
        <v>27.497250000000001</v>
      </c>
      <c r="D35" s="351">
        <v>31.43214</v>
      </c>
    </row>
    <row r="36" spans="2:5" ht="0.5" customHeight="1">
      <c r="B36" s="2" t="s">
        <v>36</v>
      </c>
      <c r="C36" s="351">
        <v>20.973510000000001</v>
      </c>
      <c r="D36" s="351">
        <v>21.947189999999999</v>
      </c>
    </row>
    <row r="37" spans="2:5" ht="0.5" customHeight="1">
      <c r="B37" s="2" t="s">
        <v>893</v>
      </c>
    </row>
    <row r="38" spans="2:5" ht="0.5" customHeight="1">
      <c r="B38" s="2" t="s">
        <v>894</v>
      </c>
    </row>
    <row r="43" spans="2:5" ht="0.5" customHeight="1">
      <c r="B43" s="2" t="s">
        <v>895</v>
      </c>
    </row>
    <row r="44" spans="2:5" ht="0.5" customHeight="1">
      <c r="B44" s="2" t="s">
        <v>896</v>
      </c>
      <c r="C44" s="2" t="s">
        <v>897</v>
      </c>
      <c r="D44" s="2" t="s">
        <v>898</v>
      </c>
      <c r="E44" s="352" t="s">
        <v>899</v>
      </c>
    </row>
    <row r="45" spans="2:5" ht="0.5" customHeight="1">
      <c r="B45" s="2" t="s">
        <v>900</v>
      </c>
      <c r="C45" s="2" t="s">
        <v>901</v>
      </c>
      <c r="D45" s="2" t="s">
        <v>902</v>
      </c>
      <c r="E45" s="352">
        <v>94719</v>
      </c>
    </row>
    <row r="46" spans="2:5" ht="0.5" customHeight="1">
      <c r="B46" s="2" t="s">
        <v>903</v>
      </c>
      <c r="C46" s="2" t="s">
        <v>904</v>
      </c>
      <c r="D46" s="2" t="s">
        <v>905</v>
      </c>
      <c r="E46" s="352" t="s">
        <v>906</v>
      </c>
    </row>
    <row r="47" spans="2:5" ht="0.5" customHeight="1">
      <c r="B47" s="2" t="s">
        <v>907</v>
      </c>
      <c r="C47" s="2" t="s">
        <v>908</v>
      </c>
      <c r="D47" s="2" t="s">
        <v>909</v>
      </c>
      <c r="E47" s="352">
        <v>53681</v>
      </c>
    </row>
    <row r="48" spans="2:5" ht="0.5" customHeight="1">
      <c r="B48" s="2" t="s">
        <v>910</v>
      </c>
      <c r="C48" s="2" t="s">
        <v>911</v>
      </c>
      <c r="D48" s="2" t="s">
        <v>912</v>
      </c>
      <c r="E48" s="352" t="s">
        <v>913</v>
      </c>
    </row>
    <row r="49" spans="2:5" ht="0.5" customHeight="1">
      <c r="B49" s="2" t="s">
        <v>914</v>
      </c>
      <c r="C49" s="2" t="s">
        <v>915</v>
      </c>
      <c r="D49" s="2" t="s">
        <v>916</v>
      </c>
      <c r="E49" s="352">
        <v>77443</v>
      </c>
    </row>
    <row r="50" spans="2:5" ht="0.5" customHeight="1">
      <c r="B50" s="2" t="s">
        <v>917</v>
      </c>
      <c r="C50" s="2" t="s">
        <v>918</v>
      </c>
      <c r="D50" s="2" t="s">
        <v>919</v>
      </c>
      <c r="E50" s="352" t="s">
        <v>920</v>
      </c>
    </row>
    <row r="51" spans="2:5" ht="0.5" customHeight="1">
      <c r="B51" s="2" t="s">
        <v>921</v>
      </c>
      <c r="C51" s="2" t="s">
        <v>922</v>
      </c>
      <c r="D51" s="2" t="s">
        <v>923</v>
      </c>
      <c r="E51" s="352">
        <v>96788</v>
      </c>
    </row>
    <row r="52" spans="2:5" ht="0.5" customHeight="1">
      <c r="B52" s="2" t="s">
        <v>924</v>
      </c>
      <c r="C52" s="2" t="s">
        <v>925</v>
      </c>
      <c r="D52" s="2" t="s">
        <v>926</v>
      </c>
      <c r="E52" s="352" t="s">
        <v>927</v>
      </c>
    </row>
    <row r="53" spans="2:5" ht="0.5" customHeight="1">
      <c r="B53" s="2" t="s">
        <v>928</v>
      </c>
      <c r="C53" s="2" t="s">
        <v>929</v>
      </c>
      <c r="D53" s="2" t="s">
        <v>930</v>
      </c>
      <c r="E53" s="352">
        <v>43214</v>
      </c>
    </row>
    <row r="54" spans="2:5" ht="0.5" customHeight="1">
      <c r="B54" s="2" t="s">
        <v>931</v>
      </c>
      <c r="C54" s="2" t="s">
        <v>925</v>
      </c>
      <c r="D54" s="2" t="s">
        <v>932</v>
      </c>
      <c r="E54" s="352" t="s">
        <v>933</v>
      </c>
    </row>
    <row r="55" spans="2:5" ht="0.5" customHeight="1">
      <c r="B55" s="2" t="s">
        <v>934</v>
      </c>
      <c r="C55" s="2" t="s">
        <v>935</v>
      </c>
      <c r="D55" s="2" t="s">
        <v>936</v>
      </c>
      <c r="E55" s="352">
        <v>22477</v>
      </c>
    </row>
    <row r="56" spans="2:5" ht="0.5" customHeight="1">
      <c r="B56" s="2" t="s">
        <v>937</v>
      </c>
      <c r="C56" s="2" t="s">
        <v>938</v>
      </c>
      <c r="D56" s="2" t="s">
        <v>939</v>
      </c>
      <c r="E56" s="352" t="s">
        <v>940</v>
      </c>
    </row>
    <row r="57" spans="2:5" ht="0.5" customHeight="1">
      <c r="B57" s="2" t="s">
        <v>941</v>
      </c>
      <c r="C57" s="2" t="s">
        <v>942</v>
      </c>
      <c r="D57" s="2" t="s">
        <v>943</v>
      </c>
      <c r="E57" s="352">
        <v>93765</v>
      </c>
    </row>
    <row r="58" spans="2:5" ht="0.5" customHeight="1">
      <c r="B58" s="2" t="s">
        <v>944</v>
      </c>
      <c r="C58" s="2" t="s">
        <v>945</v>
      </c>
      <c r="D58" s="2" t="s">
        <v>946</v>
      </c>
      <c r="E58" s="352" t="s">
        <v>947</v>
      </c>
    </row>
    <row r="59" spans="2:5" ht="0.5" customHeight="1">
      <c r="B59" s="2" t="s">
        <v>948</v>
      </c>
      <c r="C59" s="2" t="s">
        <v>949</v>
      </c>
      <c r="D59" s="2" t="s">
        <v>950</v>
      </c>
      <c r="E59" s="352">
        <v>96869</v>
      </c>
    </row>
  </sheetData>
  <autoFilter ref="B28:D28">
    <sortState ref="B24:D33">
      <sortCondition descending="1" ref="D1"/>
    </sortState>
  </autoFilter>
  <mergeCells count="1">
    <mergeCell ref="B25:M25"/>
  </mergeCells>
  <pageMargins left="0.7" right="0.7" top="0.75" bottom="0.75" header="0.3" footer="0.3"/>
  <pageSetup scale="7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7"/>
  <sheetViews>
    <sheetView zoomScaleNormal="100" zoomScaleSheetLayoutView="80" workbookViewId="0">
      <selection activeCell="B1" sqref="B1"/>
    </sheetView>
  </sheetViews>
  <sheetFormatPr defaultColWidth="8.81640625" defaultRowHeight="14.5"/>
  <cols>
    <col min="1" max="1" width="3.1796875" style="323" customWidth="1"/>
    <col min="2" max="2" width="8.81640625" style="323"/>
    <col min="3" max="4" width="9.54296875" style="323" bestFit="1" customWidth="1"/>
    <col min="5" max="11" width="9.54296875" style="323" customWidth="1"/>
    <col min="12" max="13" width="9.54296875" style="323" bestFit="1" customWidth="1"/>
    <col min="14" max="14" width="9.54296875" style="2" bestFit="1" customWidth="1"/>
    <col min="15" max="15" width="4.453125" style="2" customWidth="1"/>
    <col min="16" max="24" width="9.54296875" style="323" bestFit="1" customWidth="1"/>
    <col min="25" max="25" width="1.7265625" style="324" customWidth="1"/>
    <col min="26" max="26" width="8.81640625" style="323"/>
    <col min="27" max="27" width="1.7265625" style="323" customWidth="1"/>
    <col min="28" max="28" width="8.81640625" style="323"/>
    <col min="29" max="29" width="2.453125" style="323" customWidth="1"/>
    <col min="30" max="30" width="6.81640625" style="323" bestFit="1" customWidth="1"/>
    <col min="31" max="31" width="1.453125" style="323" customWidth="1"/>
    <col min="32" max="32" width="9" style="323" bestFit="1" customWidth="1"/>
    <col min="33" max="33" width="1.26953125" style="323" customWidth="1"/>
    <col min="34" max="34" width="9" style="323" bestFit="1" customWidth="1"/>
    <col min="35" max="35" width="1.453125" style="323" customWidth="1"/>
    <col min="36" max="36" width="9" style="323" bestFit="1" customWidth="1"/>
    <col min="37" max="16384" width="8.81640625" style="323"/>
  </cols>
  <sheetData>
    <row r="1" spans="1:39">
      <c r="A1" s="201"/>
      <c r="B1" s="201"/>
      <c r="C1" s="201"/>
      <c r="D1" s="201"/>
      <c r="E1" s="201"/>
      <c r="F1" s="201"/>
      <c r="G1" s="201"/>
      <c r="H1" s="201"/>
      <c r="I1" s="201"/>
      <c r="J1" s="201"/>
      <c r="K1" s="201"/>
      <c r="L1" s="201"/>
      <c r="M1" s="201"/>
      <c r="N1" s="1"/>
      <c r="O1" s="1"/>
    </row>
    <row r="2" spans="1:39" ht="17.5">
      <c r="A2" s="201"/>
      <c r="B2" s="3" t="s">
        <v>951</v>
      </c>
      <c r="C2" s="201"/>
      <c r="D2" s="201"/>
      <c r="E2" s="201"/>
      <c r="F2" s="201"/>
      <c r="G2" s="201"/>
      <c r="H2" s="201"/>
      <c r="I2" s="201"/>
      <c r="J2" s="201"/>
      <c r="K2" s="201"/>
      <c r="L2" s="201"/>
      <c r="M2" s="201"/>
      <c r="N2" s="1"/>
      <c r="O2" s="1"/>
    </row>
    <row r="3" spans="1:39">
      <c r="A3" s="201"/>
      <c r="B3" s="201"/>
      <c r="C3" s="201"/>
      <c r="D3" s="201"/>
      <c r="E3" s="201"/>
      <c r="F3" s="201"/>
      <c r="G3" s="201"/>
      <c r="H3" s="201"/>
      <c r="I3" s="201"/>
      <c r="J3" s="201"/>
      <c r="K3" s="201"/>
      <c r="L3" s="201"/>
      <c r="M3" s="201"/>
      <c r="N3" s="1"/>
      <c r="O3" s="1"/>
    </row>
    <row r="4" spans="1:39">
      <c r="A4" s="201"/>
      <c r="B4" s="201"/>
      <c r="C4" s="201"/>
      <c r="D4" s="201"/>
      <c r="E4" s="201"/>
      <c r="F4" s="201"/>
      <c r="G4" s="201"/>
      <c r="H4" s="201"/>
      <c r="I4" s="201"/>
      <c r="J4" s="201"/>
      <c r="K4" s="201"/>
      <c r="L4" s="201"/>
      <c r="M4" s="201"/>
      <c r="N4" s="1"/>
      <c r="O4" s="1"/>
      <c r="Y4" s="353"/>
      <c r="AA4" s="354"/>
    </row>
    <row r="5" spans="1:39">
      <c r="A5" s="201"/>
      <c r="B5" s="201"/>
      <c r="C5" s="201"/>
      <c r="D5" s="201"/>
      <c r="E5" s="201"/>
      <c r="F5" s="201"/>
      <c r="G5" s="201"/>
      <c r="H5" s="201"/>
      <c r="I5" s="201"/>
      <c r="J5" s="201"/>
      <c r="K5" s="201"/>
      <c r="L5" s="201"/>
      <c r="M5" s="201"/>
      <c r="N5" s="1"/>
      <c r="O5" s="1"/>
    </row>
    <row r="6" spans="1:39">
      <c r="A6" s="201"/>
      <c r="B6" s="201"/>
      <c r="C6" s="201"/>
      <c r="D6" s="201"/>
      <c r="E6" s="201"/>
      <c r="F6" s="201"/>
      <c r="G6" s="201"/>
      <c r="H6" s="201"/>
      <c r="I6" s="201"/>
      <c r="J6" s="201"/>
      <c r="K6" s="201"/>
      <c r="L6" s="201"/>
      <c r="M6" s="201"/>
      <c r="N6" s="1"/>
      <c r="O6" s="1"/>
    </row>
    <row r="7" spans="1:39">
      <c r="A7" s="201"/>
      <c r="B7" s="201"/>
      <c r="C7" s="201"/>
      <c r="D7" s="201"/>
      <c r="E7" s="201"/>
      <c r="F7" s="201"/>
      <c r="G7" s="201"/>
      <c r="H7" s="201"/>
      <c r="I7" s="201"/>
      <c r="J7" s="201"/>
      <c r="K7" s="201"/>
      <c r="L7" s="201"/>
      <c r="M7" s="201"/>
      <c r="N7" s="1"/>
      <c r="O7" s="1"/>
    </row>
    <row r="8" spans="1:39">
      <c r="A8" s="201"/>
      <c r="B8" s="201"/>
      <c r="C8" s="201"/>
      <c r="D8" s="201"/>
      <c r="E8" s="201"/>
      <c r="F8" s="201"/>
      <c r="G8" s="201"/>
      <c r="H8" s="201"/>
      <c r="I8" s="201"/>
      <c r="J8" s="201"/>
      <c r="K8" s="201"/>
      <c r="L8" s="201"/>
      <c r="M8" s="201"/>
      <c r="N8" s="1"/>
      <c r="O8" s="1"/>
      <c r="P8" s="324"/>
      <c r="Q8" s="324"/>
      <c r="R8" s="324"/>
      <c r="AA8" s="324"/>
    </row>
    <row r="9" spans="1:39">
      <c r="A9" s="201"/>
      <c r="B9" s="201"/>
      <c r="C9" s="201"/>
      <c r="D9" s="201"/>
      <c r="E9" s="201"/>
      <c r="F9" s="201"/>
      <c r="G9" s="201"/>
      <c r="H9" s="201"/>
      <c r="I9" s="201"/>
      <c r="J9" s="201"/>
      <c r="K9" s="201"/>
      <c r="L9" s="201"/>
      <c r="M9" s="201"/>
      <c r="N9" s="1"/>
      <c r="O9" s="1"/>
      <c r="P9" s="324"/>
      <c r="Q9" s="324"/>
      <c r="R9" s="324"/>
      <c r="AA9" s="324"/>
    </row>
    <row r="10" spans="1:39">
      <c r="A10" s="201"/>
      <c r="B10" s="201"/>
      <c r="C10" s="201"/>
      <c r="D10" s="201"/>
      <c r="E10" s="201"/>
      <c r="F10" s="201"/>
      <c r="G10" s="201"/>
      <c r="H10" s="201"/>
      <c r="I10" s="201"/>
      <c r="J10" s="201"/>
      <c r="K10" s="201"/>
      <c r="L10" s="201"/>
      <c r="M10" s="201"/>
      <c r="N10" s="1"/>
      <c r="O10" s="1"/>
      <c r="P10" s="324"/>
      <c r="Q10" s="324"/>
      <c r="R10" s="324"/>
      <c r="AA10" s="324"/>
    </row>
    <row r="11" spans="1:39">
      <c r="A11" s="201"/>
      <c r="B11" s="201"/>
      <c r="C11" s="201"/>
      <c r="D11" s="201"/>
      <c r="E11" s="201"/>
      <c r="F11" s="201"/>
      <c r="G11" s="201"/>
      <c r="H11" s="201"/>
      <c r="I11" s="201"/>
      <c r="J11" s="201"/>
      <c r="K11" s="201"/>
      <c r="L11" s="201"/>
      <c r="M11" s="201"/>
      <c r="N11" s="1"/>
      <c r="O11" s="1"/>
      <c r="P11" s="324"/>
      <c r="Q11" s="324"/>
      <c r="R11" s="324"/>
      <c r="AK11" s="324"/>
      <c r="AM11" s="324"/>
    </row>
    <row r="12" spans="1:39">
      <c r="A12" s="201"/>
      <c r="B12" s="201"/>
      <c r="C12" s="201"/>
      <c r="D12" s="201"/>
      <c r="E12" s="201"/>
      <c r="F12" s="201"/>
      <c r="G12" s="201"/>
      <c r="H12" s="201"/>
      <c r="I12" s="201"/>
      <c r="J12" s="201"/>
      <c r="K12" s="201"/>
      <c r="L12" s="201"/>
      <c r="M12" s="201"/>
      <c r="N12" s="1"/>
      <c r="O12" s="1"/>
      <c r="P12" s="324"/>
      <c r="Q12" s="324"/>
      <c r="R12" s="324"/>
      <c r="AK12" s="324"/>
      <c r="AM12" s="324"/>
    </row>
    <row r="13" spans="1:39">
      <c r="A13" s="201"/>
      <c r="B13" s="201"/>
      <c r="C13" s="201"/>
      <c r="D13" s="201"/>
      <c r="E13" s="201"/>
      <c r="F13" s="201"/>
      <c r="G13" s="201"/>
      <c r="H13" s="201"/>
      <c r="I13" s="201"/>
      <c r="J13" s="201"/>
      <c r="K13" s="201"/>
      <c r="L13" s="201"/>
      <c r="M13" s="201"/>
      <c r="N13" s="1"/>
      <c r="O13" s="1"/>
      <c r="P13" s="324"/>
      <c r="Q13" s="324"/>
      <c r="R13" s="324"/>
      <c r="AK13" s="324"/>
      <c r="AM13" s="324"/>
    </row>
    <row r="14" spans="1:39">
      <c r="A14" s="201"/>
      <c r="B14" s="201"/>
      <c r="C14" s="201"/>
      <c r="D14" s="201"/>
      <c r="E14" s="201"/>
      <c r="F14" s="201"/>
      <c r="G14" s="201"/>
      <c r="H14" s="201"/>
      <c r="I14" s="201"/>
      <c r="J14" s="201"/>
      <c r="K14" s="201"/>
      <c r="L14" s="201"/>
      <c r="M14" s="201"/>
      <c r="N14" s="1"/>
      <c r="O14" s="1"/>
      <c r="P14" s="324"/>
      <c r="Q14" s="324"/>
      <c r="R14" s="324"/>
      <c r="AK14" s="324"/>
      <c r="AM14" s="324"/>
    </row>
    <row r="15" spans="1:39">
      <c r="A15" s="201"/>
      <c r="B15" s="201"/>
      <c r="C15" s="201"/>
      <c r="D15" s="201"/>
      <c r="E15" s="201"/>
      <c r="F15" s="201"/>
      <c r="G15" s="201"/>
      <c r="H15" s="201"/>
      <c r="I15" s="201"/>
      <c r="J15" s="201"/>
      <c r="K15" s="201"/>
      <c r="L15" s="201"/>
      <c r="M15" s="201"/>
      <c r="N15" s="1"/>
      <c r="O15" s="1"/>
      <c r="P15" s="324"/>
      <c r="Q15" s="324"/>
      <c r="R15" s="324"/>
      <c r="AK15" s="324"/>
      <c r="AM15" s="324"/>
    </row>
    <row r="16" spans="1:39">
      <c r="A16" s="201"/>
      <c r="B16" s="201"/>
      <c r="C16" s="201"/>
      <c r="D16" s="201"/>
      <c r="E16" s="201"/>
      <c r="F16" s="201"/>
      <c r="G16" s="201"/>
      <c r="H16" s="201"/>
      <c r="I16" s="201"/>
      <c r="J16" s="201"/>
      <c r="K16" s="201"/>
      <c r="L16" s="201"/>
      <c r="M16" s="201"/>
      <c r="N16" s="1"/>
      <c r="O16" s="1"/>
      <c r="P16" s="324"/>
      <c r="Q16" s="324"/>
      <c r="R16" s="324"/>
      <c r="AK16" s="324"/>
      <c r="AM16" s="324"/>
    </row>
    <row r="17" spans="1:39">
      <c r="A17" s="201"/>
      <c r="B17" s="201"/>
      <c r="C17" s="201"/>
      <c r="D17" s="201"/>
      <c r="E17" s="201"/>
      <c r="F17" s="201"/>
      <c r="G17" s="201"/>
      <c r="H17" s="201"/>
      <c r="I17" s="201"/>
      <c r="J17" s="201"/>
      <c r="K17" s="201"/>
      <c r="L17" s="201"/>
      <c r="M17" s="201"/>
      <c r="N17" s="1"/>
      <c r="O17" s="1"/>
      <c r="P17" s="324"/>
      <c r="Q17" s="324"/>
      <c r="R17" s="324"/>
      <c r="AK17" s="324"/>
      <c r="AM17" s="324"/>
    </row>
    <row r="18" spans="1:39">
      <c r="A18" s="201"/>
      <c r="B18" s="201"/>
      <c r="C18" s="201"/>
      <c r="D18" s="201"/>
      <c r="E18" s="201"/>
      <c r="F18" s="201"/>
      <c r="G18" s="201"/>
      <c r="H18" s="201"/>
      <c r="I18" s="201"/>
      <c r="J18" s="201"/>
      <c r="K18" s="201"/>
      <c r="L18" s="201"/>
      <c r="M18" s="201"/>
      <c r="N18" s="1"/>
      <c r="O18" s="1"/>
      <c r="P18" s="324"/>
      <c r="Q18" s="324"/>
      <c r="R18" s="324"/>
      <c r="AK18" s="324"/>
      <c r="AM18" s="324"/>
    </row>
    <row r="19" spans="1:39">
      <c r="A19" s="201"/>
      <c r="B19" s="201"/>
      <c r="C19" s="201"/>
      <c r="D19" s="201"/>
      <c r="E19" s="201"/>
      <c r="F19" s="201"/>
      <c r="G19" s="201"/>
      <c r="H19" s="201"/>
      <c r="I19" s="201"/>
      <c r="J19" s="201"/>
      <c r="K19" s="201"/>
      <c r="L19" s="201"/>
      <c r="M19" s="201"/>
      <c r="N19" s="1"/>
      <c r="O19" s="1"/>
      <c r="P19" s="324"/>
      <c r="Q19" s="324"/>
      <c r="R19" s="324"/>
      <c r="AK19" s="324"/>
      <c r="AM19" s="324"/>
    </row>
    <row r="20" spans="1:39">
      <c r="A20" s="201"/>
      <c r="B20" s="201"/>
      <c r="C20" s="201"/>
      <c r="D20" s="201"/>
      <c r="E20" s="201"/>
      <c r="F20" s="201"/>
      <c r="G20" s="201"/>
      <c r="H20" s="201"/>
      <c r="I20" s="201"/>
      <c r="J20" s="201"/>
      <c r="K20" s="201"/>
      <c r="L20" s="201"/>
      <c r="M20" s="201"/>
      <c r="N20" s="1"/>
      <c r="O20" s="1"/>
    </row>
    <row r="21" spans="1:39">
      <c r="A21" s="201"/>
      <c r="B21" s="201"/>
      <c r="C21" s="201"/>
      <c r="D21" s="201"/>
      <c r="E21" s="201"/>
      <c r="F21" s="201"/>
      <c r="G21" s="201"/>
      <c r="H21" s="201"/>
      <c r="I21" s="201"/>
      <c r="J21" s="201"/>
      <c r="K21" s="201"/>
      <c r="L21" s="201"/>
      <c r="M21" s="201"/>
      <c r="N21" s="1"/>
      <c r="O21" s="1"/>
    </row>
    <row r="22" spans="1:39">
      <c r="A22" s="201"/>
      <c r="B22" s="201"/>
      <c r="C22" s="201"/>
      <c r="D22" s="201"/>
      <c r="E22" s="201"/>
      <c r="F22" s="201"/>
      <c r="G22" s="201"/>
      <c r="H22" s="201"/>
      <c r="I22" s="201"/>
      <c r="J22" s="201"/>
      <c r="K22" s="201"/>
      <c r="L22" s="201"/>
      <c r="M22" s="201"/>
      <c r="N22" s="1"/>
      <c r="O22" s="1"/>
    </row>
    <row r="23" spans="1:39">
      <c r="A23" s="201"/>
      <c r="B23" s="201"/>
      <c r="C23" s="201"/>
      <c r="D23" s="201"/>
      <c r="E23" s="201"/>
      <c r="F23" s="201"/>
      <c r="G23" s="201"/>
      <c r="H23" s="201"/>
      <c r="I23" s="201"/>
      <c r="J23" s="201"/>
      <c r="K23" s="201"/>
      <c r="L23" s="201"/>
      <c r="M23" s="201"/>
      <c r="N23" s="1"/>
      <c r="O23" s="1"/>
    </row>
    <row r="24" spans="1:39" ht="3" customHeight="1">
      <c r="A24" s="201"/>
      <c r="B24" s="201"/>
      <c r="C24" s="201"/>
      <c r="D24" s="201"/>
      <c r="E24" s="201"/>
      <c r="F24" s="201"/>
      <c r="G24" s="201"/>
      <c r="H24" s="201"/>
      <c r="I24" s="201"/>
      <c r="J24" s="201"/>
      <c r="K24" s="201"/>
      <c r="L24" s="201"/>
      <c r="M24" s="201"/>
      <c r="N24" s="1"/>
      <c r="O24" s="1"/>
    </row>
    <row r="25" spans="1:39" ht="27" customHeight="1">
      <c r="A25" s="201"/>
      <c r="B25" s="470" t="s">
        <v>952</v>
      </c>
      <c r="C25" s="470"/>
      <c r="D25" s="470"/>
      <c r="E25" s="470"/>
      <c r="F25" s="470"/>
      <c r="G25" s="470"/>
      <c r="H25" s="470"/>
      <c r="I25" s="470"/>
      <c r="J25" s="470"/>
      <c r="K25" s="470"/>
      <c r="L25" s="470"/>
      <c r="M25" s="470"/>
      <c r="N25" s="470"/>
      <c r="O25" s="1"/>
    </row>
    <row r="27" spans="1:39" ht="14">
      <c r="N27" s="323"/>
      <c r="O27" s="323"/>
      <c r="P27" s="324"/>
      <c r="AA27" s="324"/>
    </row>
    <row r="34" spans="2:17" ht="1" customHeight="1">
      <c r="B34" s="325"/>
      <c r="C34" s="473" t="s">
        <v>36</v>
      </c>
      <c r="D34" s="473"/>
      <c r="E34" s="354" t="s">
        <v>52</v>
      </c>
      <c r="F34" s="474" t="s">
        <v>50</v>
      </c>
      <c r="G34" s="474"/>
      <c r="H34" s="473" t="s">
        <v>42</v>
      </c>
      <c r="I34" s="473"/>
      <c r="J34" s="473" t="s">
        <v>41</v>
      </c>
      <c r="K34" s="473"/>
      <c r="L34" s="473" t="s">
        <v>43</v>
      </c>
      <c r="M34" s="473"/>
      <c r="N34" s="473" t="s">
        <v>56</v>
      </c>
      <c r="O34" s="473"/>
      <c r="P34" s="473" t="s">
        <v>40</v>
      </c>
      <c r="Q34" s="473"/>
    </row>
    <row r="35" spans="2:17" ht="1" customHeight="1">
      <c r="B35" s="355"/>
      <c r="C35" s="356">
        <v>2003</v>
      </c>
      <c r="D35" s="356">
        <v>2014</v>
      </c>
      <c r="E35" s="356">
        <v>2014</v>
      </c>
      <c r="F35" s="356">
        <v>1998</v>
      </c>
      <c r="G35" s="356">
        <v>2014</v>
      </c>
      <c r="H35" s="356">
        <v>2002</v>
      </c>
      <c r="I35" s="357">
        <v>2014</v>
      </c>
      <c r="J35" s="356">
        <v>1998</v>
      </c>
      <c r="K35" s="356">
        <v>2013</v>
      </c>
      <c r="L35" s="357">
        <v>2001</v>
      </c>
      <c r="M35" s="357">
        <v>2014</v>
      </c>
      <c r="N35" s="356">
        <v>1998</v>
      </c>
      <c r="O35" s="356">
        <v>2014</v>
      </c>
      <c r="P35" s="356">
        <v>2000</v>
      </c>
      <c r="Q35" s="356">
        <v>2014</v>
      </c>
    </row>
    <row r="36" spans="2:17" ht="1" customHeight="1">
      <c r="B36" s="357" t="s">
        <v>953</v>
      </c>
      <c r="C36" s="358">
        <v>14.424630000000001</v>
      </c>
      <c r="D36" s="358">
        <v>15.79069</v>
      </c>
      <c r="E36" s="358">
        <v>17.350750000000001</v>
      </c>
      <c r="F36" s="358">
        <v>20.31429</v>
      </c>
      <c r="G36" s="358">
        <v>18.388780000000001</v>
      </c>
      <c r="H36" s="358">
        <v>50.78219</v>
      </c>
      <c r="I36" s="358">
        <v>31.00517</v>
      </c>
      <c r="J36" s="358">
        <v>33.119370000000004</v>
      </c>
      <c r="K36" s="358">
        <v>63.337040000000002</v>
      </c>
      <c r="L36" s="358">
        <v>37.654319999999998</v>
      </c>
      <c r="M36" s="358">
        <v>36.721310000000003</v>
      </c>
      <c r="N36" s="358">
        <v>18.181819999999998</v>
      </c>
      <c r="O36" s="358">
        <v>37.029710000000001</v>
      </c>
      <c r="P36" s="358">
        <v>60.47054</v>
      </c>
      <c r="Q36" s="358">
        <v>71.041489999999996</v>
      </c>
    </row>
    <row r="37" spans="2:17" ht="1" customHeight="1">
      <c r="B37" s="330" t="s">
        <v>873</v>
      </c>
      <c r="C37" s="331">
        <v>22.339020000000001</v>
      </c>
      <c r="D37" s="331">
        <v>21.853999999999999</v>
      </c>
      <c r="E37" s="331">
        <v>38.860100000000003</v>
      </c>
      <c r="F37" s="331">
        <v>23.038039999999999</v>
      </c>
      <c r="G37" s="331">
        <v>40.321779999999997</v>
      </c>
      <c r="H37" s="331">
        <v>64.251890000000003</v>
      </c>
      <c r="I37" s="331">
        <v>49.610970000000002</v>
      </c>
      <c r="J37" s="331">
        <v>41.317360000000001</v>
      </c>
      <c r="K37" s="331">
        <v>57.81006</v>
      </c>
      <c r="L37" s="331">
        <v>57.430729999999997</v>
      </c>
      <c r="M37" s="331">
        <v>59.465739999999997</v>
      </c>
      <c r="N37" s="331">
        <v>40.350879999999997</v>
      </c>
      <c r="O37" s="331">
        <v>66.390050000000002</v>
      </c>
      <c r="P37" s="331">
        <v>78.109970000000004</v>
      </c>
      <c r="Q37" s="331">
        <v>77.789280000000005</v>
      </c>
    </row>
  </sheetData>
  <mergeCells count="8">
    <mergeCell ref="P34:Q34"/>
    <mergeCell ref="B25:N25"/>
    <mergeCell ref="C34:D34"/>
    <mergeCell ref="F34:G34"/>
    <mergeCell ref="H34:I34"/>
    <mergeCell ref="J34:K34"/>
    <mergeCell ref="L34:M34"/>
    <mergeCell ref="N34:O34"/>
  </mergeCells>
  <pageMargins left="0.7" right="0.7" top="0.75" bottom="0.75" header="0.3" footer="0.3"/>
  <pageSetup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N160"/>
  <sheetViews>
    <sheetView zoomScaleNormal="100" zoomScaleSheetLayoutView="80" workbookViewId="0">
      <selection activeCell="B1" sqref="B1"/>
    </sheetView>
  </sheetViews>
  <sheetFormatPr defaultColWidth="9.1796875" defaultRowHeight="14"/>
  <cols>
    <col min="1" max="1" width="1.26953125" style="370" customWidth="1"/>
    <col min="2" max="2" width="10.81640625" style="370" customWidth="1"/>
    <col min="3" max="20" width="8.54296875" style="370" customWidth="1"/>
    <col min="21" max="16384" width="9.1796875" style="370"/>
  </cols>
  <sheetData>
    <row r="1" spans="2:20">
      <c r="G1" s="370" t="s">
        <v>1</v>
      </c>
    </row>
    <row r="2" spans="2:20" ht="15.5">
      <c r="B2" s="403" t="str">
        <f>'Country Selection'!C5</f>
        <v>Panama</v>
      </c>
      <c r="C2" s="403"/>
      <c r="D2" s="403"/>
      <c r="E2" s="403"/>
      <c r="F2" s="403"/>
      <c r="G2" s="403"/>
      <c r="H2" s="403"/>
      <c r="I2" s="403"/>
      <c r="J2" s="403"/>
      <c r="K2" s="403"/>
      <c r="L2" s="403"/>
      <c r="M2" s="403"/>
      <c r="N2" s="403"/>
      <c r="O2" s="403"/>
      <c r="P2" s="403"/>
      <c r="Q2" s="403"/>
      <c r="R2" s="403"/>
    </row>
    <row r="4" spans="2:20">
      <c r="B4" s="371" t="s">
        <v>419</v>
      </c>
    </row>
    <row r="6" spans="2:20">
      <c r="B6" s="402" t="str">
        <f>'Country Selection'!C5</f>
        <v>Panama</v>
      </c>
      <c r="C6" s="372" t="s">
        <v>405</v>
      </c>
      <c r="D6" s="372" t="s">
        <v>406</v>
      </c>
      <c r="E6" s="372" t="s">
        <v>407</v>
      </c>
      <c r="F6" s="372" t="s">
        <v>408</v>
      </c>
      <c r="G6" s="372" t="s">
        <v>409</v>
      </c>
      <c r="H6" s="372" t="s">
        <v>410</v>
      </c>
      <c r="I6" s="372" t="s">
        <v>411</v>
      </c>
      <c r="J6" s="372" t="s">
        <v>412</v>
      </c>
      <c r="K6" s="372" t="s">
        <v>413</v>
      </c>
      <c r="L6" s="372" t="s">
        <v>414</v>
      </c>
      <c r="M6" s="372" t="s">
        <v>415</v>
      </c>
      <c r="N6" s="372" t="s">
        <v>416</v>
      </c>
      <c r="O6" s="372" t="s">
        <v>417</v>
      </c>
      <c r="P6" s="372" t="s">
        <v>957</v>
      </c>
      <c r="Q6" s="372" t="s">
        <v>958</v>
      </c>
      <c r="R6" s="372" t="s">
        <v>959</v>
      </c>
      <c r="S6" s="372" t="s">
        <v>960</v>
      </c>
      <c r="T6" s="372" t="s">
        <v>961</v>
      </c>
    </row>
    <row r="7" spans="2:20">
      <c r="B7" s="402"/>
      <c r="C7" s="373" t="str">
        <f t="shared" ref="C7:T7" si="0">IF(VLOOKUP($B2,$B$103:$AF$127,C101,FALSE)=0,"",VLOOKUP($B2,$B$103:$AF$127,C101,FALSE))</f>
        <v/>
      </c>
      <c r="D7" s="373" t="str">
        <f t="shared" si="0"/>
        <v>Y</v>
      </c>
      <c r="E7" s="373" t="str">
        <f t="shared" si="0"/>
        <v>Y</v>
      </c>
      <c r="F7" s="373" t="str">
        <f t="shared" si="0"/>
        <v>Y</v>
      </c>
      <c r="G7" s="373" t="str">
        <f t="shared" si="0"/>
        <v>Y</v>
      </c>
      <c r="H7" s="373" t="str">
        <f t="shared" si="0"/>
        <v>Y</v>
      </c>
      <c r="I7" s="373" t="str">
        <f t="shared" si="0"/>
        <v>Y</v>
      </c>
      <c r="J7" s="373" t="str">
        <f t="shared" si="0"/>
        <v>Y</v>
      </c>
      <c r="K7" s="373" t="str">
        <f t="shared" si="0"/>
        <v/>
      </c>
      <c r="L7" s="373" t="str">
        <f t="shared" si="0"/>
        <v/>
      </c>
      <c r="M7" s="373" t="str">
        <f t="shared" si="0"/>
        <v/>
      </c>
      <c r="N7" s="373" t="str">
        <f t="shared" si="0"/>
        <v/>
      </c>
      <c r="O7" s="373" t="str">
        <f t="shared" si="0"/>
        <v/>
      </c>
      <c r="P7" s="373" t="str">
        <f t="shared" si="0"/>
        <v>Y</v>
      </c>
      <c r="Q7" s="373" t="str">
        <f t="shared" si="0"/>
        <v>Y</v>
      </c>
      <c r="R7" s="373" t="str">
        <f t="shared" si="0"/>
        <v/>
      </c>
      <c r="S7" s="373" t="str">
        <f t="shared" si="0"/>
        <v>Y</v>
      </c>
      <c r="T7" s="373" t="str">
        <f t="shared" si="0"/>
        <v>Y</v>
      </c>
    </row>
    <row r="8" spans="2:20">
      <c r="B8" s="402"/>
      <c r="C8" s="372" t="s">
        <v>962</v>
      </c>
      <c r="D8" s="372" t="s">
        <v>963</v>
      </c>
      <c r="E8" s="372" t="s">
        <v>964</v>
      </c>
      <c r="F8" s="372" t="s">
        <v>965</v>
      </c>
      <c r="G8" s="372" t="s">
        <v>966</v>
      </c>
      <c r="H8" s="372" t="s">
        <v>967</v>
      </c>
      <c r="I8" s="372" t="s">
        <v>968</v>
      </c>
      <c r="J8" s="372" t="s">
        <v>969</v>
      </c>
      <c r="K8" s="372" t="s">
        <v>970</v>
      </c>
      <c r="L8" s="372" t="s">
        <v>972</v>
      </c>
      <c r="M8" s="372" t="s">
        <v>973</v>
      </c>
      <c r="N8" s="372" t="s">
        <v>971</v>
      </c>
      <c r="O8" s="372" t="s">
        <v>1021</v>
      </c>
      <c r="P8" s="372" t="s">
        <v>1022</v>
      </c>
      <c r="Q8" s="372" t="s">
        <v>1023</v>
      </c>
      <c r="R8" s="372" t="s">
        <v>1024</v>
      </c>
      <c r="S8" s="372" t="s">
        <v>1025</v>
      </c>
    </row>
    <row r="9" spans="2:20" ht="14.5" thickBot="1">
      <c r="B9" s="402"/>
      <c r="C9" s="374" t="str">
        <f t="shared" ref="C9:S9" si="1">IF(VLOOKUP($B2,$B$103:$AK$127,U101,FALSE)=0,"",VLOOKUP($B2,$B$103:$AK$127,U101,FALSE))</f>
        <v>Y</v>
      </c>
      <c r="D9" s="374" t="str">
        <f t="shared" si="1"/>
        <v>Y</v>
      </c>
      <c r="E9" s="374" t="str">
        <f t="shared" si="1"/>
        <v/>
      </c>
      <c r="F9" s="374" t="str">
        <f t="shared" si="1"/>
        <v/>
      </c>
      <c r="G9" s="374" t="str">
        <f t="shared" si="1"/>
        <v/>
      </c>
      <c r="H9" s="374" t="str">
        <f t="shared" si="1"/>
        <v>Y</v>
      </c>
      <c r="I9" s="374" t="str">
        <f t="shared" si="1"/>
        <v/>
      </c>
      <c r="J9" s="374" t="str">
        <f t="shared" si="1"/>
        <v/>
      </c>
      <c r="K9" s="374" t="str">
        <f t="shared" si="1"/>
        <v/>
      </c>
      <c r="L9" s="374" t="str">
        <f t="shared" si="1"/>
        <v/>
      </c>
      <c r="M9" s="374" t="str">
        <f t="shared" si="1"/>
        <v/>
      </c>
      <c r="N9" s="374" t="str">
        <f t="shared" si="1"/>
        <v/>
      </c>
      <c r="O9" s="374" t="str">
        <f t="shared" si="1"/>
        <v/>
      </c>
      <c r="P9" s="374" t="str">
        <f t="shared" si="1"/>
        <v/>
      </c>
      <c r="Q9" s="374" t="str">
        <f t="shared" si="1"/>
        <v/>
      </c>
      <c r="R9" s="374" t="str">
        <f t="shared" si="1"/>
        <v/>
      </c>
      <c r="S9" s="374" t="str">
        <f t="shared" si="1"/>
        <v/>
      </c>
    </row>
    <row r="10" spans="2:20" ht="14.5" thickTop="1"/>
    <row r="11" spans="2:20">
      <c r="B11" s="371" t="s">
        <v>420</v>
      </c>
      <c r="I11" s="370" t="s">
        <v>1</v>
      </c>
    </row>
    <row r="14" spans="2:20" s="376" customFormat="1" ht="144" hidden="1" customHeight="1">
      <c r="B14" s="375">
        <v>1</v>
      </c>
      <c r="C14" s="401" t="str">
        <f>IF(VLOOKUP($B$2,$B$136:$BN$160,(B14+1),FALSE)=0,"",VLOOKUP($B$2,$B$136:$BN$160,(B14+1),FALSE))</f>
        <v/>
      </c>
      <c r="D14" s="401"/>
      <c r="E14" s="401"/>
      <c r="F14" s="401"/>
      <c r="G14" s="401"/>
      <c r="H14" s="401"/>
      <c r="I14" s="401"/>
      <c r="J14" s="401"/>
      <c r="K14" s="401"/>
      <c r="L14" s="401"/>
      <c r="M14" s="401"/>
      <c r="N14" s="401"/>
      <c r="O14" s="401"/>
      <c r="P14" s="401"/>
      <c r="Q14" s="401"/>
      <c r="R14" s="401"/>
    </row>
    <row r="15" spans="2:20" s="376" customFormat="1" ht="144" hidden="1" customHeight="1">
      <c r="B15" s="375">
        <v>2</v>
      </c>
      <c r="C15" s="401" t="str">
        <f t="shared" ref="C15:C77" si="2">IF(VLOOKUP($B$2,$B$136:$BN$160,(B15+1),FALSE)=0,"",VLOOKUP($B$2,$B$136:$BN$160,(B15+1),FALSE))</f>
        <v/>
      </c>
      <c r="D15" s="401"/>
      <c r="E15" s="401"/>
      <c r="F15" s="401"/>
      <c r="G15" s="401"/>
      <c r="H15" s="401"/>
      <c r="I15" s="401"/>
      <c r="J15" s="401"/>
      <c r="K15" s="401"/>
      <c r="L15" s="401"/>
      <c r="M15" s="401"/>
      <c r="N15" s="401"/>
      <c r="O15" s="401"/>
      <c r="P15" s="401"/>
      <c r="Q15" s="401"/>
      <c r="R15" s="401"/>
    </row>
    <row r="16" spans="2:20" s="376" customFormat="1" ht="144" hidden="1" customHeight="1">
      <c r="B16" s="375">
        <v>3</v>
      </c>
      <c r="C16" s="401" t="str">
        <f t="shared" si="2"/>
        <v/>
      </c>
      <c r="D16" s="401"/>
      <c r="E16" s="401"/>
      <c r="F16" s="401"/>
      <c r="G16" s="401"/>
      <c r="H16" s="401"/>
      <c r="I16" s="401"/>
      <c r="J16" s="401"/>
      <c r="K16" s="401"/>
      <c r="L16" s="401"/>
      <c r="M16" s="401"/>
      <c r="N16" s="401"/>
      <c r="O16" s="401"/>
      <c r="P16" s="401"/>
      <c r="Q16" s="401"/>
      <c r="R16" s="401"/>
    </row>
    <row r="17" spans="2:18" s="376" customFormat="1" ht="144" hidden="1" customHeight="1">
      <c r="B17" s="375">
        <v>4</v>
      </c>
      <c r="C17" s="401" t="str">
        <f t="shared" si="2"/>
        <v/>
      </c>
      <c r="D17" s="401"/>
      <c r="E17" s="401"/>
      <c r="F17" s="401"/>
      <c r="G17" s="401"/>
      <c r="H17" s="401"/>
      <c r="I17" s="401"/>
      <c r="J17" s="401"/>
      <c r="K17" s="401"/>
      <c r="L17" s="401"/>
      <c r="M17" s="401"/>
      <c r="N17" s="401"/>
      <c r="O17" s="401"/>
      <c r="P17" s="401"/>
      <c r="Q17" s="401"/>
      <c r="R17" s="401"/>
    </row>
    <row r="18" spans="2:18" s="376" customFormat="1" ht="144" hidden="1" customHeight="1">
      <c r="B18" s="375">
        <v>5</v>
      </c>
      <c r="C18" s="401" t="str">
        <f t="shared" si="2"/>
        <v/>
      </c>
      <c r="D18" s="401"/>
      <c r="E18" s="401"/>
      <c r="F18" s="401"/>
      <c r="G18" s="401"/>
      <c r="H18" s="401"/>
      <c r="I18" s="401"/>
      <c r="J18" s="401"/>
      <c r="K18" s="401"/>
      <c r="L18" s="401"/>
      <c r="M18" s="401"/>
      <c r="N18" s="401"/>
      <c r="O18" s="401"/>
      <c r="P18" s="401"/>
      <c r="Q18" s="401"/>
      <c r="R18" s="401"/>
    </row>
    <row r="19" spans="2:18" s="376" customFormat="1" ht="144" hidden="1" customHeight="1">
      <c r="B19" s="375">
        <v>6</v>
      </c>
      <c r="C19" s="401" t="str">
        <f t="shared" si="2"/>
        <v/>
      </c>
      <c r="D19" s="401"/>
      <c r="E19" s="401"/>
      <c r="F19" s="401"/>
      <c r="G19" s="401"/>
      <c r="H19" s="401"/>
      <c r="I19" s="401"/>
      <c r="J19" s="401"/>
      <c r="K19" s="401"/>
      <c r="L19" s="401"/>
      <c r="M19" s="401"/>
      <c r="N19" s="401"/>
      <c r="O19" s="401"/>
      <c r="P19" s="401"/>
      <c r="Q19" s="401"/>
      <c r="R19" s="401"/>
    </row>
    <row r="20" spans="2:18" s="376" customFormat="1" ht="144" hidden="1" customHeight="1">
      <c r="B20" s="375">
        <v>7</v>
      </c>
      <c r="C20" s="401" t="str">
        <f t="shared" si="2"/>
        <v/>
      </c>
      <c r="D20" s="401"/>
      <c r="E20" s="401"/>
      <c r="F20" s="401"/>
      <c r="G20" s="401"/>
      <c r="H20" s="401"/>
      <c r="I20" s="401"/>
      <c r="J20" s="401"/>
      <c r="K20" s="401"/>
      <c r="L20" s="401"/>
      <c r="M20" s="401"/>
      <c r="N20" s="401"/>
      <c r="O20" s="401"/>
      <c r="P20" s="401"/>
      <c r="Q20" s="401"/>
      <c r="R20" s="401"/>
    </row>
    <row r="21" spans="2:18" s="376" customFormat="1" ht="144" hidden="1" customHeight="1">
      <c r="B21" s="375">
        <v>8</v>
      </c>
      <c r="C21" s="401" t="str">
        <f t="shared" si="2"/>
        <v/>
      </c>
      <c r="D21" s="401"/>
      <c r="E21" s="401"/>
      <c r="F21" s="401"/>
      <c r="G21" s="401"/>
      <c r="H21" s="401"/>
      <c r="I21" s="401"/>
      <c r="J21" s="401"/>
      <c r="K21" s="401"/>
      <c r="L21" s="401"/>
      <c r="M21" s="401"/>
      <c r="N21" s="401"/>
      <c r="O21" s="401"/>
      <c r="P21" s="401"/>
      <c r="Q21" s="401"/>
      <c r="R21" s="401"/>
    </row>
    <row r="22" spans="2:18" s="376" customFormat="1" ht="144" hidden="1" customHeight="1">
      <c r="B22" s="375">
        <v>9</v>
      </c>
      <c r="C22" s="401" t="str">
        <f t="shared" si="2"/>
        <v/>
      </c>
      <c r="D22" s="401"/>
      <c r="E22" s="401"/>
      <c r="F22" s="401"/>
      <c r="G22" s="401"/>
      <c r="H22" s="401"/>
      <c r="I22" s="401"/>
      <c r="J22" s="401"/>
      <c r="K22" s="401"/>
      <c r="L22" s="401"/>
      <c r="M22" s="401"/>
      <c r="N22" s="401"/>
      <c r="O22" s="401"/>
      <c r="P22" s="401"/>
      <c r="Q22" s="401"/>
      <c r="R22" s="401"/>
    </row>
    <row r="23" spans="2:18" s="376" customFormat="1" ht="144" hidden="1" customHeight="1">
      <c r="B23" s="375">
        <v>10</v>
      </c>
      <c r="C23" s="401" t="str">
        <f t="shared" si="2"/>
        <v/>
      </c>
      <c r="D23" s="401"/>
      <c r="E23" s="401"/>
      <c r="F23" s="401"/>
      <c r="G23" s="401"/>
      <c r="H23" s="401"/>
      <c r="I23" s="401"/>
      <c r="J23" s="401"/>
      <c r="K23" s="401"/>
      <c r="L23" s="401"/>
      <c r="M23" s="401"/>
      <c r="N23" s="401"/>
      <c r="O23" s="401"/>
      <c r="P23" s="401"/>
      <c r="Q23" s="401"/>
      <c r="R23" s="401"/>
    </row>
    <row r="24" spans="2:18" s="376" customFormat="1" ht="144" hidden="1" customHeight="1">
      <c r="B24" s="375">
        <v>11</v>
      </c>
      <c r="C24" s="401" t="str">
        <f t="shared" si="2"/>
        <v/>
      </c>
      <c r="D24" s="401"/>
      <c r="E24" s="401"/>
      <c r="F24" s="401"/>
      <c r="G24" s="401"/>
      <c r="H24" s="401"/>
      <c r="I24" s="401"/>
      <c r="J24" s="401"/>
      <c r="K24" s="401"/>
      <c r="L24" s="401"/>
      <c r="M24" s="401"/>
      <c r="N24" s="401"/>
      <c r="O24" s="401"/>
      <c r="P24" s="401"/>
      <c r="Q24" s="401"/>
      <c r="R24" s="401"/>
    </row>
    <row r="25" spans="2:18" s="376" customFormat="1" ht="144" hidden="1" customHeight="1">
      <c r="B25" s="375">
        <v>12</v>
      </c>
      <c r="C25" s="401" t="str">
        <f t="shared" si="2"/>
        <v/>
      </c>
      <c r="D25" s="401"/>
      <c r="E25" s="401"/>
      <c r="F25" s="401"/>
      <c r="G25" s="401"/>
      <c r="H25" s="401"/>
      <c r="I25" s="401"/>
      <c r="J25" s="401"/>
      <c r="K25" s="401"/>
      <c r="L25" s="401"/>
      <c r="M25" s="401"/>
      <c r="N25" s="401"/>
      <c r="O25" s="401"/>
      <c r="P25" s="401"/>
      <c r="Q25" s="401"/>
      <c r="R25" s="401"/>
    </row>
    <row r="26" spans="2:18" s="376" customFormat="1" ht="144" hidden="1" customHeight="1">
      <c r="B26" s="375">
        <v>13</v>
      </c>
      <c r="C26" s="401" t="str">
        <f t="shared" si="2"/>
        <v/>
      </c>
      <c r="D26" s="401"/>
      <c r="E26" s="401"/>
      <c r="F26" s="401"/>
      <c r="G26" s="401"/>
      <c r="H26" s="401"/>
      <c r="I26" s="401"/>
      <c r="J26" s="401"/>
      <c r="K26" s="401"/>
      <c r="L26" s="401"/>
      <c r="M26" s="401"/>
      <c r="N26" s="401"/>
      <c r="O26" s="401"/>
      <c r="P26" s="401"/>
      <c r="Q26" s="401"/>
      <c r="R26" s="401"/>
    </row>
    <row r="27" spans="2:18" s="376" customFormat="1" ht="144" hidden="1" customHeight="1">
      <c r="B27" s="375">
        <v>14</v>
      </c>
      <c r="C27" s="401" t="str">
        <f t="shared" si="2"/>
        <v/>
      </c>
      <c r="D27" s="401"/>
      <c r="E27" s="401"/>
      <c r="F27" s="401"/>
      <c r="G27" s="401"/>
      <c r="H27" s="401"/>
      <c r="I27" s="401"/>
      <c r="J27" s="401"/>
      <c r="K27" s="401"/>
      <c r="L27" s="401"/>
      <c r="M27" s="401"/>
      <c r="N27" s="401"/>
      <c r="O27" s="401"/>
      <c r="P27" s="401"/>
      <c r="Q27" s="401"/>
      <c r="R27" s="401"/>
    </row>
    <row r="28" spans="2:18" s="376" customFormat="1" ht="144" hidden="1" customHeight="1">
      <c r="B28" s="375">
        <v>15</v>
      </c>
      <c r="C28" s="401" t="str">
        <f t="shared" si="2"/>
        <v/>
      </c>
      <c r="D28" s="401"/>
      <c r="E28" s="401"/>
      <c r="F28" s="401"/>
      <c r="G28" s="401"/>
      <c r="H28" s="401"/>
      <c r="I28" s="401"/>
      <c r="J28" s="401"/>
      <c r="K28" s="401"/>
      <c r="L28" s="401"/>
      <c r="M28" s="401"/>
      <c r="N28" s="401"/>
      <c r="O28" s="401"/>
      <c r="P28" s="401"/>
      <c r="Q28" s="401"/>
      <c r="R28" s="401"/>
    </row>
    <row r="29" spans="2:18" s="376" customFormat="1" ht="144" hidden="1" customHeight="1">
      <c r="B29" s="375">
        <v>16</v>
      </c>
      <c r="C29" s="401" t="str">
        <f t="shared" si="2"/>
        <v/>
      </c>
      <c r="D29" s="401"/>
      <c r="E29" s="401"/>
      <c r="F29" s="401"/>
      <c r="G29" s="401"/>
      <c r="H29" s="401"/>
      <c r="I29" s="401"/>
      <c r="J29" s="401"/>
      <c r="K29" s="401"/>
      <c r="L29" s="401"/>
      <c r="M29" s="401"/>
      <c r="N29" s="401"/>
      <c r="O29" s="401"/>
      <c r="P29" s="401"/>
      <c r="Q29" s="401"/>
      <c r="R29" s="401"/>
    </row>
    <row r="30" spans="2:18" s="376" customFormat="1" ht="144" hidden="1" customHeight="1">
      <c r="B30" s="375">
        <v>17</v>
      </c>
      <c r="C30" s="401" t="str">
        <f t="shared" si="2"/>
        <v/>
      </c>
      <c r="D30" s="401"/>
      <c r="E30" s="401"/>
      <c r="F30" s="401"/>
      <c r="G30" s="401"/>
      <c r="H30" s="401"/>
      <c r="I30" s="401"/>
      <c r="J30" s="401"/>
      <c r="K30" s="401"/>
      <c r="L30" s="401"/>
      <c r="M30" s="401"/>
      <c r="N30" s="401"/>
      <c r="O30" s="401"/>
      <c r="P30" s="401"/>
      <c r="Q30" s="401"/>
      <c r="R30" s="401"/>
    </row>
    <row r="31" spans="2:18" s="376" customFormat="1" ht="144" hidden="1" customHeight="1">
      <c r="B31" s="375">
        <v>18</v>
      </c>
      <c r="C31" s="401" t="str">
        <f t="shared" si="2"/>
        <v/>
      </c>
      <c r="D31" s="401"/>
      <c r="E31" s="401"/>
      <c r="F31" s="401"/>
      <c r="G31" s="401"/>
      <c r="H31" s="401"/>
      <c r="I31" s="401"/>
      <c r="J31" s="401"/>
      <c r="K31" s="401"/>
      <c r="L31" s="401"/>
      <c r="M31" s="401"/>
      <c r="N31" s="401"/>
      <c r="O31" s="401"/>
      <c r="P31" s="401"/>
      <c r="Q31" s="401"/>
      <c r="R31" s="401"/>
    </row>
    <row r="32" spans="2:18" s="376" customFormat="1" ht="144" hidden="1" customHeight="1">
      <c r="B32" s="375">
        <v>19</v>
      </c>
      <c r="C32" s="401" t="str">
        <f t="shared" si="2"/>
        <v/>
      </c>
      <c r="D32" s="401"/>
      <c r="E32" s="401"/>
      <c r="F32" s="401"/>
      <c r="G32" s="401"/>
      <c r="H32" s="401"/>
      <c r="I32" s="401"/>
      <c r="J32" s="401"/>
      <c r="K32" s="401"/>
      <c r="L32" s="401"/>
      <c r="M32" s="401"/>
      <c r="N32" s="401"/>
      <c r="O32" s="401"/>
      <c r="P32" s="401"/>
      <c r="Q32" s="401"/>
      <c r="R32" s="401"/>
    </row>
    <row r="33" spans="2:18" s="376" customFormat="1" ht="144" hidden="1" customHeight="1">
      <c r="B33" s="375">
        <v>20</v>
      </c>
      <c r="C33" s="401" t="str">
        <f t="shared" si="2"/>
        <v/>
      </c>
      <c r="D33" s="401"/>
      <c r="E33" s="401"/>
      <c r="F33" s="401"/>
      <c r="G33" s="401"/>
      <c r="H33" s="401"/>
      <c r="I33" s="401"/>
      <c r="J33" s="401"/>
      <c r="K33" s="401"/>
      <c r="L33" s="401"/>
      <c r="M33" s="401"/>
      <c r="N33" s="401"/>
      <c r="O33" s="401"/>
      <c r="P33" s="401"/>
      <c r="Q33" s="401"/>
      <c r="R33" s="401"/>
    </row>
    <row r="34" spans="2:18" s="376" customFormat="1" ht="144" hidden="1" customHeight="1">
      <c r="B34" s="375">
        <v>21</v>
      </c>
      <c r="C34" s="401" t="str">
        <f t="shared" si="2"/>
        <v/>
      </c>
      <c r="D34" s="401"/>
      <c r="E34" s="401"/>
      <c r="F34" s="401"/>
      <c r="G34" s="401"/>
      <c r="H34" s="401"/>
      <c r="I34" s="401"/>
      <c r="J34" s="401"/>
      <c r="K34" s="401"/>
      <c r="L34" s="401"/>
      <c r="M34" s="401"/>
      <c r="N34" s="401"/>
      <c r="O34" s="401"/>
      <c r="P34" s="401"/>
      <c r="Q34" s="401"/>
      <c r="R34" s="401"/>
    </row>
    <row r="35" spans="2:18" s="376" customFormat="1" ht="144" hidden="1" customHeight="1">
      <c r="B35" s="375">
        <v>22</v>
      </c>
      <c r="C35" s="401" t="str">
        <f t="shared" si="2"/>
        <v/>
      </c>
      <c r="D35" s="401"/>
      <c r="E35" s="401"/>
      <c r="F35" s="401"/>
      <c r="G35" s="401"/>
      <c r="H35" s="401"/>
      <c r="I35" s="401"/>
      <c r="J35" s="401"/>
      <c r="K35" s="401"/>
      <c r="L35" s="401"/>
      <c r="M35" s="401"/>
      <c r="N35" s="401"/>
      <c r="O35" s="401"/>
      <c r="P35" s="401"/>
      <c r="Q35" s="401"/>
      <c r="R35" s="401"/>
    </row>
    <row r="36" spans="2:18" s="376" customFormat="1" ht="144" hidden="1" customHeight="1">
      <c r="B36" s="375">
        <v>23</v>
      </c>
      <c r="C36" s="401" t="str">
        <f t="shared" si="2"/>
        <v/>
      </c>
      <c r="D36" s="401"/>
      <c r="E36" s="401"/>
      <c r="F36" s="401"/>
      <c r="G36" s="401"/>
      <c r="H36" s="401"/>
      <c r="I36" s="401"/>
      <c r="J36" s="401"/>
      <c r="K36" s="401"/>
      <c r="L36" s="401"/>
      <c r="M36" s="401"/>
      <c r="N36" s="401"/>
      <c r="O36" s="401"/>
      <c r="P36" s="401"/>
      <c r="Q36" s="401"/>
      <c r="R36" s="401"/>
    </row>
    <row r="37" spans="2:18" s="376" customFormat="1" ht="144" hidden="1" customHeight="1">
      <c r="B37" s="375">
        <v>24</v>
      </c>
      <c r="C37" s="401" t="str">
        <f t="shared" si="2"/>
        <v/>
      </c>
      <c r="D37" s="401"/>
      <c r="E37" s="401"/>
      <c r="F37" s="401"/>
      <c r="G37" s="401"/>
      <c r="H37" s="401"/>
      <c r="I37" s="401"/>
      <c r="J37" s="401"/>
      <c r="K37" s="401"/>
      <c r="L37" s="401"/>
      <c r="M37" s="401"/>
      <c r="N37" s="401"/>
      <c r="O37" s="401"/>
      <c r="P37" s="401"/>
      <c r="Q37" s="401"/>
      <c r="R37" s="401"/>
    </row>
    <row r="38" spans="2:18" s="376" customFormat="1" ht="144" hidden="1" customHeight="1">
      <c r="B38" s="375">
        <v>25</v>
      </c>
      <c r="C38" s="401" t="str">
        <f t="shared" si="2"/>
        <v/>
      </c>
      <c r="D38" s="401"/>
      <c r="E38" s="401"/>
      <c r="F38" s="401"/>
      <c r="G38" s="401"/>
      <c r="H38" s="401"/>
      <c r="I38" s="401"/>
      <c r="J38" s="401"/>
      <c r="K38" s="401"/>
      <c r="L38" s="401"/>
      <c r="M38" s="401"/>
      <c r="N38" s="401"/>
      <c r="O38" s="401"/>
      <c r="P38" s="401"/>
      <c r="Q38" s="401"/>
      <c r="R38" s="401"/>
    </row>
    <row r="39" spans="2:18" s="376" customFormat="1" ht="144" hidden="1" customHeight="1">
      <c r="B39" s="375">
        <v>26</v>
      </c>
      <c r="C39" s="401" t="str">
        <f t="shared" si="2"/>
        <v/>
      </c>
      <c r="D39" s="401"/>
      <c r="E39" s="401"/>
      <c r="F39" s="401"/>
      <c r="G39" s="401"/>
      <c r="H39" s="401"/>
      <c r="I39" s="401"/>
      <c r="J39" s="401"/>
      <c r="K39" s="401"/>
      <c r="L39" s="401"/>
      <c r="M39" s="401"/>
      <c r="N39" s="401"/>
      <c r="O39" s="401"/>
      <c r="P39" s="401"/>
      <c r="Q39" s="401"/>
      <c r="R39" s="401"/>
    </row>
    <row r="40" spans="2:18" s="376" customFormat="1" ht="144" hidden="1" customHeight="1">
      <c r="B40" s="375">
        <v>27</v>
      </c>
      <c r="C40" s="401" t="str">
        <f t="shared" si="2"/>
        <v/>
      </c>
      <c r="D40" s="401"/>
      <c r="E40" s="401"/>
      <c r="F40" s="401"/>
      <c r="G40" s="401"/>
      <c r="H40" s="401"/>
      <c r="I40" s="401"/>
      <c r="J40" s="401"/>
      <c r="K40" s="401"/>
      <c r="L40" s="401"/>
      <c r="M40" s="401"/>
      <c r="N40" s="401"/>
      <c r="O40" s="401"/>
      <c r="P40" s="401"/>
      <c r="Q40" s="401"/>
      <c r="R40" s="401"/>
    </row>
    <row r="41" spans="2:18" s="376" customFormat="1" ht="144" hidden="1" customHeight="1">
      <c r="B41" s="375">
        <v>28</v>
      </c>
      <c r="C41" s="401" t="str">
        <f t="shared" si="2"/>
        <v/>
      </c>
      <c r="D41" s="401"/>
      <c r="E41" s="401"/>
      <c r="F41" s="401"/>
      <c r="G41" s="401"/>
      <c r="H41" s="401"/>
      <c r="I41" s="401"/>
      <c r="J41" s="401"/>
      <c r="K41" s="401"/>
      <c r="L41" s="401"/>
      <c r="M41" s="401"/>
      <c r="N41" s="401"/>
      <c r="O41" s="401"/>
      <c r="P41" s="401"/>
      <c r="Q41" s="401"/>
      <c r="R41" s="401"/>
    </row>
    <row r="42" spans="2:18" s="376" customFormat="1" ht="144" hidden="1" customHeight="1">
      <c r="B42" s="375">
        <v>29</v>
      </c>
      <c r="C42" s="401" t="str">
        <f t="shared" si="2"/>
        <v/>
      </c>
      <c r="D42" s="401"/>
      <c r="E42" s="401"/>
      <c r="F42" s="401"/>
      <c r="G42" s="401"/>
      <c r="H42" s="401"/>
      <c r="I42" s="401"/>
      <c r="J42" s="401"/>
      <c r="K42" s="401"/>
      <c r="L42" s="401"/>
      <c r="M42" s="401"/>
      <c r="N42" s="401"/>
      <c r="O42" s="401"/>
      <c r="P42" s="401"/>
      <c r="Q42" s="401"/>
      <c r="R42" s="401"/>
    </row>
    <row r="43" spans="2:18" s="376" customFormat="1" ht="144" hidden="1" customHeight="1">
      <c r="B43" s="375">
        <v>30</v>
      </c>
      <c r="C43" s="401" t="str">
        <f t="shared" si="2"/>
        <v/>
      </c>
      <c r="D43" s="401"/>
      <c r="E43" s="401"/>
      <c r="F43" s="401"/>
      <c r="G43" s="401"/>
      <c r="H43" s="401"/>
      <c r="I43" s="401"/>
      <c r="J43" s="401"/>
      <c r="K43" s="401"/>
      <c r="L43" s="401"/>
      <c r="M43" s="401"/>
      <c r="N43" s="401"/>
      <c r="O43" s="401"/>
      <c r="P43" s="401"/>
      <c r="Q43" s="401"/>
      <c r="R43" s="401"/>
    </row>
    <row r="44" spans="2:18" s="376" customFormat="1" ht="144" hidden="1" customHeight="1">
      <c r="B44" s="375">
        <v>31</v>
      </c>
      <c r="C44" s="401" t="str">
        <f t="shared" si="2"/>
        <v/>
      </c>
      <c r="D44" s="401"/>
      <c r="E44" s="401"/>
      <c r="F44" s="401"/>
      <c r="G44" s="401"/>
      <c r="H44" s="401"/>
      <c r="I44" s="401"/>
      <c r="J44" s="401"/>
      <c r="K44" s="401"/>
      <c r="L44" s="401"/>
      <c r="M44" s="401"/>
      <c r="N44" s="401"/>
      <c r="O44" s="401"/>
      <c r="P44" s="401"/>
      <c r="Q44" s="401"/>
      <c r="R44" s="401"/>
    </row>
    <row r="45" spans="2:18" s="376" customFormat="1" ht="144" hidden="1" customHeight="1">
      <c r="B45" s="375">
        <v>32</v>
      </c>
      <c r="C45" s="401" t="str">
        <f t="shared" si="2"/>
        <v/>
      </c>
      <c r="D45" s="401"/>
      <c r="E45" s="401"/>
      <c r="F45" s="401"/>
      <c r="G45" s="401"/>
      <c r="H45" s="401"/>
      <c r="I45" s="401"/>
      <c r="J45" s="401"/>
      <c r="K45" s="401"/>
      <c r="L45" s="401"/>
      <c r="M45" s="401"/>
      <c r="N45" s="401"/>
      <c r="O45" s="401"/>
      <c r="P45" s="401"/>
      <c r="Q45" s="401"/>
      <c r="R45" s="401"/>
    </row>
    <row r="46" spans="2:18" s="376" customFormat="1" ht="144" hidden="1" customHeight="1">
      <c r="B46" s="375">
        <v>33</v>
      </c>
      <c r="C46" s="401" t="str">
        <f t="shared" si="2"/>
        <v/>
      </c>
      <c r="D46" s="401"/>
      <c r="E46" s="401"/>
      <c r="F46" s="401"/>
      <c r="G46" s="401"/>
      <c r="H46" s="401"/>
      <c r="I46" s="401"/>
      <c r="J46" s="401"/>
      <c r="K46" s="401"/>
      <c r="L46" s="401"/>
      <c r="M46" s="401"/>
      <c r="N46" s="401"/>
      <c r="O46" s="401"/>
      <c r="P46" s="401"/>
      <c r="Q46" s="401"/>
      <c r="R46" s="401"/>
    </row>
    <row r="47" spans="2:18" s="376" customFormat="1" ht="144" hidden="1" customHeight="1">
      <c r="B47" s="375">
        <v>34</v>
      </c>
      <c r="C47" s="401" t="str">
        <f t="shared" si="2"/>
        <v/>
      </c>
      <c r="D47" s="401"/>
      <c r="E47" s="401"/>
      <c r="F47" s="401"/>
      <c r="G47" s="401"/>
      <c r="H47" s="401"/>
      <c r="I47" s="401"/>
      <c r="J47" s="401"/>
      <c r="K47" s="401"/>
      <c r="L47" s="401"/>
      <c r="M47" s="401"/>
      <c r="N47" s="401"/>
      <c r="O47" s="401"/>
      <c r="P47" s="401"/>
      <c r="Q47" s="401"/>
      <c r="R47" s="401"/>
    </row>
    <row r="48" spans="2:18" s="376" customFormat="1" ht="144" hidden="1" customHeight="1">
      <c r="B48" s="375">
        <v>35</v>
      </c>
      <c r="C48" s="401" t="str">
        <f t="shared" si="2"/>
        <v/>
      </c>
      <c r="D48" s="401"/>
      <c r="E48" s="401"/>
      <c r="F48" s="401"/>
      <c r="G48" s="401"/>
      <c r="H48" s="401"/>
      <c r="I48" s="401"/>
      <c r="J48" s="401"/>
      <c r="K48" s="401"/>
      <c r="L48" s="401"/>
      <c r="M48" s="401"/>
      <c r="N48" s="401"/>
      <c r="O48" s="401"/>
      <c r="P48" s="401"/>
      <c r="Q48" s="401"/>
      <c r="R48" s="401"/>
    </row>
    <row r="49" spans="2:18" s="376" customFormat="1" ht="144" hidden="1" customHeight="1">
      <c r="B49" s="375">
        <v>36</v>
      </c>
      <c r="C49" s="401" t="str">
        <f t="shared" si="2"/>
        <v/>
      </c>
      <c r="D49" s="401"/>
      <c r="E49" s="401"/>
      <c r="F49" s="401"/>
      <c r="G49" s="401"/>
      <c r="H49" s="401"/>
      <c r="I49" s="401"/>
      <c r="J49" s="401"/>
      <c r="K49" s="401"/>
      <c r="L49" s="401"/>
      <c r="M49" s="401"/>
      <c r="N49" s="401"/>
      <c r="O49" s="401"/>
      <c r="P49" s="401"/>
      <c r="Q49" s="401"/>
      <c r="R49" s="401"/>
    </row>
    <row r="50" spans="2:18" s="376" customFormat="1" ht="144" hidden="1" customHeight="1">
      <c r="B50" s="375">
        <v>37</v>
      </c>
      <c r="C50" s="401" t="str">
        <f t="shared" si="2"/>
        <v/>
      </c>
      <c r="D50" s="401"/>
      <c r="E50" s="401"/>
      <c r="F50" s="401"/>
      <c r="G50" s="401"/>
      <c r="H50" s="401"/>
      <c r="I50" s="401"/>
      <c r="J50" s="401"/>
      <c r="K50" s="401"/>
      <c r="L50" s="401"/>
      <c r="M50" s="401"/>
      <c r="N50" s="401"/>
      <c r="O50" s="401"/>
      <c r="P50" s="401"/>
      <c r="Q50" s="401"/>
      <c r="R50" s="401"/>
    </row>
    <row r="51" spans="2:18" s="376" customFormat="1" ht="144" hidden="1" customHeight="1">
      <c r="B51" s="375">
        <v>38</v>
      </c>
      <c r="C51" s="401" t="str">
        <f t="shared" si="2"/>
        <v/>
      </c>
      <c r="D51" s="401"/>
      <c r="E51" s="401"/>
      <c r="F51" s="401"/>
      <c r="G51" s="401"/>
      <c r="H51" s="401"/>
      <c r="I51" s="401"/>
      <c r="J51" s="401"/>
      <c r="K51" s="401"/>
      <c r="L51" s="401"/>
      <c r="M51" s="401"/>
      <c r="N51" s="401"/>
      <c r="O51" s="401"/>
      <c r="P51" s="401"/>
      <c r="Q51" s="401"/>
      <c r="R51" s="401"/>
    </row>
    <row r="52" spans="2:18" s="376" customFormat="1" ht="144" hidden="1" customHeight="1">
      <c r="B52" s="375">
        <v>39</v>
      </c>
      <c r="C52" s="401" t="str">
        <f t="shared" si="2"/>
        <v/>
      </c>
      <c r="D52" s="401"/>
      <c r="E52" s="401"/>
      <c r="F52" s="401"/>
      <c r="G52" s="401"/>
      <c r="H52" s="401"/>
      <c r="I52" s="401"/>
      <c r="J52" s="401"/>
      <c r="K52" s="401"/>
      <c r="L52" s="401"/>
      <c r="M52" s="401"/>
      <c r="N52" s="401"/>
      <c r="O52" s="401"/>
      <c r="P52" s="401"/>
      <c r="Q52" s="401"/>
      <c r="R52" s="401"/>
    </row>
    <row r="53" spans="2:18" s="376" customFormat="1" ht="144" hidden="1" customHeight="1">
      <c r="B53" s="375">
        <v>40</v>
      </c>
      <c r="C53" s="401" t="str">
        <f t="shared" si="2"/>
        <v/>
      </c>
      <c r="D53" s="401"/>
      <c r="E53" s="401"/>
      <c r="F53" s="401"/>
      <c r="G53" s="401"/>
      <c r="H53" s="401"/>
      <c r="I53" s="401"/>
      <c r="J53" s="401"/>
      <c r="K53" s="401"/>
      <c r="L53" s="401"/>
      <c r="M53" s="401"/>
      <c r="N53" s="401"/>
      <c r="O53" s="401"/>
      <c r="P53" s="401"/>
      <c r="Q53" s="401"/>
      <c r="R53" s="401"/>
    </row>
    <row r="54" spans="2:18" s="376" customFormat="1" ht="144" hidden="1" customHeight="1">
      <c r="B54" s="375">
        <v>41</v>
      </c>
      <c r="C54" s="401" t="str">
        <f t="shared" si="2"/>
        <v/>
      </c>
      <c r="D54" s="401"/>
      <c r="E54" s="401"/>
      <c r="F54" s="401"/>
      <c r="G54" s="401"/>
      <c r="H54" s="401"/>
      <c r="I54" s="401"/>
      <c r="J54" s="401"/>
      <c r="K54" s="401"/>
      <c r="L54" s="401"/>
      <c r="M54" s="401"/>
      <c r="N54" s="401"/>
      <c r="O54" s="401"/>
      <c r="P54" s="401"/>
      <c r="Q54" s="401"/>
      <c r="R54" s="401"/>
    </row>
    <row r="55" spans="2:18" s="376" customFormat="1" ht="144" hidden="1" customHeight="1">
      <c r="B55" s="375">
        <v>42</v>
      </c>
      <c r="C55" s="401" t="str">
        <f t="shared" si="2"/>
        <v/>
      </c>
      <c r="D55" s="401"/>
      <c r="E55" s="401"/>
      <c r="F55" s="401"/>
      <c r="G55" s="401"/>
      <c r="H55" s="401"/>
      <c r="I55" s="401"/>
      <c r="J55" s="401"/>
      <c r="K55" s="401"/>
      <c r="L55" s="401"/>
      <c r="M55" s="401"/>
      <c r="N55" s="401"/>
      <c r="O55" s="401"/>
      <c r="P55" s="401"/>
      <c r="Q55" s="401"/>
      <c r="R55" s="401"/>
    </row>
    <row r="56" spans="2:18" s="376" customFormat="1" ht="144" hidden="1" customHeight="1">
      <c r="B56" s="375">
        <v>43</v>
      </c>
      <c r="C56" s="401" t="str">
        <f t="shared" si="2"/>
        <v/>
      </c>
      <c r="D56" s="401"/>
      <c r="E56" s="401"/>
      <c r="F56" s="401"/>
      <c r="G56" s="401"/>
      <c r="H56" s="401"/>
      <c r="I56" s="401"/>
      <c r="J56" s="401"/>
      <c r="K56" s="401"/>
      <c r="L56" s="401"/>
      <c r="M56" s="401"/>
      <c r="N56" s="401"/>
      <c r="O56" s="401"/>
      <c r="P56" s="401"/>
      <c r="Q56" s="401"/>
      <c r="R56" s="401"/>
    </row>
    <row r="57" spans="2:18" s="376" customFormat="1" ht="144" hidden="1" customHeight="1">
      <c r="B57" s="375">
        <v>44</v>
      </c>
      <c r="C57" s="401" t="str">
        <f t="shared" si="2"/>
        <v/>
      </c>
      <c r="D57" s="401"/>
      <c r="E57" s="401"/>
      <c r="F57" s="401"/>
      <c r="G57" s="401"/>
      <c r="H57" s="401"/>
      <c r="I57" s="401"/>
      <c r="J57" s="401"/>
      <c r="K57" s="401"/>
      <c r="L57" s="401"/>
      <c r="M57" s="401"/>
      <c r="N57" s="401"/>
      <c r="O57" s="401"/>
      <c r="P57" s="401"/>
      <c r="Q57" s="401"/>
      <c r="R57" s="401"/>
    </row>
    <row r="58" spans="2:18" s="376" customFormat="1" ht="144" hidden="1" customHeight="1">
      <c r="B58" s="375">
        <v>45</v>
      </c>
      <c r="C58" s="401" t="str">
        <f t="shared" si="2"/>
        <v/>
      </c>
      <c r="D58" s="401"/>
      <c r="E58" s="401"/>
      <c r="F58" s="401"/>
      <c r="G58" s="401"/>
      <c r="H58" s="401"/>
      <c r="I58" s="401"/>
      <c r="J58" s="401"/>
      <c r="K58" s="401"/>
      <c r="L58" s="401"/>
      <c r="M58" s="401"/>
      <c r="N58" s="401"/>
      <c r="O58" s="401"/>
      <c r="P58" s="401"/>
      <c r="Q58" s="401"/>
      <c r="R58" s="401"/>
    </row>
    <row r="59" spans="2:18" s="376" customFormat="1" ht="144" hidden="1" customHeight="1">
      <c r="B59" s="375">
        <v>46</v>
      </c>
      <c r="C59" s="401" t="str">
        <f t="shared" si="2"/>
        <v/>
      </c>
      <c r="D59" s="401"/>
      <c r="E59" s="401"/>
      <c r="F59" s="401"/>
      <c r="G59" s="401"/>
      <c r="H59" s="401"/>
      <c r="I59" s="401"/>
      <c r="J59" s="401"/>
      <c r="K59" s="401"/>
      <c r="L59" s="401"/>
      <c r="M59" s="401"/>
      <c r="N59" s="401"/>
      <c r="O59" s="401"/>
      <c r="P59" s="401"/>
      <c r="Q59" s="401"/>
      <c r="R59" s="401"/>
    </row>
    <row r="60" spans="2:18" s="376" customFormat="1" ht="144" hidden="1" customHeight="1">
      <c r="B60" s="375">
        <v>47</v>
      </c>
      <c r="C60" s="401" t="str">
        <f t="shared" si="2"/>
        <v/>
      </c>
      <c r="D60" s="401"/>
      <c r="E60" s="401"/>
      <c r="F60" s="401"/>
      <c r="G60" s="401"/>
      <c r="H60" s="401"/>
      <c r="I60" s="401"/>
      <c r="J60" s="401"/>
      <c r="K60" s="401"/>
      <c r="L60" s="401"/>
      <c r="M60" s="401"/>
      <c r="N60" s="401"/>
      <c r="O60" s="401"/>
      <c r="P60" s="401"/>
      <c r="Q60" s="401"/>
      <c r="R60" s="401"/>
    </row>
    <row r="61" spans="2:18" s="376" customFormat="1" ht="144" hidden="1" customHeight="1">
      <c r="B61" s="375">
        <v>48</v>
      </c>
      <c r="C61" s="401" t="str">
        <f t="shared" si="2"/>
        <v/>
      </c>
      <c r="D61" s="401"/>
      <c r="E61" s="401"/>
      <c r="F61" s="401"/>
      <c r="G61" s="401"/>
      <c r="H61" s="401"/>
      <c r="I61" s="401"/>
      <c r="J61" s="401"/>
      <c r="K61" s="401"/>
      <c r="L61" s="401"/>
      <c r="M61" s="401"/>
      <c r="N61" s="401"/>
      <c r="O61" s="401"/>
      <c r="P61" s="401"/>
      <c r="Q61" s="401"/>
      <c r="R61" s="401"/>
    </row>
    <row r="62" spans="2:18" s="376" customFormat="1" ht="144" hidden="1" customHeight="1">
      <c r="B62" s="375">
        <v>49</v>
      </c>
      <c r="C62" s="401" t="str">
        <f t="shared" si="2"/>
        <v/>
      </c>
      <c r="D62" s="401"/>
      <c r="E62" s="401"/>
      <c r="F62" s="401"/>
      <c r="G62" s="401"/>
      <c r="H62" s="401"/>
      <c r="I62" s="401"/>
      <c r="J62" s="401"/>
      <c r="K62" s="401"/>
      <c r="L62" s="401"/>
      <c r="M62" s="401"/>
      <c r="N62" s="401"/>
      <c r="O62" s="401"/>
      <c r="P62" s="401"/>
      <c r="Q62" s="401"/>
      <c r="R62" s="401"/>
    </row>
    <row r="63" spans="2:18" s="376" customFormat="1" ht="144" hidden="1" customHeight="1">
      <c r="B63" s="375">
        <v>50</v>
      </c>
      <c r="C63" s="401" t="str">
        <f t="shared" si="2"/>
        <v/>
      </c>
      <c r="D63" s="401"/>
      <c r="E63" s="401"/>
      <c r="F63" s="401"/>
      <c r="G63" s="401"/>
      <c r="H63" s="401"/>
      <c r="I63" s="401"/>
      <c r="J63" s="401"/>
      <c r="K63" s="401"/>
      <c r="L63" s="401"/>
      <c r="M63" s="401"/>
      <c r="N63" s="401"/>
      <c r="O63" s="401"/>
      <c r="P63" s="401"/>
      <c r="Q63" s="401"/>
      <c r="R63" s="401"/>
    </row>
    <row r="64" spans="2:18" s="376" customFormat="1" ht="144" hidden="1" customHeight="1">
      <c r="B64" s="375">
        <v>51</v>
      </c>
      <c r="C64" s="401" t="str">
        <f t="shared" si="2"/>
        <v/>
      </c>
      <c r="D64" s="401"/>
      <c r="E64" s="401"/>
      <c r="F64" s="401"/>
      <c r="G64" s="401"/>
      <c r="H64" s="401"/>
      <c r="I64" s="401"/>
      <c r="J64" s="401"/>
      <c r="K64" s="401"/>
      <c r="L64" s="401"/>
      <c r="M64" s="401"/>
      <c r="N64" s="401"/>
      <c r="O64" s="401"/>
      <c r="P64" s="401"/>
      <c r="Q64" s="401"/>
      <c r="R64" s="401"/>
    </row>
    <row r="65" spans="2:18" s="376" customFormat="1" ht="144" hidden="1" customHeight="1">
      <c r="B65" s="375">
        <v>52</v>
      </c>
      <c r="C65" s="401" t="str">
        <f t="shared" si="2"/>
        <v/>
      </c>
      <c r="D65" s="401"/>
      <c r="E65" s="401"/>
      <c r="F65" s="401"/>
      <c r="G65" s="401"/>
      <c r="H65" s="401"/>
      <c r="I65" s="401"/>
      <c r="J65" s="401"/>
      <c r="K65" s="401"/>
      <c r="L65" s="401"/>
      <c r="M65" s="401"/>
      <c r="N65" s="401"/>
      <c r="O65" s="401"/>
      <c r="P65" s="401"/>
      <c r="Q65" s="401"/>
      <c r="R65" s="401"/>
    </row>
    <row r="66" spans="2:18" s="376" customFormat="1" ht="144" hidden="1" customHeight="1">
      <c r="B66" s="375">
        <v>53</v>
      </c>
      <c r="C66" s="401" t="str">
        <f t="shared" si="2"/>
        <v/>
      </c>
      <c r="D66" s="401"/>
      <c r="E66" s="401"/>
      <c r="F66" s="401"/>
      <c r="G66" s="401"/>
      <c r="H66" s="401"/>
      <c r="I66" s="401"/>
      <c r="J66" s="401"/>
      <c r="K66" s="401"/>
      <c r="L66" s="401"/>
      <c r="M66" s="401"/>
      <c r="N66" s="401"/>
      <c r="O66" s="401"/>
      <c r="P66" s="401"/>
      <c r="Q66" s="401"/>
      <c r="R66" s="401"/>
    </row>
    <row r="67" spans="2:18" s="376" customFormat="1" ht="144" hidden="1" customHeight="1">
      <c r="B67" s="375">
        <v>54</v>
      </c>
      <c r="C67" s="401" t="str">
        <f t="shared" si="2"/>
        <v/>
      </c>
      <c r="D67" s="401"/>
      <c r="E67" s="401"/>
      <c r="F67" s="401"/>
      <c r="G67" s="401"/>
      <c r="H67" s="401"/>
      <c r="I67" s="401"/>
      <c r="J67" s="401"/>
      <c r="K67" s="401"/>
      <c r="L67" s="401"/>
      <c r="M67" s="401"/>
      <c r="N67" s="401"/>
      <c r="O67" s="401"/>
      <c r="P67" s="401"/>
      <c r="Q67" s="401"/>
      <c r="R67" s="401"/>
    </row>
    <row r="68" spans="2:18" s="376" customFormat="1" ht="144" hidden="1" customHeight="1">
      <c r="B68" s="375">
        <v>55</v>
      </c>
      <c r="C68" s="401" t="str">
        <f t="shared" si="2"/>
        <v/>
      </c>
      <c r="D68" s="401"/>
      <c r="E68" s="401"/>
      <c r="F68" s="401"/>
      <c r="G68" s="401"/>
      <c r="H68" s="401"/>
      <c r="I68" s="401"/>
      <c r="J68" s="401"/>
      <c r="K68" s="401"/>
      <c r="L68" s="401"/>
      <c r="M68" s="401"/>
      <c r="N68" s="401"/>
      <c r="O68" s="401"/>
      <c r="P68" s="401"/>
      <c r="Q68" s="401"/>
      <c r="R68" s="401"/>
    </row>
    <row r="69" spans="2:18" s="376" customFormat="1" ht="144" hidden="1" customHeight="1">
      <c r="B69" s="375">
        <v>56</v>
      </c>
      <c r="C69" s="401" t="str">
        <f t="shared" si="2"/>
        <v/>
      </c>
      <c r="D69" s="401"/>
      <c r="E69" s="401"/>
      <c r="F69" s="401"/>
      <c r="G69" s="401"/>
      <c r="H69" s="401"/>
      <c r="I69" s="401"/>
      <c r="J69" s="401"/>
      <c r="K69" s="401"/>
      <c r="L69" s="401"/>
      <c r="M69" s="401"/>
      <c r="N69" s="401"/>
      <c r="O69" s="401"/>
      <c r="P69" s="401"/>
      <c r="Q69" s="401"/>
      <c r="R69" s="401"/>
    </row>
    <row r="70" spans="2:18" s="376" customFormat="1" ht="144" hidden="1" customHeight="1">
      <c r="B70" s="375">
        <v>57</v>
      </c>
      <c r="C70" s="401" t="str">
        <f t="shared" si="2"/>
        <v/>
      </c>
      <c r="D70" s="401"/>
      <c r="E70" s="401"/>
      <c r="F70" s="401"/>
      <c r="G70" s="401"/>
      <c r="H70" s="401"/>
      <c r="I70" s="401"/>
      <c r="J70" s="401"/>
      <c r="K70" s="401"/>
      <c r="L70" s="401"/>
      <c r="M70" s="401"/>
      <c r="N70" s="401"/>
      <c r="O70" s="401"/>
      <c r="P70" s="401"/>
      <c r="Q70" s="401"/>
      <c r="R70" s="401"/>
    </row>
    <row r="71" spans="2:18" s="376" customFormat="1" ht="144" hidden="1" customHeight="1">
      <c r="B71" s="375">
        <v>58</v>
      </c>
      <c r="C71" s="401" t="str">
        <f t="shared" si="2"/>
        <v/>
      </c>
      <c r="D71" s="401"/>
      <c r="E71" s="401"/>
      <c r="F71" s="401"/>
      <c r="G71" s="401"/>
      <c r="H71" s="401"/>
      <c r="I71" s="401"/>
      <c r="J71" s="401"/>
      <c r="K71" s="401"/>
      <c r="L71" s="401"/>
      <c r="M71" s="401"/>
      <c r="N71" s="401"/>
      <c r="O71" s="401"/>
      <c r="P71" s="401"/>
      <c r="Q71" s="401"/>
      <c r="R71" s="401"/>
    </row>
    <row r="72" spans="2:18" s="376" customFormat="1" ht="144" hidden="1" customHeight="1">
      <c r="B72" s="375">
        <v>59</v>
      </c>
      <c r="C72" s="401" t="str">
        <f t="shared" si="2"/>
        <v/>
      </c>
      <c r="D72" s="401"/>
      <c r="E72" s="401"/>
      <c r="F72" s="401"/>
      <c r="G72" s="401"/>
      <c r="H72" s="401"/>
      <c r="I72" s="401"/>
      <c r="J72" s="401"/>
      <c r="K72" s="401"/>
      <c r="L72" s="401"/>
      <c r="M72" s="401"/>
      <c r="N72" s="401"/>
      <c r="O72" s="401"/>
      <c r="P72" s="401"/>
      <c r="Q72" s="401"/>
      <c r="R72" s="401"/>
    </row>
    <row r="73" spans="2:18" s="376" customFormat="1" ht="144" hidden="1" customHeight="1">
      <c r="B73" s="375">
        <v>60</v>
      </c>
      <c r="C73" s="401" t="str">
        <f t="shared" si="2"/>
        <v/>
      </c>
      <c r="D73" s="401"/>
      <c r="E73" s="401"/>
      <c r="F73" s="401"/>
      <c r="G73" s="401"/>
      <c r="H73" s="401"/>
      <c r="I73" s="401"/>
      <c r="J73" s="401"/>
      <c r="K73" s="401"/>
      <c r="L73" s="401"/>
      <c r="M73" s="401"/>
      <c r="N73" s="401"/>
      <c r="O73" s="401"/>
      <c r="P73" s="401"/>
      <c r="Q73" s="401"/>
      <c r="R73" s="401"/>
    </row>
    <row r="74" spans="2:18" s="376" customFormat="1" ht="144" hidden="1" customHeight="1">
      <c r="B74" s="375">
        <v>61</v>
      </c>
      <c r="C74" s="401" t="str">
        <f t="shared" si="2"/>
        <v/>
      </c>
      <c r="D74" s="401"/>
      <c r="E74" s="401"/>
      <c r="F74" s="401"/>
      <c r="G74" s="401"/>
      <c r="H74" s="401"/>
      <c r="I74" s="401"/>
      <c r="J74" s="401"/>
      <c r="K74" s="401"/>
      <c r="L74" s="401"/>
      <c r="M74" s="401"/>
      <c r="N74" s="401"/>
      <c r="O74" s="401"/>
      <c r="P74" s="401"/>
      <c r="Q74" s="401"/>
      <c r="R74" s="401"/>
    </row>
    <row r="75" spans="2:18" s="376" customFormat="1" ht="144" hidden="1" customHeight="1">
      <c r="B75" s="375">
        <v>62</v>
      </c>
      <c r="C75" s="401" t="str">
        <f t="shared" si="2"/>
        <v/>
      </c>
      <c r="D75" s="401"/>
      <c r="E75" s="401"/>
      <c r="F75" s="401"/>
      <c r="G75" s="401"/>
      <c r="H75" s="401"/>
      <c r="I75" s="401"/>
      <c r="J75" s="401"/>
      <c r="K75" s="401"/>
      <c r="L75" s="401"/>
      <c r="M75" s="401"/>
      <c r="N75" s="401"/>
      <c r="O75" s="401"/>
      <c r="P75" s="401"/>
      <c r="Q75" s="401"/>
      <c r="R75" s="401"/>
    </row>
    <row r="76" spans="2:18" s="376" customFormat="1" ht="144" hidden="1" customHeight="1">
      <c r="B76" s="375">
        <v>63</v>
      </c>
      <c r="C76" s="401" t="str">
        <f t="shared" si="2"/>
        <v/>
      </c>
      <c r="D76" s="401"/>
      <c r="E76" s="401"/>
      <c r="F76" s="401"/>
      <c r="G76" s="401"/>
      <c r="H76" s="401"/>
      <c r="I76" s="401"/>
      <c r="J76" s="401"/>
      <c r="K76" s="401"/>
      <c r="L76" s="401"/>
      <c r="M76" s="401"/>
      <c r="N76" s="401"/>
      <c r="O76" s="401"/>
      <c r="P76" s="401"/>
      <c r="Q76" s="401"/>
      <c r="R76" s="401"/>
    </row>
    <row r="77" spans="2:18" s="376" customFormat="1" ht="144" hidden="1" customHeight="1">
      <c r="B77" s="375">
        <v>64</v>
      </c>
      <c r="C77" s="401" t="str">
        <f t="shared" si="2"/>
        <v/>
      </c>
      <c r="D77" s="401"/>
      <c r="E77" s="401"/>
      <c r="F77" s="401"/>
      <c r="G77" s="401"/>
      <c r="H77" s="401"/>
      <c r="I77" s="401"/>
      <c r="J77" s="401"/>
      <c r="K77" s="401"/>
      <c r="L77" s="401"/>
      <c r="M77" s="401"/>
      <c r="N77" s="401"/>
      <c r="O77" s="401"/>
      <c r="P77" s="401"/>
      <c r="Q77" s="401"/>
      <c r="R77" s="401"/>
    </row>
    <row r="101" spans="2:37">
      <c r="C101" s="370">
        <v>2</v>
      </c>
      <c r="D101" s="370">
        <v>3</v>
      </c>
      <c r="E101" s="370">
        <v>4</v>
      </c>
      <c r="F101" s="370">
        <v>5</v>
      </c>
      <c r="G101" s="370">
        <v>6</v>
      </c>
      <c r="H101" s="370">
        <v>7</v>
      </c>
      <c r="I101" s="370">
        <v>8</v>
      </c>
      <c r="J101" s="370">
        <v>9</v>
      </c>
      <c r="K101" s="370">
        <v>10</v>
      </c>
      <c r="L101" s="370">
        <v>11</v>
      </c>
      <c r="M101" s="370">
        <v>12</v>
      </c>
      <c r="N101" s="370">
        <v>13</v>
      </c>
      <c r="O101" s="370">
        <v>14</v>
      </c>
      <c r="P101" s="370">
        <v>15</v>
      </c>
      <c r="Q101" s="370">
        <v>16</v>
      </c>
      <c r="R101" s="370">
        <v>17</v>
      </c>
      <c r="S101" s="370">
        <v>18</v>
      </c>
      <c r="T101" s="370">
        <v>19</v>
      </c>
      <c r="U101" s="370">
        <v>20</v>
      </c>
      <c r="V101" s="370">
        <v>21</v>
      </c>
      <c r="W101" s="370">
        <v>22</v>
      </c>
      <c r="X101" s="370">
        <v>23</v>
      </c>
      <c r="Y101" s="370">
        <v>24</v>
      </c>
      <c r="Z101" s="370">
        <v>25</v>
      </c>
      <c r="AA101" s="370">
        <v>26</v>
      </c>
      <c r="AB101" s="370">
        <v>27</v>
      </c>
      <c r="AC101" s="370">
        <v>28</v>
      </c>
      <c r="AD101" s="370">
        <v>29</v>
      </c>
      <c r="AE101" s="370">
        <v>30</v>
      </c>
      <c r="AF101" s="370">
        <v>31</v>
      </c>
      <c r="AG101" s="370">
        <v>32</v>
      </c>
      <c r="AH101" s="370">
        <v>33</v>
      </c>
      <c r="AI101" s="370">
        <v>34</v>
      </c>
      <c r="AJ101" s="370">
        <v>35</v>
      </c>
      <c r="AK101" s="370">
        <v>36</v>
      </c>
    </row>
    <row r="102" spans="2:37">
      <c r="C102" s="372" t="s">
        <v>405</v>
      </c>
      <c r="D102" s="372" t="s">
        <v>406</v>
      </c>
      <c r="E102" s="372" t="s">
        <v>407</v>
      </c>
      <c r="F102" s="372" t="s">
        <v>408</v>
      </c>
      <c r="G102" s="372" t="s">
        <v>409</v>
      </c>
      <c r="H102" s="372" t="s">
        <v>410</v>
      </c>
      <c r="I102" s="372" t="s">
        <v>411</v>
      </c>
      <c r="J102" s="372" t="s">
        <v>412</v>
      </c>
      <c r="K102" s="372" t="s">
        <v>413</v>
      </c>
      <c r="L102" s="372" t="s">
        <v>414</v>
      </c>
      <c r="M102" s="372" t="s">
        <v>415</v>
      </c>
      <c r="N102" s="372" t="s">
        <v>416</v>
      </c>
      <c r="O102" s="372" t="s">
        <v>417</v>
      </c>
      <c r="P102" s="370" t="s">
        <v>957</v>
      </c>
      <c r="Q102" s="370" t="s">
        <v>958</v>
      </c>
      <c r="R102" s="370" t="s">
        <v>959</v>
      </c>
      <c r="S102" s="370" t="s">
        <v>960</v>
      </c>
      <c r="T102" s="370" t="s">
        <v>961</v>
      </c>
      <c r="U102" s="370" t="s">
        <v>962</v>
      </c>
      <c r="V102" s="370" t="s">
        <v>963</v>
      </c>
      <c r="W102" s="370" t="s">
        <v>964</v>
      </c>
      <c r="X102" s="370" t="s">
        <v>965</v>
      </c>
      <c r="Y102" s="370" t="s">
        <v>966</v>
      </c>
      <c r="Z102" s="370" t="s">
        <v>967</v>
      </c>
      <c r="AA102" s="370" t="s">
        <v>968</v>
      </c>
      <c r="AB102" s="370" t="s">
        <v>969</v>
      </c>
      <c r="AC102" s="370" t="s">
        <v>970</v>
      </c>
      <c r="AD102" s="370" t="s">
        <v>972</v>
      </c>
      <c r="AE102" s="370" t="s">
        <v>973</v>
      </c>
      <c r="AF102" s="370" t="s">
        <v>971</v>
      </c>
      <c r="AG102" s="370" t="s">
        <v>1021</v>
      </c>
      <c r="AH102" s="370" t="s">
        <v>1022</v>
      </c>
      <c r="AI102" s="370" t="s">
        <v>1023</v>
      </c>
      <c r="AJ102" s="370" t="s">
        <v>1024</v>
      </c>
      <c r="AK102" s="370" t="s">
        <v>1025</v>
      </c>
    </row>
    <row r="103" spans="2:37">
      <c r="B103" s="377" t="s">
        <v>20</v>
      </c>
      <c r="C103" s="372" t="s">
        <v>418</v>
      </c>
      <c r="D103" s="372" t="s">
        <v>418</v>
      </c>
      <c r="E103" s="372" t="s">
        <v>418</v>
      </c>
      <c r="F103" s="372" t="s">
        <v>418</v>
      </c>
      <c r="G103" s="372" t="s">
        <v>418</v>
      </c>
      <c r="H103" s="372" t="s">
        <v>418</v>
      </c>
      <c r="I103" s="372" t="s">
        <v>418</v>
      </c>
      <c r="J103" s="372" t="s">
        <v>418</v>
      </c>
      <c r="K103" s="372"/>
      <c r="L103" s="372"/>
      <c r="M103" s="372"/>
      <c r="N103" s="372" t="s">
        <v>418</v>
      </c>
      <c r="O103" s="372" t="s">
        <v>418</v>
      </c>
      <c r="P103" s="372" t="s">
        <v>418</v>
      </c>
      <c r="Q103" s="372"/>
      <c r="R103" s="372"/>
      <c r="S103" s="372" t="s">
        <v>418</v>
      </c>
      <c r="T103" s="372" t="s">
        <v>418</v>
      </c>
      <c r="U103" s="372" t="s">
        <v>418</v>
      </c>
      <c r="V103" s="372" t="s">
        <v>418</v>
      </c>
      <c r="W103" s="372"/>
      <c r="X103" s="372"/>
      <c r="Y103" s="372" t="s">
        <v>418</v>
      </c>
      <c r="Z103" s="372" t="s">
        <v>418</v>
      </c>
      <c r="AA103" s="372"/>
      <c r="AB103" s="372"/>
      <c r="AC103" s="372"/>
      <c r="AD103" s="372"/>
      <c r="AE103" s="372"/>
      <c r="AF103" s="372"/>
      <c r="AG103" s="372"/>
      <c r="AH103" s="372" t="s">
        <v>418</v>
      </c>
      <c r="AI103" s="372"/>
      <c r="AJ103" s="372" t="s">
        <v>418</v>
      </c>
      <c r="AK103" s="372"/>
    </row>
    <row r="104" spans="2:37">
      <c r="B104" s="377" t="s">
        <v>36</v>
      </c>
      <c r="C104" s="372" t="s">
        <v>418</v>
      </c>
      <c r="D104" s="372" t="s">
        <v>418</v>
      </c>
      <c r="E104" s="372" t="s">
        <v>418</v>
      </c>
      <c r="F104" s="372" t="s">
        <v>418</v>
      </c>
      <c r="G104" s="372" t="s">
        <v>418</v>
      </c>
      <c r="H104" s="372" t="s">
        <v>418</v>
      </c>
      <c r="I104" s="372" t="s">
        <v>418</v>
      </c>
      <c r="J104" s="372" t="s">
        <v>418</v>
      </c>
      <c r="K104" s="372" t="s">
        <v>418</v>
      </c>
      <c r="L104" s="372" t="s">
        <v>418</v>
      </c>
      <c r="M104" s="372"/>
      <c r="N104" s="372"/>
      <c r="O104" s="372"/>
      <c r="P104" s="372" t="s">
        <v>418</v>
      </c>
      <c r="Q104" s="372" t="s">
        <v>418</v>
      </c>
      <c r="R104" s="372" t="s">
        <v>418</v>
      </c>
      <c r="S104" s="372" t="s">
        <v>418</v>
      </c>
      <c r="T104" s="372" t="s">
        <v>418</v>
      </c>
      <c r="U104" s="372" t="s">
        <v>418</v>
      </c>
      <c r="V104" s="372" t="s">
        <v>418</v>
      </c>
      <c r="W104" s="372"/>
      <c r="X104" s="372"/>
      <c r="Y104" s="372"/>
      <c r="Z104" s="372"/>
      <c r="AA104" s="372" t="s">
        <v>418</v>
      </c>
      <c r="AB104" s="372" t="s">
        <v>418</v>
      </c>
      <c r="AC104" s="372" t="s">
        <v>418</v>
      </c>
      <c r="AD104" s="372" t="s">
        <v>418</v>
      </c>
      <c r="AE104" s="372" t="s">
        <v>418</v>
      </c>
      <c r="AF104" s="372" t="s">
        <v>418</v>
      </c>
      <c r="AG104" s="372"/>
      <c r="AH104" s="372" t="s">
        <v>418</v>
      </c>
      <c r="AI104" s="372"/>
      <c r="AJ104" s="372" t="s">
        <v>418</v>
      </c>
      <c r="AK104" s="372"/>
    </row>
    <row r="105" spans="2:37">
      <c r="B105" s="377" t="s">
        <v>66</v>
      </c>
      <c r="C105" s="372"/>
      <c r="D105" s="372" t="s">
        <v>418</v>
      </c>
      <c r="E105" s="372"/>
      <c r="F105" s="372"/>
      <c r="G105" s="372"/>
      <c r="H105" s="372"/>
      <c r="I105" s="372"/>
      <c r="J105" s="372"/>
      <c r="K105" s="372"/>
      <c r="L105" s="372"/>
      <c r="M105" s="372"/>
      <c r="N105" s="372"/>
      <c r="O105" s="372"/>
      <c r="P105" s="372"/>
      <c r="Q105" s="372"/>
      <c r="R105" s="372"/>
      <c r="S105" s="372"/>
      <c r="T105" s="372"/>
      <c r="U105" s="372"/>
      <c r="V105" s="372"/>
      <c r="W105" s="372"/>
      <c r="X105" s="372"/>
      <c r="Y105" s="372"/>
      <c r="Z105" s="372"/>
      <c r="AA105" s="372"/>
      <c r="AB105" s="372"/>
      <c r="AC105" s="372"/>
      <c r="AD105" s="372"/>
      <c r="AE105" s="372"/>
      <c r="AF105" s="372"/>
      <c r="AG105" s="372"/>
      <c r="AH105" s="372"/>
      <c r="AI105" s="372"/>
      <c r="AJ105" s="372"/>
      <c r="AK105" s="372"/>
    </row>
    <row r="106" spans="2:37">
      <c r="B106" s="377" t="s">
        <v>67</v>
      </c>
      <c r="C106" s="372"/>
      <c r="D106" s="372" t="s">
        <v>418</v>
      </c>
      <c r="E106" s="372"/>
      <c r="F106" s="372"/>
      <c r="G106" s="372" t="s">
        <v>418</v>
      </c>
      <c r="H106" s="372"/>
      <c r="I106" s="372"/>
      <c r="J106" s="372"/>
      <c r="K106" s="372"/>
      <c r="L106" s="372"/>
      <c r="M106" s="372"/>
      <c r="N106" s="372"/>
      <c r="O106" s="372"/>
      <c r="P106" s="372" t="s">
        <v>418</v>
      </c>
      <c r="Q106" s="372"/>
      <c r="R106" s="372"/>
      <c r="S106" s="372"/>
      <c r="T106" s="372"/>
      <c r="U106" s="372"/>
      <c r="V106" s="372"/>
      <c r="W106" s="372"/>
      <c r="X106" s="372"/>
      <c r="Y106" s="372"/>
      <c r="Z106" s="372"/>
      <c r="AA106" s="372"/>
      <c r="AB106" s="372"/>
      <c r="AC106" s="372"/>
      <c r="AD106" s="372"/>
      <c r="AE106" s="372"/>
      <c r="AF106" s="372"/>
      <c r="AG106" s="372"/>
      <c r="AH106" s="372"/>
      <c r="AI106" s="372"/>
      <c r="AJ106" s="372"/>
      <c r="AK106" s="372"/>
    </row>
    <row r="107" spans="2:37">
      <c r="B107" s="377" t="s">
        <v>39</v>
      </c>
      <c r="C107" s="372" t="s">
        <v>418</v>
      </c>
      <c r="D107" s="372" t="s">
        <v>418</v>
      </c>
      <c r="E107" s="372"/>
      <c r="F107" s="372" t="s">
        <v>418</v>
      </c>
      <c r="G107" s="372" t="s">
        <v>418</v>
      </c>
      <c r="H107" s="372" t="s">
        <v>418</v>
      </c>
      <c r="I107" s="372" t="s">
        <v>418</v>
      </c>
      <c r="J107" s="372" t="s">
        <v>418</v>
      </c>
      <c r="K107" s="372"/>
      <c r="L107" s="372"/>
      <c r="M107" s="372"/>
      <c r="N107" s="372" t="s">
        <v>418</v>
      </c>
      <c r="O107" s="372" t="s">
        <v>418</v>
      </c>
      <c r="P107" s="372" t="s">
        <v>418</v>
      </c>
      <c r="Q107" s="372" t="s">
        <v>418</v>
      </c>
      <c r="R107" s="372"/>
      <c r="S107" s="372"/>
      <c r="T107" s="372"/>
      <c r="U107" s="372"/>
      <c r="V107" s="372" t="s">
        <v>418</v>
      </c>
      <c r="W107" s="372"/>
      <c r="X107" s="372"/>
      <c r="Y107" s="372"/>
      <c r="Z107" s="372" t="s">
        <v>418</v>
      </c>
      <c r="AA107" s="372"/>
      <c r="AB107" s="372"/>
      <c r="AC107" s="372"/>
      <c r="AD107" s="372"/>
      <c r="AE107" s="372"/>
      <c r="AF107" s="372" t="s">
        <v>418</v>
      </c>
      <c r="AG107" s="372"/>
      <c r="AH107" s="372"/>
      <c r="AI107" s="372"/>
      <c r="AJ107" s="372"/>
      <c r="AK107" s="372"/>
    </row>
    <row r="108" spans="2:37">
      <c r="B108" s="377" t="s">
        <v>40</v>
      </c>
      <c r="C108" s="372" t="s">
        <v>418</v>
      </c>
      <c r="D108" s="372" t="s">
        <v>418</v>
      </c>
      <c r="E108" s="372" t="s">
        <v>418</v>
      </c>
      <c r="F108" s="372" t="s">
        <v>418</v>
      </c>
      <c r="G108" s="372" t="s">
        <v>418</v>
      </c>
      <c r="H108" s="372" t="s">
        <v>418</v>
      </c>
      <c r="I108" s="372" t="s">
        <v>418</v>
      </c>
      <c r="J108" s="372" t="s">
        <v>418</v>
      </c>
      <c r="K108" s="372" t="s">
        <v>418</v>
      </c>
      <c r="L108" s="372" t="s">
        <v>418</v>
      </c>
      <c r="M108" s="372" t="s">
        <v>418</v>
      </c>
      <c r="N108" s="372" t="s">
        <v>418</v>
      </c>
      <c r="O108" s="372"/>
      <c r="P108" s="372" t="s">
        <v>418</v>
      </c>
      <c r="Q108" s="372" t="s">
        <v>418</v>
      </c>
      <c r="R108" s="372" t="s">
        <v>418</v>
      </c>
      <c r="S108" s="372" t="s">
        <v>418</v>
      </c>
      <c r="T108" s="372" t="s">
        <v>418</v>
      </c>
      <c r="U108" s="372" t="s">
        <v>418</v>
      </c>
      <c r="V108" s="372" t="s">
        <v>418</v>
      </c>
      <c r="W108" s="372" t="s">
        <v>418</v>
      </c>
      <c r="X108" s="372" t="s">
        <v>418</v>
      </c>
      <c r="Y108" s="372" t="s">
        <v>418</v>
      </c>
      <c r="Z108" s="372"/>
      <c r="AA108" s="372" t="s">
        <v>418</v>
      </c>
      <c r="AB108" s="372" t="s">
        <v>418</v>
      </c>
      <c r="AC108" s="372" t="s">
        <v>418</v>
      </c>
      <c r="AD108" s="372" t="s">
        <v>418</v>
      </c>
      <c r="AE108" s="372" t="s">
        <v>418</v>
      </c>
      <c r="AF108" s="372" t="s">
        <v>418</v>
      </c>
      <c r="AG108" s="372"/>
      <c r="AH108" s="372" t="s">
        <v>418</v>
      </c>
      <c r="AI108" s="372"/>
      <c r="AJ108" s="372" t="s">
        <v>418</v>
      </c>
      <c r="AK108" s="372"/>
    </row>
    <row r="109" spans="2:37">
      <c r="B109" s="377" t="s">
        <v>41</v>
      </c>
      <c r="C109" s="372"/>
      <c r="D109" s="372" t="s">
        <v>418</v>
      </c>
      <c r="E109" s="372" t="s">
        <v>418</v>
      </c>
      <c r="F109" s="372" t="s">
        <v>418</v>
      </c>
      <c r="G109" s="372" t="s">
        <v>418</v>
      </c>
      <c r="H109" s="372" t="s">
        <v>418</v>
      </c>
      <c r="I109" s="372" t="s">
        <v>418</v>
      </c>
      <c r="J109" s="372" t="s">
        <v>418</v>
      </c>
      <c r="K109" s="372" t="s">
        <v>418</v>
      </c>
      <c r="L109" s="372" t="s">
        <v>418</v>
      </c>
      <c r="M109" s="372" t="s">
        <v>418</v>
      </c>
      <c r="N109" s="372" t="s">
        <v>418</v>
      </c>
      <c r="O109" s="372" t="s">
        <v>418</v>
      </c>
      <c r="P109" s="372" t="s">
        <v>418</v>
      </c>
      <c r="Q109" s="372" t="s">
        <v>418</v>
      </c>
      <c r="R109" s="372" t="s">
        <v>418</v>
      </c>
      <c r="S109" s="372" t="s">
        <v>418</v>
      </c>
      <c r="T109" s="372" t="s">
        <v>418</v>
      </c>
      <c r="U109" s="372" t="s">
        <v>418</v>
      </c>
      <c r="V109" s="372" t="s">
        <v>418</v>
      </c>
      <c r="W109" s="372" t="s">
        <v>418</v>
      </c>
      <c r="X109" s="372" t="s">
        <v>418</v>
      </c>
      <c r="Y109" s="372" t="s">
        <v>418</v>
      </c>
      <c r="Z109" s="372" t="s">
        <v>418</v>
      </c>
      <c r="AA109" s="372" t="s">
        <v>418</v>
      </c>
      <c r="AB109" s="372" t="s">
        <v>418</v>
      </c>
      <c r="AC109" s="372" t="s">
        <v>418</v>
      </c>
      <c r="AD109" s="372" t="s">
        <v>418</v>
      </c>
      <c r="AE109" s="372" t="s">
        <v>418</v>
      </c>
      <c r="AF109" s="372" t="s">
        <v>418</v>
      </c>
      <c r="AG109" s="372" t="s">
        <v>418</v>
      </c>
      <c r="AH109" s="372" t="s">
        <v>418</v>
      </c>
      <c r="AI109" s="372" t="s">
        <v>418</v>
      </c>
      <c r="AJ109" s="372" t="s">
        <v>418</v>
      </c>
      <c r="AK109" s="372" t="s">
        <v>418</v>
      </c>
    </row>
    <row r="110" spans="2:37">
      <c r="B110" s="377" t="s">
        <v>42</v>
      </c>
      <c r="C110" s="372" t="s">
        <v>418</v>
      </c>
      <c r="D110" s="372" t="s">
        <v>418</v>
      </c>
      <c r="E110" s="372" t="s">
        <v>418</v>
      </c>
      <c r="F110" s="372" t="s">
        <v>418</v>
      </c>
      <c r="G110" s="372" t="s">
        <v>418</v>
      </c>
      <c r="H110" s="372" t="s">
        <v>418</v>
      </c>
      <c r="I110" s="372" t="s">
        <v>418</v>
      </c>
      <c r="J110" s="372" t="s">
        <v>418</v>
      </c>
      <c r="K110" s="372"/>
      <c r="L110" s="372"/>
      <c r="M110" s="372"/>
      <c r="N110" s="372" t="s">
        <v>418</v>
      </c>
      <c r="O110" s="372" t="s">
        <v>418</v>
      </c>
      <c r="P110" s="372" t="s">
        <v>418</v>
      </c>
      <c r="Q110" s="372" t="s">
        <v>418</v>
      </c>
      <c r="R110" s="372" t="s">
        <v>418</v>
      </c>
      <c r="S110" s="372" t="s">
        <v>418</v>
      </c>
      <c r="T110" s="372" t="s">
        <v>418</v>
      </c>
      <c r="U110" s="372" t="s">
        <v>418</v>
      </c>
      <c r="V110" s="372" t="s">
        <v>418</v>
      </c>
      <c r="W110" s="372" t="s">
        <v>418</v>
      </c>
      <c r="X110" s="372" t="s">
        <v>418</v>
      </c>
      <c r="Y110" s="372" t="s">
        <v>418</v>
      </c>
      <c r="Z110" s="372"/>
      <c r="AA110" s="372" t="s">
        <v>418</v>
      </c>
      <c r="AB110" s="372" t="s">
        <v>418</v>
      </c>
      <c r="AC110" s="372"/>
      <c r="AD110" s="372" t="s">
        <v>418</v>
      </c>
      <c r="AE110" s="372" t="s">
        <v>418</v>
      </c>
      <c r="AF110" s="372" t="s">
        <v>418</v>
      </c>
      <c r="AG110" s="372"/>
      <c r="AH110" s="372" t="s">
        <v>418</v>
      </c>
      <c r="AI110" s="372"/>
      <c r="AJ110" s="372" t="s">
        <v>418</v>
      </c>
      <c r="AK110" s="372"/>
    </row>
    <row r="111" spans="2:37">
      <c r="B111" s="377" t="s">
        <v>43</v>
      </c>
      <c r="C111" s="372" t="s">
        <v>418</v>
      </c>
      <c r="D111" s="372" t="s">
        <v>418</v>
      </c>
      <c r="E111" s="372" t="s">
        <v>418</v>
      </c>
      <c r="F111" s="372" t="s">
        <v>418</v>
      </c>
      <c r="G111" s="372" t="s">
        <v>418</v>
      </c>
      <c r="H111" s="372" t="s">
        <v>418</v>
      </c>
      <c r="I111" s="372" t="s">
        <v>418</v>
      </c>
      <c r="J111" s="372" t="s">
        <v>418</v>
      </c>
      <c r="K111" s="372"/>
      <c r="L111" s="372"/>
      <c r="M111" s="372"/>
      <c r="N111" s="372" t="s">
        <v>418</v>
      </c>
      <c r="O111" s="372"/>
      <c r="P111" s="372" t="s">
        <v>418</v>
      </c>
      <c r="Q111" s="372" t="s">
        <v>418</v>
      </c>
      <c r="R111" s="372"/>
      <c r="S111" s="372" t="s">
        <v>418</v>
      </c>
      <c r="T111" s="372" t="s">
        <v>418</v>
      </c>
      <c r="U111" s="372" t="s">
        <v>418</v>
      </c>
      <c r="V111" s="372" t="s">
        <v>418</v>
      </c>
      <c r="W111" s="372" t="s">
        <v>418</v>
      </c>
      <c r="X111" s="372" t="s">
        <v>418</v>
      </c>
      <c r="Y111" s="372" t="s">
        <v>418</v>
      </c>
      <c r="Z111" s="372" t="s">
        <v>418</v>
      </c>
      <c r="AA111" s="372" t="s">
        <v>418</v>
      </c>
      <c r="AB111" s="372" t="s">
        <v>418</v>
      </c>
      <c r="AC111" s="372"/>
      <c r="AD111" s="372" t="s">
        <v>418</v>
      </c>
      <c r="AE111" s="372" t="s">
        <v>418</v>
      </c>
      <c r="AF111" s="372"/>
      <c r="AG111" s="372"/>
      <c r="AH111" s="372"/>
      <c r="AI111" s="372"/>
      <c r="AJ111" s="372"/>
      <c r="AK111" s="372"/>
    </row>
    <row r="112" spans="2:37">
      <c r="B112" s="377" t="s">
        <v>113</v>
      </c>
      <c r="C112" s="372"/>
      <c r="D112" s="372" t="s">
        <v>418</v>
      </c>
      <c r="E112" s="372" t="s">
        <v>418</v>
      </c>
      <c r="F112" s="372" t="s">
        <v>418</v>
      </c>
      <c r="G112" s="372" t="s">
        <v>418</v>
      </c>
      <c r="H112" s="372" t="s">
        <v>418</v>
      </c>
      <c r="I112" s="372" t="s">
        <v>418</v>
      </c>
      <c r="J112" s="372" t="s">
        <v>418</v>
      </c>
      <c r="K112" s="372"/>
      <c r="L112" s="372"/>
      <c r="M112" s="372"/>
      <c r="N112" s="372" t="s">
        <v>418</v>
      </c>
      <c r="O112" s="372"/>
      <c r="P112" s="372" t="s">
        <v>418</v>
      </c>
      <c r="Q112" s="372" t="s">
        <v>418</v>
      </c>
      <c r="R112" s="372" t="s">
        <v>418</v>
      </c>
      <c r="S112" s="372" t="s">
        <v>418</v>
      </c>
      <c r="T112" s="372" t="s">
        <v>418</v>
      </c>
      <c r="U112" s="372" t="s">
        <v>418</v>
      </c>
      <c r="V112" s="372"/>
      <c r="W112" s="372" t="s">
        <v>418</v>
      </c>
      <c r="X112" s="372"/>
      <c r="Y112" s="372"/>
      <c r="Z112" s="372"/>
      <c r="AA112" s="372"/>
      <c r="AB112" s="372"/>
      <c r="AC112" s="372"/>
      <c r="AD112" s="372"/>
      <c r="AE112" s="372"/>
      <c r="AF112" s="372" t="s">
        <v>418</v>
      </c>
      <c r="AG112" s="372"/>
      <c r="AH112" s="372" t="s">
        <v>418</v>
      </c>
      <c r="AI112" s="372"/>
      <c r="AJ112" s="372" t="s">
        <v>418</v>
      </c>
      <c r="AK112" s="372"/>
    </row>
    <row r="113" spans="2:37">
      <c r="B113" s="377" t="s">
        <v>45</v>
      </c>
      <c r="C113" s="372"/>
      <c r="D113" s="372" t="s">
        <v>418</v>
      </c>
      <c r="E113" s="372" t="s">
        <v>418</v>
      </c>
      <c r="F113" s="372" t="s">
        <v>418</v>
      </c>
      <c r="G113" s="372" t="s">
        <v>418</v>
      </c>
      <c r="H113" s="372" t="s">
        <v>418</v>
      </c>
      <c r="I113" s="372" t="s">
        <v>418</v>
      </c>
      <c r="J113" s="372" t="s">
        <v>418</v>
      </c>
      <c r="K113" s="372"/>
      <c r="L113" s="372"/>
      <c r="M113" s="372"/>
      <c r="N113" s="372" t="s">
        <v>418</v>
      </c>
      <c r="O113" s="372"/>
      <c r="P113" s="372" t="s">
        <v>418</v>
      </c>
      <c r="Q113" s="372" t="s">
        <v>418</v>
      </c>
      <c r="R113" s="372" t="s">
        <v>418</v>
      </c>
      <c r="S113" s="372" t="s">
        <v>418</v>
      </c>
      <c r="T113" s="372" t="s">
        <v>418</v>
      </c>
      <c r="U113" s="372" t="s">
        <v>418</v>
      </c>
      <c r="V113" s="372" t="s">
        <v>418</v>
      </c>
      <c r="W113" s="372"/>
      <c r="X113" s="372"/>
      <c r="Y113" s="372"/>
      <c r="Z113" s="372" t="s">
        <v>418</v>
      </c>
      <c r="AA113" s="372"/>
      <c r="AB113" s="372"/>
      <c r="AC113" s="372"/>
      <c r="AD113" s="372"/>
      <c r="AE113" s="372"/>
      <c r="AF113" s="372"/>
      <c r="AG113" s="372"/>
      <c r="AH113" s="372" t="s">
        <v>418</v>
      </c>
      <c r="AI113" s="372"/>
      <c r="AJ113" s="372" t="s">
        <v>418</v>
      </c>
      <c r="AK113" s="372"/>
    </row>
    <row r="114" spans="2:37">
      <c r="B114" s="377" t="s">
        <v>46</v>
      </c>
      <c r="C114" s="372"/>
      <c r="D114" s="372" t="s">
        <v>418</v>
      </c>
      <c r="E114" s="372" t="s">
        <v>418</v>
      </c>
      <c r="F114" s="372"/>
      <c r="G114" s="372" t="s">
        <v>418</v>
      </c>
      <c r="H114" s="372"/>
      <c r="I114" s="372"/>
      <c r="J114" s="372" t="s">
        <v>418</v>
      </c>
      <c r="K114" s="372"/>
      <c r="L114" s="372"/>
      <c r="M114" s="372"/>
      <c r="N114" s="372" t="s">
        <v>418</v>
      </c>
      <c r="O114" s="372"/>
      <c r="P114" s="372" t="s">
        <v>418</v>
      </c>
      <c r="Q114" s="372" t="s">
        <v>418</v>
      </c>
      <c r="R114" s="372"/>
      <c r="S114" s="372"/>
      <c r="T114" s="372"/>
      <c r="U114" s="372"/>
      <c r="V114" s="372" t="s">
        <v>418</v>
      </c>
      <c r="W114" s="372"/>
      <c r="X114" s="372"/>
      <c r="Y114" s="372"/>
      <c r="Z114" s="372"/>
      <c r="AA114" s="372"/>
      <c r="AB114" s="372"/>
      <c r="AC114" s="372"/>
      <c r="AD114" s="372"/>
      <c r="AE114" s="372"/>
      <c r="AF114" s="372"/>
      <c r="AG114" s="372"/>
      <c r="AH114" s="372"/>
      <c r="AI114" s="372"/>
      <c r="AJ114" s="372"/>
      <c r="AK114" s="372"/>
    </row>
    <row r="115" spans="2:37">
      <c r="B115" s="377" t="s">
        <v>47</v>
      </c>
      <c r="C115" s="372"/>
      <c r="D115" s="372" t="s">
        <v>418</v>
      </c>
      <c r="E115" s="372" t="s">
        <v>418</v>
      </c>
      <c r="F115" s="372" t="s">
        <v>418</v>
      </c>
      <c r="G115" s="372" t="s">
        <v>418</v>
      </c>
      <c r="H115" s="372" t="s">
        <v>418</v>
      </c>
      <c r="I115" s="372" t="s">
        <v>418</v>
      </c>
      <c r="J115" s="372" t="s">
        <v>418</v>
      </c>
      <c r="K115" s="372"/>
      <c r="L115" s="372"/>
      <c r="M115" s="372"/>
      <c r="N115" s="372" t="s">
        <v>418</v>
      </c>
      <c r="O115" s="372"/>
      <c r="P115" s="372" t="s">
        <v>418</v>
      </c>
      <c r="Q115" s="372" t="s">
        <v>418</v>
      </c>
      <c r="R115" s="372" t="s">
        <v>418</v>
      </c>
      <c r="S115" s="372" t="s">
        <v>418</v>
      </c>
      <c r="T115" s="372" t="s">
        <v>418</v>
      </c>
      <c r="U115" s="372" t="s">
        <v>418</v>
      </c>
      <c r="V115" s="372"/>
      <c r="W115" s="372"/>
      <c r="X115" s="372"/>
      <c r="Y115" s="372"/>
      <c r="Z115" s="372"/>
      <c r="AA115" s="372"/>
      <c r="AB115" s="372"/>
      <c r="AC115" s="372"/>
      <c r="AD115" s="372"/>
      <c r="AE115" s="372"/>
      <c r="AF115" s="372"/>
      <c r="AG115" s="372"/>
      <c r="AH115" s="372"/>
      <c r="AI115" s="372"/>
      <c r="AJ115" s="372"/>
      <c r="AK115" s="372"/>
    </row>
    <row r="116" spans="2:37">
      <c r="B116" s="377" t="s">
        <v>69</v>
      </c>
      <c r="C116" s="372"/>
      <c r="D116" s="372" t="s">
        <v>418</v>
      </c>
      <c r="E116" s="372"/>
      <c r="F116" s="372"/>
      <c r="G116" s="372"/>
      <c r="H116" s="372"/>
      <c r="I116" s="372"/>
      <c r="J116" s="372"/>
      <c r="K116" s="372"/>
      <c r="L116" s="372"/>
      <c r="M116" s="372"/>
      <c r="N116" s="372"/>
      <c r="O116" s="372"/>
      <c r="P116" s="372"/>
      <c r="Q116" s="372"/>
      <c r="R116" s="372"/>
      <c r="S116" s="372"/>
      <c r="T116" s="372"/>
      <c r="U116" s="372"/>
      <c r="V116" s="372"/>
      <c r="W116" s="372"/>
      <c r="X116" s="372"/>
      <c r="Y116" s="372"/>
      <c r="Z116" s="372"/>
      <c r="AA116" s="372"/>
      <c r="AB116" s="372"/>
      <c r="AC116" s="372"/>
      <c r="AD116" s="372"/>
      <c r="AE116" s="372"/>
      <c r="AF116" s="372"/>
      <c r="AG116" s="372"/>
      <c r="AH116" s="372"/>
      <c r="AI116" s="372"/>
      <c r="AJ116" s="372"/>
      <c r="AK116" s="372"/>
    </row>
    <row r="117" spans="2:37">
      <c r="B117" s="377" t="s">
        <v>70</v>
      </c>
      <c r="C117" s="372"/>
      <c r="D117" s="372" t="s">
        <v>418</v>
      </c>
      <c r="E117" s="372"/>
      <c r="F117" s="372"/>
      <c r="G117" s="372"/>
      <c r="H117" s="372"/>
      <c r="I117" s="372"/>
      <c r="J117" s="372" t="s">
        <v>418</v>
      </c>
      <c r="K117" s="372"/>
      <c r="L117" s="372"/>
      <c r="M117" s="372"/>
      <c r="N117" s="372" t="s">
        <v>418</v>
      </c>
      <c r="O117" s="372"/>
      <c r="P117" s="372"/>
      <c r="Q117" s="372"/>
      <c r="R117" s="372"/>
      <c r="S117" s="372"/>
      <c r="T117" s="372"/>
      <c r="U117" s="372"/>
      <c r="V117" s="372"/>
      <c r="W117" s="372"/>
      <c r="X117" s="372"/>
      <c r="Y117" s="372"/>
      <c r="Z117" s="372"/>
      <c r="AA117" s="372"/>
      <c r="AB117" s="372"/>
      <c r="AC117" s="372"/>
      <c r="AD117" s="372"/>
      <c r="AE117" s="372"/>
      <c r="AF117" s="372"/>
      <c r="AG117" s="372"/>
      <c r="AH117" s="372"/>
      <c r="AI117" s="372"/>
      <c r="AJ117" s="372"/>
      <c r="AK117" s="372"/>
    </row>
    <row r="118" spans="2:37">
      <c r="B118" s="377" t="s">
        <v>50</v>
      </c>
      <c r="C118" s="372"/>
      <c r="D118" s="372" t="s">
        <v>418</v>
      </c>
      <c r="E118" s="372"/>
      <c r="F118" s="372" t="s">
        <v>418</v>
      </c>
      <c r="G118" s="372" t="s">
        <v>418</v>
      </c>
      <c r="H118" s="372"/>
      <c r="I118" s="372" t="s">
        <v>418</v>
      </c>
      <c r="J118" s="372" t="s">
        <v>418</v>
      </c>
      <c r="K118" s="372"/>
      <c r="L118" s="372"/>
      <c r="M118" s="372"/>
      <c r="N118" s="372" t="s">
        <v>418</v>
      </c>
      <c r="O118" s="372"/>
      <c r="P118" s="372" t="s">
        <v>418</v>
      </c>
      <c r="Q118" s="372" t="s">
        <v>418</v>
      </c>
      <c r="R118" s="372"/>
      <c r="S118" s="372" t="s">
        <v>418</v>
      </c>
      <c r="T118" s="372" t="s">
        <v>418</v>
      </c>
      <c r="U118" s="372" t="s">
        <v>418</v>
      </c>
      <c r="V118" s="372"/>
      <c r="W118" s="372"/>
      <c r="X118" s="372"/>
      <c r="Y118" s="372"/>
      <c r="Z118" s="372"/>
      <c r="AA118" s="372" t="s">
        <v>418</v>
      </c>
      <c r="AB118" s="372" t="s">
        <v>418</v>
      </c>
      <c r="AC118" s="372" t="s">
        <v>418</v>
      </c>
      <c r="AD118" s="372" t="s">
        <v>418</v>
      </c>
      <c r="AE118" s="372" t="s">
        <v>418</v>
      </c>
      <c r="AF118" s="372" t="s">
        <v>418</v>
      </c>
      <c r="AG118" s="372"/>
      <c r="AH118" s="372" t="s">
        <v>418</v>
      </c>
      <c r="AI118" s="372"/>
      <c r="AJ118" s="372" t="s">
        <v>418</v>
      </c>
      <c r="AK118" s="372"/>
    </row>
    <row r="119" spans="2:37">
      <c r="B119" s="377" t="s">
        <v>71</v>
      </c>
      <c r="C119" s="372"/>
      <c r="D119" s="372" t="s">
        <v>418</v>
      </c>
      <c r="E119" s="372"/>
      <c r="F119" s="372"/>
      <c r="G119" s="372" t="s">
        <v>418</v>
      </c>
      <c r="H119" s="372"/>
      <c r="I119" s="372"/>
      <c r="J119" s="372" t="s">
        <v>418</v>
      </c>
      <c r="K119" s="372"/>
      <c r="L119" s="372"/>
      <c r="M119" s="372"/>
      <c r="N119" s="372"/>
      <c r="O119" s="372"/>
      <c r="P119" s="372" t="s">
        <v>418</v>
      </c>
      <c r="Q119" s="372" t="s">
        <v>418</v>
      </c>
      <c r="R119" s="372"/>
      <c r="S119" s="372"/>
      <c r="T119" s="372"/>
      <c r="U119" s="372"/>
      <c r="V119" s="372"/>
      <c r="W119" s="372"/>
      <c r="X119" s="372"/>
      <c r="Y119" s="372"/>
      <c r="Z119" s="372"/>
      <c r="AA119" s="372"/>
      <c r="AB119" s="372"/>
      <c r="AC119" s="372"/>
      <c r="AD119" s="372"/>
      <c r="AE119" s="372"/>
      <c r="AF119" s="372"/>
      <c r="AG119" s="372"/>
      <c r="AH119" s="372"/>
      <c r="AI119" s="372"/>
      <c r="AJ119" s="372"/>
      <c r="AK119" s="372"/>
    </row>
    <row r="120" spans="2:37">
      <c r="B120" s="377" t="s">
        <v>52</v>
      </c>
      <c r="C120" s="372" t="s">
        <v>418</v>
      </c>
      <c r="D120" s="372" t="s">
        <v>418</v>
      </c>
      <c r="E120" s="372" t="s">
        <v>418</v>
      </c>
      <c r="F120" s="372" t="s">
        <v>418</v>
      </c>
      <c r="G120" s="372" t="s">
        <v>418</v>
      </c>
      <c r="H120" s="372" t="s">
        <v>418</v>
      </c>
      <c r="I120" s="372" t="s">
        <v>418</v>
      </c>
      <c r="J120" s="372" t="s">
        <v>418</v>
      </c>
      <c r="K120" s="372"/>
      <c r="L120" s="372"/>
      <c r="M120" s="372" t="s">
        <v>418</v>
      </c>
      <c r="N120" s="372" t="s">
        <v>418</v>
      </c>
      <c r="O120" s="372"/>
      <c r="P120" s="372" t="s">
        <v>418</v>
      </c>
      <c r="Q120" s="372" t="s">
        <v>418</v>
      </c>
      <c r="R120" s="372" t="s">
        <v>418</v>
      </c>
      <c r="S120" s="372" t="s">
        <v>418</v>
      </c>
      <c r="T120" s="372" t="s">
        <v>418</v>
      </c>
      <c r="U120" s="372" t="s">
        <v>418</v>
      </c>
      <c r="V120" s="372" t="s">
        <v>418</v>
      </c>
      <c r="W120" s="372" t="s">
        <v>418</v>
      </c>
      <c r="X120" s="372" t="s">
        <v>418</v>
      </c>
      <c r="Y120" s="372" t="s">
        <v>418</v>
      </c>
      <c r="Z120" s="372"/>
      <c r="AA120" s="372" t="s">
        <v>418</v>
      </c>
      <c r="AB120" s="372" t="s">
        <v>418</v>
      </c>
      <c r="AC120" s="372" t="s">
        <v>418</v>
      </c>
      <c r="AD120" s="372" t="s">
        <v>418</v>
      </c>
      <c r="AE120" s="372" t="s">
        <v>418</v>
      </c>
      <c r="AF120" s="372" t="s">
        <v>418</v>
      </c>
      <c r="AG120" s="372"/>
      <c r="AH120" s="372" t="s">
        <v>418</v>
      </c>
      <c r="AI120" s="372"/>
      <c r="AJ120" s="372" t="s">
        <v>418</v>
      </c>
      <c r="AK120" s="372"/>
    </row>
    <row r="121" spans="2:37">
      <c r="B121" s="377" t="s">
        <v>53</v>
      </c>
      <c r="C121" s="372"/>
      <c r="D121" s="372" t="s">
        <v>418</v>
      </c>
      <c r="E121" s="372" t="s">
        <v>418</v>
      </c>
      <c r="F121" s="372" t="s">
        <v>418</v>
      </c>
      <c r="G121" s="372" t="s">
        <v>418</v>
      </c>
      <c r="H121" s="372"/>
      <c r="I121" s="372"/>
      <c r="J121" s="372" t="s">
        <v>418</v>
      </c>
      <c r="K121" s="372"/>
      <c r="L121" s="372"/>
      <c r="M121" s="372"/>
      <c r="N121" s="372" t="s">
        <v>418</v>
      </c>
      <c r="O121" s="372"/>
      <c r="P121" s="372" t="s">
        <v>418</v>
      </c>
      <c r="Q121" s="372" t="s">
        <v>418</v>
      </c>
      <c r="R121" s="372"/>
      <c r="S121" s="372" t="s">
        <v>418</v>
      </c>
      <c r="T121" s="372" t="s">
        <v>418</v>
      </c>
      <c r="U121" s="372" t="s">
        <v>418</v>
      </c>
      <c r="V121" s="372"/>
      <c r="W121" s="372"/>
      <c r="X121" s="372"/>
      <c r="Y121" s="372"/>
      <c r="Z121" s="372"/>
      <c r="AA121" s="372"/>
      <c r="AB121" s="372"/>
      <c r="AC121" s="372"/>
      <c r="AD121" s="372"/>
      <c r="AE121" s="372"/>
      <c r="AF121" s="372"/>
      <c r="AG121" s="372"/>
      <c r="AH121" s="372"/>
      <c r="AI121" s="372"/>
      <c r="AJ121" s="372"/>
      <c r="AK121" s="372"/>
    </row>
    <row r="122" spans="2:37">
      <c r="B122" s="377" t="s">
        <v>54</v>
      </c>
      <c r="C122" s="372"/>
      <c r="D122" s="372" t="s">
        <v>418</v>
      </c>
      <c r="E122" s="372" t="s">
        <v>418</v>
      </c>
      <c r="F122" s="372" t="s">
        <v>418</v>
      </c>
      <c r="G122" s="372" t="s">
        <v>418</v>
      </c>
      <c r="H122" s="372" t="s">
        <v>418</v>
      </c>
      <c r="I122" s="372" t="s">
        <v>418</v>
      </c>
      <c r="J122" s="372" t="s">
        <v>418</v>
      </c>
      <c r="K122" s="372"/>
      <c r="L122" s="372"/>
      <c r="M122" s="372"/>
      <c r="N122" s="372"/>
      <c r="O122" s="372"/>
      <c r="P122" s="372" t="s">
        <v>418</v>
      </c>
      <c r="Q122" s="372" t="s">
        <v>418</v>
      </c>
      <c r="R122" s="372"/>
      <c r="S122" s="372" t="s">
        <v>418</v>
      </c>
      <c r="T122" s="372" t="s">
        <v>418</v>
      </c>
      <c r="U122" s="372" t="s">
        <v>418</v>
      </c>
      <c r="V122" s="372" t="s">
        <v>418</v>
      </c>
      <c r="W122" s="372"/>
      <c r="X122" s="372"/>
      <c r="Y122" s="372"/>
      <c r="Z122" s="372" t="s">
        <v>418</v>
      </c>
      <c r="AA122" s="372"/>
      <c r="AB122" s="372"/>
      <c r="AC122" s="372"/>
      <c r="AD122" s="372"/>
      <c r="AE122" s="372"/>
      <c r="AF122" s="372"/>
      <c r="AG122" s="372"/>
      <c r="AH122" s="372"/>
      <c r="AI122" s="372"/>
      <c r="AJ122" s="372"/>
      <c r="AK122" s="372"/>
    </row>
    <row r="123" spans="2:37">
      <c r="B123" s="377" t="s">
        <v>55</v>
      </c>
      <c r="C123" s="372"/>
      <c r="D123" s="372" t="s">
        <v>418</v>
      </c>
      <c r="E123" s="372" t="s">
        <v>418</v>
      </c>
      <c r="F123" s="372" t="s">
        <v>418</v>
      </c>
      <c r="G123" s="372" t="s">
        <v>418</v>
      </c>
      <c r="H123" s="372" t="s">
        <v>418</v>
      </c>
      <c r="I123" s="372" t="s">
        <v>418</v>
      </c>
      <c r="J123" s="372" t="s">
        <v>418</v>
      </c>
      <c r="K123" s="372"/>
      <c r="L123" s="372"/>
      <c r="M123" s="372"/>
      <c r="N123" s="372" t="s">
        <v>418</v>
      </c>
      <c r="O123" s="372"/>
      <c r="P123" s="372" t="s">
        <v>418</v>
      </c>
      <c r="Q123" s="372" t="s">
        <v>418</v>
      </c>
      <c r="R123" s="372"/>
      <c r="S123" s="372" t="s">
        <v>418</v>
      </c>
      <c r="T123" s="372" t="s">
        <v>418</v>
      </c>
      <c r="U123" s="372" t="s">
        <v>418</v>
      </c>
      <c r="V123" s="372" t="s">
        <v>418</v>
      </c>
      <c r="W123" s="372"/>
      <c r="X123" s="372"/>
      <c r="Y123" s="372"/>
      <c r="Z123" s="372" t="s">
        <v>418</v>
      </c>
      <c r="AA123" s="372"/>
      <c r="AB123" s="372"/>
      <c r="AC123" s="372"/>
      <c r="AD123" s="372"/>
      <c r="AE123" s="372"/>
      <c r="AF123" s="372"/>
      <c r="AG123" s="372"/>
      <c r="AH123" s="372" t="s">
        <v>418</v>
      </c>
      <c r="AI123" s="372"/>
      <c r="AJ123" s="372" t="s">
        <v>418</v>
      </c>
      <c r="AK123" s="372"/>
    </row>
    <row r="124" spans="2:37">
      <c r="B124" s="377" t="s">
        <v>56</v>
      </c>
      <c r="C124" s="372" t="s">
        <v>418</v>
      </c>
      <c r="D124" s="372" t="s">
        <v>418</v>
      </c>
      <c r="E124" s="372" t="s">
        <v>418</v>
      </c>
      <c r="F124" s="372" t="s">
        <v>418</v>
      </c>
      <c r="G124" s="372" t="s">
        <v>418</v>
      </c>
      <c r="H124" s="372" t="s">
        <v>418</v>
      </c>
      <c r="I124" s="372" t="s">
        <v>418</v>
      </c>
      <c r="J124" s="372" t="s">
        <v>418</v>
      </c>
      <c r="K124" s="372"/>
      <c r="L124" s="372" t="s">
        <v>418</v>
      </c>
      <c r="M124" s="372" t="s">
        <v>418</v>
      </c>
      <c r="N124" s="372"/>
      <c r="O124" s="372"/>
      <c r="P124" s="372" t="s">
        <v>418</v>
      </c>
      <c r="Q124" s="372" t="s">
        <v>418</v>
      </c>
      <c r="R124" s="372" t="s">
        <v>418</v>
      </c>
      <c r="S124" s="372" t="s">
        <v>418</v>
      </c>
      <c r="T124" s="372" t="s">
        <v>418</v>
      </c>
      <c r="U124" s="372" t="s">
        <v>418</v>
      </c>
      <c r="V124" s="372" t="s">
        <v>418</v>
      </c>
      <c r="W124" s="372" t="s">
        <v>418</v>
      </c>
      <c r="X124" s="372" t="s">
        <v>418</v>
      </c>
      <c r="Y124" s="372" t="s">
        <v>418</v>
      </c>
      <c r="Z124" s="372"/>
      <c r="AA124" s="372" t="s">
        <v>418</v>
      </c>
      <c r="AB124" s="372" t="s">
        <v>418</v>
      </c>
      <c r="AC124" s="372" t="s">
        <v>418</v>
      </c>
      <c r="AD124" s="372" t="s">
        <v>418</v>
      </c>
      <c r="AE124" s="372" t="s">
        <v>418</v>
      </c>
      <c r="AF124" s="372"/>
      <c r="AG124" s="372"/>
      <c r="AH124" s="372" t="s">
        <v>418</v>
      </c>
      <c r="AI124" s="372"/>
      <c r="AJ124" s="372" t="s">
        <v>418</v>
      </c>
      <c r="AK124" s="372"/>
    </row>
    <row r="125" spans="2:37">
      <c r="B125" s="377" t="s">
        <v>72</v>
      </c>
      <c r="C125" s="372"/>
      <c r="D125" s="372" t="s">
        <v>418</v>
      </c>
      <c r="E125" s="372"/>
      <c r="F125" s="372" t="s">
        <v>418</v>
      </c>
      <c r="G125" s="372"/>
      <c r="H125" s="372"/>
      <c r="I125" s="372"/>
      <c r="J125" s="372"/>
      <c r="K125" s="372"/>
      <c r="L125" s="372"/>
      <c r="M125" s="372"/>
      <c r="N125" s="372"/>
      <c r="O125" s="372"/>
      <c r="P125" s="372"/>
      <c r="Q125" s="372" t="s">
        <v>418</v>
      </c>
      <c r="R125" s="372"/>
      <c r="S125" s="372"/>
      <c r="T125" s="372"/>
      <c r="U125" s="372"/>
      <c r="V125" s="372"/>
      <c r="W125" s="372" t="s">
        <v>418</v>
      </c>
      <c r="X125" s="372" t="s">
        <v>418</v>
      </c>
      <c r="Y125" s="372" t="s">
        <v>418</v>
      </c>
      <c r="Z125" s="372"/>
      <c r="AA125" s="372"/>
      <c r="AB125" s="372"/>
      <c r="AC125" s="372"/>
      <c r="AD125" s="372"/>
      <c r="AE125" s="372"/>
      <c r="AF125" s="372"/>
      <c r="AG125" s="372"/>
      <c r="AH125" s="372"/>
      <c r="AI125" s="372"/>
      <c r="AJ125" s="372"/>
      <c r="AK125" s="372"/>
    </row>
    <row r="126" spans="2:37">
      <c r="B126" s="377" t="s">
        <v>58</v>
      </c>
      <c r="C126" s="372" t="s">
        <v>418</v>
      </c>
      <c r="D126" s="372" t="s">
        <v>418</v>
      </c>
      <c r="E126" s="372" t="s">
        <v>418</v>
      </c>
      <c r="F126" s="372" t="s">
        <v>418</v>
      </c>
      <c r="G126" s="372" t="s">
        <v>418</v>
      </c>
      <c r="H126" s="372" t="s">
        <v>418</v>
      </c>
      <c r="I126" s="372" t="s">
        <v>418</v>
      </c>
      <c r="J126" s="372" t="s">
        <v>418</v>
      </c>
      <c r="K126" s="372"/>
      <c r="L126" s="372"/>
      <c r="M126" s="372"/>
      <c r="N126" s="372" t="s">
        <v>418</v>
      </c>
      <c r="O126" s="372"/>
      <c r="P126" s="372" t="s">
        <v>418</v>
      </c>
      <c r="Q126" s="372" t="s">
        <v>418</v>
      </c>
      <c r="R126" s="372"/>
      <c r="S126" s="372" t="s">
        <v>418</v>
      </c>
      <c r="T126" s="372" t="s">
        <v>418</v>
      </c>
      <c r="U126" s="372" t="s">
        <v>418</v>
      </c>
      <c r="V126" s="372" t="s">
        <v>418</v>
      </c>
      <c r="W126" s="372" t="s">
        <v>418</v>
      </c>
      <c r="X126" s="372" t="s">
        <v>418</v>
      </c>
      <c r="Y126" s="372" t="s">
        <v>418</v>
      </c>
      <c r="Z126" s="372"/>
      <c r="AA126" s="372"/>
      <c r="AB126" s="372"/>
      <c r="AC126" s="372"/>
      <c r="AD126" s="372"/>
      <c r="AE126" s="372"/>
      <c r="AF126" s="372" t="s">
        <v>418</v>
      </c>
      <c r="AG126" s="372"/>
      <c r="AH126" s="372"/>
      <c r="AI126" s="372"/>
      <c r="AJ126" s="372"/>
      <c r="AK126" s="372"/>
    </row>
    <row r="127" spans="2:37">
      <c r="B127" s="377" t="s">
        <v>59</v>
      </c>
      <c r="C127" s="372"/>
      <c r="D127" s="372" t="s">
        <v>418</v>
      </c>
      <c r="E127" s="372"/>
      <c r="F127" s="372"/>
      <c r="G127" s="372" t="s">
        <v>418</v>
      </c>
      <c r="H127" s="372" t="s">
        <v>418</v>
      </c>
      <c r="I127" s="372" t="s">
        <v>418</v>
      </c>
      <c r="J127" s="372" t="s">
        <v>418</v>
      </c>
      <c r="K127" s="372"/>
      <c r="L127" s="372"/>
      <c r="M127" s="372"/>
      <c r="N127" s="372" t="s">
        <v>418</v>
      </c>
      <c r="O127" s="372"/>
      <c r="P127" s="372" t="s">
        <v>418</v>
      </c>
      <c r="Q127" s="372" t="s">
        <v>418</v>
      </c>
      <c r="R127" s="372" t="s">
        <v>418</v>
      </c>
      <c r="S127" s="372"/>
      <c r="T127" s="372"/>
      <c r="U127" s="372"/>
      <c r="V127" s="372" t="s">
        <v>418</v>
      </c>
      <c r="W127" s="372"/>
      <c r="X127" s="372"/>
      <c r="Y127" s="372"/>
      <c r="Z127" s="372"/>
      <c r="AA127" s="372"/>
      <c r="AB127" s="372"/>
      <c r="AC127" s="372"/>
      <c r="AD127" s="372"/>
      <c r="AE127" s="372"/>
      <c r="AF127" s="372" t="s">
        <v>418</v>
      </c>
      <c r="AG127" s="372"/>
      <c r="AH127" s="372"/>
      <c r="AI127" s="372"/>
      <c r="AJ127" s="372"/>
      <c r="AK127" s="372"/>
    </row>
    <row r="134" spans="2:66">
      <c r="C134" s="370">
        <v>2</v>
      </c>
      <c r="D134" s="370">
        <v>3</v>
      </c>
      <c r="E134" s="370">
        <v>4</v>
      </c>
      <c r="F134" s="370">
        <v>5</v>
      </c>
      <c r="G134" s="370">
        <v>6</v>
      </c>
      <c r="H134" s="370">
        <v>7</v>
      </c>
      <c r="I134" s="370">
        <v>8</v>
      </c>
      <c r="J134" s="370">
        <v>9</v>
      </c>
      <c r="K134" s="370">
        <v>10</v>
      </c>
      <c r="L134" s="370">
        <v>11</v>
      </c>
      <c r="M134" s="370">
        <v>12</v>
      </c>
      <c r="N134" s="370">
        <v>13</v>
      </c>
      <c r="O134" s="370">
        <v>14</v>
      </c>
      <c r="P134" s="370">
        <v>15</v>
      </c>
      <c r="Q134" s="370">
        <v>16</v>
      </c>
      <c r="R134" s="370">
        <v>17</v>
      </c>
      <c r="S134" s="370">
        <v>18</v>
      </c>
      <c r="T134" s="370">
        <v>19</v>
      </c>
      <c r="U134" s="370">
        <v>20</v>
      </c>
      <c r="V134" s="370">
        <v>21</v>
      </c>
      <c r="W134" s="370">
        <v>22</v>
      </c>
      <c r="X134" s="370">
        <v>23</v>
      </c>
      <c r="Y134" s="370">
        <v>24</v>
      </c>
      <c r="Z134" s="370">
        <v>25</v>
      </c>
      <c r="AA134" s="370">
        <v>26</v>
      </c>
      <c r="AB134" s="370">
        <v>27</v>
      </c>
      <c r="AC134" s="370">
        <v>28</v>
      </c>
      <c r="AD134" s="370">
        <v>29</v>
      </c>
      <c r="AE134" s="370">
        <v>30</v>
      </c>
      <c r="AF134" s="370">
        <v>31</v>
      </c>
      <c r="AG134" s="370">
        <v>32</v>
      </c>
      <c r="AH134" s="370">
        <v>33</v>
      </c>
      <c r="AI134" s="370">
        <v>34</v>
      </c>
      <c r="AJ134" s="370">
        <v>35</v>
      </c>
      <c r="AK134" s="370">
        <v>36</v>
      </c>
      <c r="AL134" s="370">
        <v>37</v>
      </c>
      <c r="AM134" s="370">
        <v>38</v>
      </c>
      <c r="AN134" s="370">
        <v>39</v>
      </c>
      <c r="AO134" s="370">
        <v>40</v>
      </c>
      <c r="AP134" s="370">
        <v>41</v>
      </c>
      <c r="AQ134" s="370">
        <v>42</v>
      </c>
      <c r="AR134" s="370">
        <v>43</v>
      </c>
      <c r="AS134" s="370">
        <v>44</v>
      </c>
      <c r="AT134" s="370">
        <v>45</v>
      </c>
      <c r="AU134" s="370">
        <v>46</v>
      </c>
      <c r="AV134" s="370">
        <v>47</v>
      </c>
      <c r="AW134" s="370">
        <v>48</v>
      </c>
      <c r="AX134" s="370">
        <v>49</v>
      </c>
      <c r="AY134" s="370">
        <v>50</v>
      </c>
      <c r="AZ134" s="370">
        <v>51</v>
      </c>
      <c r="BA134" s="370">
        <v>52</v>
      </c>
      <c r="BB134" s="370">
        <v>53</v>
      </c>
      <c r="BC134" s="370">
        <v>54</v>
      </c>
      <c r="BD134" s="370">
        <v>55</v>
      </c>
      <c r="BE134" s="370">
        <v>56</v>
      </c>
      <c r="BF134" s="370">
        <v>57</v>
      </c>
      <c r="BG134" s="370">
        <v>58</v>
      </c>
      <c r="BH134" s="370">
        <v>59</v>
      </c>
      <c r="BI134" s="370">
        <v>60</v>
      </c>
      <c r="BJ134" s="370">
        <v>61</v>
      </c>
      <c r="BK134" s="370">
        <v>62</v>
      </c>
      <c r="BL134" s="370">
        <v>63</v>
      </c>
      <c r="BM134" s="370">
        <v>64</v>
      </c>
      <c r="BN134" s="370">
        <v>65</v>
      </c>
    </row>
    <row r="135" spans="2:66">
      <c r="C135" s="370" t="s">
        <v>421</v>
      </c>
      <c r="D135" s="370" t="s">
        <v>422</v>
      </c>
      <c r="E135" s="370" t="s">
        <v>423</v>
      </c>
      <c r="F135" s="370" t="s">
        <v>424</v>
      </c>
      <c r="G135" s="370" t="s">
        <v>425</v>
      </c>
      <c r="H135" s="370" t="s">
        <v>426</v>
      </c>
      <c r="I135" s="370" t="s">
        <v>427</v>
      </c>
      <c r="J135" s="370" t="s">
        <v>428</v>
      </c>
      <c r="K135" s="370" t="s">
        <v>429</v>
      </c>
      <c r="L135" s="370" t="s">
        <v>430</v>
      </c>
      <c r="M135" s="370" t="s">
        <v>431</v>
      </c>
      <c r="N135" s="370" t="s">
        <v>432</v>
      </c>
      <c r="O135" s="370" t="s">
        <v>433</v>
      </c>
      <c r="P135" s="370" t="s">
        <v>434</v>
      </c>
      <c r="Q135" s="370" t="s">
        <v>435</v>
      </c>
      <c r="R135" s="370" t="s">
        <v>436</v>
      </c>
      <c r="S135" s="370" t="s">
        <v>437</v>
      </c>
      <c r="T135" s="370" t="s">
        <v>438</v>
      </c>
      <c r="U135" s="370" t="s">
        <v>439</v>
      </c>
      <c r="V135" s="370" t="s">
        <v>440</v>
      </c>
      <c r="W135" s="370" t="s">
        <v>441</v>
      </c>
      <c r="X135" s="370" t="s">
        <v>442</v>
      </c>
      <c r="Y135" s="370" t="s">
        <v>443</v>
      </c>
      <c r="Z135" s="370" t="s">
        <v>444</v>
      </c>
      <c r="AA135" s="370" t="s">
        <v>445</v>
      </c>
      <c r="AB135" s="370" t="s">
        <v>446</v>
      </c>
      <c r="AC135" s="370" t="s">
        <v>447</v>
      </c>
      <c r="AD135" s="370" t="s">
        <v>448</v>
      </c>
      <c r="AE135" s="370" t="s">
        <v>449</v>
      </c>
      <c r="AF135" s="370" t="s">
        <v>450</v>
      </c>
      <c r="AG135" s="370" t="s">
        <v>1062</v>
      </c>
      <c r="AH135" s="370" t="s">
        <v>1063</v>
      </c>
      <c r="AI135" s="370" t="s">
        <v>1064</v>
      </c>
      <c r="AJ135" s="370" t="s">
        <v>1065</v>
      </c>
      <c r="AK135" s="370" t="s">
        <v>1066</v>
      </c>
      <c r="AL135" s="370" t="s">
        <v>1067</v>
      </c>
      <c r="AM135" s="370" t="s">
        <v>1068</v>
      </c>
      <c r="AN135" s="370" t="s">
        <v>1069</v>
      </c>
      <c r="AO135" s="370" t="s">
        <v>1070</v>
      </c>
      <c r="AP135" s="370" t="s">
        <v>1071</v>
      </c>
      <c r="AQ135" s="370" t="s">
        <v>1072</v>
      </c>
      <c r="AR135" s="370" t="s">
        <v>1073</v>
      </c>
      <c r="AS135" s="370" t="s">
        <v>1074</v>
      </c>
      <c r="AT135" s="370" t="s">
        <v>1075</v>
      </c>
      <c r="AU135" s="370" t="s">
        <v>1076</v>
      </c>
      <c r="AV135" s="370" t="s">
        <v>1077</v>
      </c>
      <c r="AW135" s="370" t="s">
        <v>1078</v>
      </c>
      <c r="AX135" s="370" t="s">
        <v>1079</v>
      </c>
      <c r="AY135" s="370" t="s">
        <v>1080</v>
      </c>
      <c r="AZ135" s="370" t="s">
        <v>1081</v>
      </c>
      <c r="BA135" s="370" t="s">
        <v>1082</v>
      </c>
      <c r="BB135" s="370" t="s">
        <v>1083</v>
      </c>
      <c r="BC135" s="370" t="s">
        <v>1147</v>
      </c>
      <c r="BD135" s="370" t="s">
        <v>1148</v>
      </c>
      <c r="BE135" s="370" t="s">
        <v>1149</v>
      </c>
      <c r="BF135" s="370" t="s">
        <v>1150</v>
      </c>
      <c r="BG135" s="370" t="s">
        <v>1151</v>
      </c>
      <c r="BH135" s="370" t="s">
        <v>1152</v>
      </c>
      <c r="BI135" s="370" t="s">
        <v>1153</v>
      </c>
      <c r="BJ135" s="370" t="s">
        <v>1154</v>
      </c>
      <c r="BK135" s="370" t="s">
        <v>1155</v>
      </c>
      <c r="BL135" s="370" t="s">
        <v>1156</v>
      </c>
      <c r="BM135" s="370" t="s">
        <v>1157</v>
      </c>
      <c r="BN135" s="370" t="s">
        <v>1158</v>
      </c>
    </row>
    <row r="136" spans="2:66" s="378" customFormat="1">
      <c r="B136" s="379" t="s">
        <v>20</v>
      </c>
    </row>
    <row r="137" spans="2:66" s="378" customFormat="1" ht="15.5">
      <c r="B137" s="379" t="s">
        <v>36</v>
      </c>
      <c r="C137" s="380" t="s">
        <v>452</v>
      </c>
      <c r="D137" s="380" t="s">
        <v>1084</v>
      </c>
      <c r="E137" s="380" t="s">
        <v>1032</v>
      </c>
      <c r="F137" s="378" t="s">
        <v>1085</v>
      </c>
      <c r="G137" s="380" t="s">
        <v>1086</v>
      </c>
      <c r="H137" s="380" t="s">
        <v>1087</v>
      </c>
      <c r="I137" s="380" t="s">
        <v>1088</v>
      </c>
      <c r="J137" s="380" t="s">
        <v>1089</v>
      </c>
      <c r="K137" s="380" t="s">
        <v>1039</v>
      </c>
      <c r="L137" s="380" t="s">
        <v>459</v>
      </c>
      <c r="M137" s="380" t="s">
        <v>1090</v>
      </c>
      <c r="O137" s="380" t="s">
        <v>1091</v>
      </c>
      <c r="P137" s="378" t="s">
        <v>460</v>
      </c>
      <c r="Q137" s="381" t="s">
        <v>1092</v>
      </c>
      <c r="R137" s="380" t="s">
        <v>1048</v>
      </c>
      <c r="S137" s="380" t="s">
        <v>1049</v>
      </c>
      <c r="T137" s="380" t="s">
        <v>1191</v>
      </c>
      <c r="U137" s="380" t="s">
        <v>1192</v>
      </c>
      <c r="V137" s="382" t="s">
        <v>1193</v>
      </c>
      <c r="W137" s="380" t="s">
        <v>1055</v>
      </c>
      <c r="X137" s="381" t="s">
        <v>1093</v>
      </c>
      <c r="Y137" s="380" t="s">
        <v>1194</v>
      </c>
      <c r="Z137" s="380" t="s">
        <v>1094</v>
      </c>
    </row>
    <row r="138" spans="2:66" s="378" customFormat="1">
      <c r="B138" s="379" t="s">
        <v>66</v>
      </c>
      <c r="T138" s="383"/>
    </row>
    <row r="139" spans="2:66" s="378" customFormat="1">
      <c r="B139" s="379" t="s">
        <v>67</v>
      </c>
      <c r="T139" s="383"/>
    </row>
    <row r="140" spans="2:66" s="378" customFormat="1">
      <c r="B140" s="379" t="s">
        <v>39</v>
      </c>
      <c r="T140" s="384"/>
    </row>
    <row r="141" spans="2:66" s="378" customFormat="1" ht="15.5">
      <c r="B141" s="379" t="s">
        <v>40</v>
      </c>
      <c r="T141" s="385"/>
    </row>
    <row r="142" spans="2:66" s="378" customFormat="1">
      <c r="B142" s="379" t="s">
        <v>41</v>
      </c>
      <c r="C142" s="381" t="s">
        <v>451</v>
      </c>
      <c r="D142" s="381" t="s">
        <v>1095</v>
      </c>
      <c r="E142" s="381" t="s">
        <v>1096</v>
      </c>
      <c r="F142" s="381" t="s">
        <v>1097</v>
      </c>
      <c r="G142" s="381" t="s">
        <v>1098</v>
      </c>
      <c r="H142" s="381" t="s">
        <v>1099</v>
      </c>
      <c r="I142" s="380" t="s">
        <v>1084</v>
      </c>
      <c r="J142" s="381" t="s">
        <v>1100</v>
      </c>
      <c r="K142" s="381" t="s">
        <v>1101</v>
      </c>
      <c r="L142" s="381" t="s">
        <v>1102</v>
      </c>
      <c r="M142" s="381" t="s">
        <v>1103</v>
      </c>
      <c r="N142" s="381" t="s">
        <v>1104</v>
      </c>
      <c r="O142" s="381" t="s">
        <v>1105</v>
      </c>
      <c r="P142" s="381" t="s">
        <v>1106</v>
      </c>
      <c r="Q142" s="381" t="s">
        <v>1107</v>
      </c>
      <c r="R142" s="381" t="s">
        <v>1108</v>
      </c>
      <c r="S142" s="381" t="s">
        <v>1109</v>
      </c>
      <c r="T142" s="381" t="s">
        <v>1110</v>
      </c>
      <c r="U142" s="381" t="s">
        <v>1111</v>
      </c>
      <c r="V142" s="381" t="s">
        <v>1112</v>
      </c>
      <c r="W142" s="381" t="s">
        <v>1113</v>
      </c>
      <c r="X142" s="381" t="s">
        <v>1114</v>
      </c>
      <c r="Y142" s="381" t="s">
        <v>1115</v>
      </c>
      <c r="Z142" s="381" t="s">
        <v>1116</v>
      </c>
      <c r="AA142" s="381" t="s">
        <v>1117</v>
      </c>
      <c r="AB142" s="381" t="s">
        <v>1118</v>
      </c>
      <c r="AC142" s="381" t="s">
        <v>1119</v>
      </c>
      <c r="AD142" s="381" t="s">
        <v>1195</v>
      </c>
      <c r="AE142" s="381" t="s">
        <v>1120</v>
      </c>
      <c r="AF142" s="381" t="s">
        <v>1121</v>
      </c>
      <c r="AG142" s="381" t="s">
        <v>1122</v>
      </c>
      <c r="AH142" s="381" t="s">
        <v>1123</v>
      </c>
      <c r="AI142" s="381" t="s">
        <v>1124</v>
      </c>
      <c r="AJ142" s="381" t="s">
        <v>1125</v>
      </c>
      <c r="AK142" s="381" t="s">
        <v>1126</v>
      </c>
      <c r="AL142" s="381" t="s">
        <v>1127</v>
      </c>
      <c r="AM142" s="381" t="s">
        <v>1128</v>
      </c>
      <c r="AN142" s="381" t="s">
        <v>1129</v>
      </c>
      <c r="AO142" s="381" t="s">
        <v>1196</v>
      </c>
      <c r="AP142" s="381" t="s">
        <v>1092</v>
      </c>
      <c r="AQ142" s="380" t="s">
        <v>1048</v>
      </c>
      <c r="AR142" s="381" t="s">
        <v>1197</v>
      </c>
      <c r="AS142" s="381" t="s">
        <v>1130</v>
      </c>
      <c r="AT142" s="381" t="s">
        <v>1131</v>
      </c>
      <c r="AU142" s="381" t="s">
        <v>1132</v>
      </c>
      <c r="AV142" s="381" t="s">
        <v>1198</v>
      </c>
      <c r="AW142" s="381" t="s">
        <v>1133</v>
      </c>
      <c r="AX142" s="381" t="s">
        <v>1134</v>
      </c>
      <c r="AY142" s="386" t="s">
        <v>1199</v>
      </c>
      <c r="AZ142" s="386" t="s">
        <v>1200</v>
      </c>
      <c r="BA142" s="381" t="s">
        <v>1135</v>
      </c>
      <c r="BB142" s="381" t="s">
        <v>1136</v>
      </c>
      <c r="BC142" s="380" t="s">
        <v>1159</v>
      </c>
      <c r="BD142" s="381" t="s">
        <v>1137</v>
      </c>
      <c r="BE142" s="381" t="s">
        <v>1138</v>
      </c>
      <c r="BF142" s="381" t="s">
        <v>1139</v>
      </c>
      <c r="BG142" s="381" t="s">
        <v>1140</v>
      </c>
      <c r="BH142" s="381" t="s">
        <v>1141</v>
      </c>
      <c r="BI142" s="380" t="s">
        <v>1201</v>
      </c>
      <c r="BJ142" s="381" t="s">
        <v>1142</v>
      </c>
      <c r="BK142" s="381" t="s">
        <v>1143</v>
      </c>
      <c r="BL142" s="381" t="s">
        <v>1144</v>
      </c>
      <c r="BM142" s="378" t="s">
        <v>1145</v>
      </c>
      <c r="BN142" s="381" t="s">
        <v>1146</v>
      </c>
    </row>
    <row r="143" spans="2:66" s="378" customFormat="1" ht="15.5">
      <c r="B143" s="379" t="s">
        <v>42</v>
      </c>
      <c r="C143" s="380" t="s">
        <v>1026</v>
      </c>
      <c r="D143" s="380" t="s">
        <v>1027</v>
      </c>
      <c r="E143" s="380" t="s">
        <v>452</v>
      </c>
      <c r="F143" s="381" t="s">
        <v>1028</v>
      </c>
      <c r="G143" s="380" t="s">
        <v>1029</v>
      </c>
      <c r="H143" s="381" t="s">
        <v>1030</v>
      </c>
      <c r="I143" s="381" t="s">
        <v>1031</v>
      </c>
      <c r="J143" s="380" t="s">
        <v>1032</v>
      </c>
      <c r="K143" s="380" t="s">
        <v>1033</v>
      </c>
      <c r="L143" s="380" t="s">
        <v>1034</v>
      </c>
      <c r="M143" s="381" t="s">
        <v>1035</v>
      </c>
      <c r="N143" s="380" t="s">
        <v>1036</v>
      </c>
      <c r="O143" s="380" t="s">
        <v>1037</v>
      </c>
      <c r="P143" s="380" t="s">
        <v>1038</v>
      </c>
      <c r="Q143" s="380" t="s">
        <v>1039</v>
      </c>
      <c r="R143" s="382" t="s">
        <v>1202</v>
      </c>
      <c r="S143" s="380" t="s">
        <v>1203</v>
      </c>
      <c r="T143" s="380" t="s">
        <v>1204</v>
      </c>
      <c r="U143" s="380" t="s">
        <v>1040</v>
      </c>
      <c r="V143" s="380" t="s">
        <v>459</v>
      </c>
      <c r="W143" s="380" t="s">
        <v>1041</v>
      </c>
      <c r="X143" s="378" t="s">
        <v>1042</v>
      </c>
      <c r="Y143" s="378" t="s">
        <v>1043</v>
      </c>
      <c r="Z143" s="378" t="s">
        <v>1044</v>
      </c>
      <c r="AA143" s="378" t="s">
        <v>460</v>
      </c>
      <c r="AB143" s="380" t="s">
        <v>1045</v>
      </c>
      <c r="AC143" s="380" t="s">
        <v>1046</v>
      </c>
      <c r="AD143" s="380" t="s">
        <v>1047</v>
      </c>
      <c r="AE143" s="380" t="s">
        <v>462</v>
      </c>
      <c r="AF143" s="380" t="s">
        <v>1205</v>
      </c>
      <c r="AG143" s="380" t="s">
        <v>1048</v>
      </c>
      <c r="AH143" s="381" t="s">
        <v>1197</v>
      </c>
      <c r="AI143" s="381" t="s">
        <v>1049</v>
      </c>
      <c r="AJ143" s="378" t="s">
        <v>1050</v>
      </c>
      <c r="AK143" s="378" t="s">
        <v>1051</v>
      </c>
      <c r="AL143" s="380" t="s">
        <v>1052</v>
      </c>
      <c r="AM143" s="378" t="s">
        <v>1053</v>
      </c>
      <c r="AN143" s="378" t="s">
        <v>1054</v>
      </c>
      <c r="AO143" s="380" t="s">
        <v>1206</v>
      </c>
      <c r="AP143" s="380" t="s">
        <v>1055</v>
      </c>
      <c r="AQ143" s="378" t="s">
        <v>1056</v>
      </c>
      <c r="AR143" s="380" t="s">
        <v>469</v>
      </c>
      <c r="AS143" s="380" t="s">
        <v>1207</v>
      </c>
      <c r="AT143" s="380" t="s">
        <v>1208</v>
      </c>
      <c r="AU143" s="381" t="s">
        <v>1057</v>
      </c>
      <c r="AV143" s="381" t="s">
        <v>1209</v>
      </c>
      <c r="AW143" s="386" t="s">
        <v>1210</v>
      </c>
      <c r="AX143" s="378" t="s">
        <v>1059</v>
      </c>
      <c r="AY143" s="378" t="s">
        <v>1058</v>
      </c>
      <c r="AZ143" s="378" t="s">
        <v>470</v>
      </c>
      <c r="BA143" s="381" t="s">
        <v>1060</v>
      </c>
      <c r="BB143" s="378" t="s">
        <v>1061</v>
      </c>
    </row>
    <row r="144" spans="2:66" s="378" customFormat="1">
      <c r="B144" s="379" t="s">
        <v>43</v>
      </c>
      <c r="AF144" s="383"/>
      <c r="AO144" s="383"/>
      <c r="AT144" s="383"/>
    </row>
    <row r="145" spans="2:46" s="378" customFormat="1" ht="15.5">
      <c r="B145" s="379" t="s">
        <v>113</v>
      </c>
      <c r="C145" s="381" t="s">
        <v>1161</v>
      </c>
      <c r="D145" s="381" t="s">
        <v>1098</v>
      </c>
      <c r="E145" s="381" t="s">
        <v>1101</v>
      </c>
      <c r="F145" s="381" t="s">
        <v>1122</v>
      </c>
      <c r="G145" s="381" t="s">
        <v>1162</v>
      </c>
      <c r="H145" s="386" t="s">
        <v>1210</v>
      </c>
      <c r="I145" s="381" t="s">
        <v>1211</v>
      </c>
      <c r="J145" s="381" t="s">
        <v>1212</v>
      </c>
      <c r="K145" s="381" t="s">
        <v>1213</v>
      </c>
      <c r="L145" s="381" t="s">
        <v>1146</v>
      </c>
      <c r="AF145" s="383"/>
      <c r="AO145" s="383"/>
      <c r="AT145" s="383"/>
    </row>
    <row r="146" spans="2:46" s="378" customFormat="1">
      <c r="B146" s="379" t="s">
        <v>45</v>
      </c>
      <c r="AF146" s="384"/>
      <c r="AO146" s="384"/>
      <c r="AT146" s="384"/>
    </row>
    <row r="147" spans="2:46" s="378" customFormat="1">
      <c r="B147" s="379" t="s">
        <v>46</v>
      </c>
      <c r="AF147" s="384"/>
      <c r="AO147" s="384"/>
      <c r="AT147" s="384"/>
    </row>
    <row r="148" spans="2:46" s="378" customFormat="1">
      <c r="B148" s="379" t="s">
        <v>47</v>
      </c>
      <c r="AT148" s="384"/>
    </row>
    <row r="149" spans="2:46" s="378" customFormat="1">
      <c r="B149" s="379" t="s">
        <v>69</v>
      </c>
    </row>
    <row r="150" spans="2:46" s="378" customFormat="1">
      <c r="B150" s="379" t="s">
        <v>70</v>
      </c>
    </row>
    <row r="151" spans="2:46" s="378" customFormat="1">
      <c r="B151" s="379" t="s">
        <v>50</v>
      </c>
    </row>
    <row r="152" spans="2:46" s="378" customFormat="1">
      <c r="B152" s="379" t="s">
        <v>71</v>
      </c>
    </row>
    <row r="153" spans="2:46" s="378" customFormat="1">
      <c r="B153" s="379" t="s">
        <v>52</v>
      </c>
      <c r="C153" s="378" t="s">
        <v>451</v>
      </c>
      <c r="D153" s="387" t="s">
        <v>452</v>
      </c>
      <c r="E153" s="387" t="s">
        <v>453</v>
      </c>
      <c r="F153" s="370" t="s">
        <v>454</v>
      </c>
      <c r="G153" s="387" t="s">
        <v>455</v>
      </c>
      <c r="H153" s="387" t="s">
        <v>456</v>
      </c>
      <c r="I153" s="387" t="s">
        <v>457</v>
      </c>
      <c r="J153" s="387" t="s">
        <v>458</v>
      </c>
      <c r="K153" s="388" t="s">
        <v>1202</v>
      </c>
      <c r="L153" s="387" t="s">
        <v>459</v>
      </c>
      <c r="M153" s="378" t="s">
        <v>460</v>
      </c>
      <c r="N153" s="387" t="s">
        <v>461</v>
      </c>
      <c r="O153" s="387" t="s">
        <v>462</v>
      </c>
      <c r="P153" s="387" t="s">
        <v>1160</v>
      </c>
      <c r="Q153" s="387" t="s">
        <v>463</v>
      </c>
      <c r="R153" s="387" t="s">
        <v>464</v>
      </c>
      <c r="S153" s="389" t="s">
        <v>465</v>
      </c>
      <c r="T153" s="378" t="s">
        <v>466</v>
      </c>
      <c r="U153" s="387" t="s">
        <v>467</v>
      </c>
      <c r="V153" s="370" t="s">
        <v>468</v>
      </c>
      <c r="W153" s="387" t="s">
        <v>1192</v>
      </c>
      <c r="X153" s="388" t="s">
        <v>1193</v>
      </c>
      <c r="Y153" s="387" t="s">
        <v>469</v>
      </c>
      <c r="Z153" s="387" t="s">
        <v>1207</v>
      </c>
      <c r="AA153" s="378" t="s">
        <v>470</v>
      </c>
    </row>
    <row r="154" spans="2:46" s="378" customFormat="1">
      <c r="B154" s="379" t="s">
        <v>53</v>
      </c>
    </row>
    <row r="155" spans="2:46" s="378" customFormat="1">
      <c r="B155" s="379" t="s">
        <v>54</v>
      </c>
    </row>
    <row r="156" spans="2:46" s="378" customFormat="1">
      <c r="B156" s="379" t="s">
        <v>55</v>
      </c>
      <c r="F156" s="390"/>
    </row>
    <row r="157" spans="2:46" s="378" customFormat="1">
      <c r="B157" s="379" t="s">
        <v>56</v>
      </c>
      <c r="C157" s="381" t="s">
        <v>1163</v>
      </c>
      <c r="D157" s="381" t="s">
        <v>1164</v>
      </c>
      <c r="E157" s="381" t="s">
        <v>1165</v>
      </c>
      <c r="F157" s="381" t="s">
        <v>1166</v>
      </c>
      <c r="G157" s="381" t="s">
        <v>1167</v>
      </c>
      <c r="H157" s="381" t="s">
        <v>1168</v>
      </c>
      <c r="I157" s="381" t="s">
        <v>1169</v>
      </c>
      <c r="J157" s="381" t="s">
        <v>1105</v>
      </c>
      <c r="K157" s="381" t="s">
        <v>1107</v>
      </c>
      <c r="L157" s="381" t="s">
        <v>1170</v>
      </c>
      <c r="M157" s="381" t="s">
        <v>1171</v>
      </c>
      <c r="N157" s="381" t="s">
        <v>1172</v>
      </c>
      <c r="O157" s="381" t="s">
        <v>1173</v>
      </c>
      <c r="P157" s="381" t="s">
        <v>1117</v>
      </c>
      <c r="Q157" s="381" t="s">
        <v>1174</v>
      </c>
      <c r="R157" s="386" t="s">
        <v>1214</v>
      </c>
      <c r="S157" s="381" t="s">
        <v>1118</v>
      </c>
      <c r="T157" s="381" t="s">
        <v>1119</v>
      </c>
      <c r="U157" s="380" t="s">
        <v>1175</v>
      </c>
      <c r="V157" s="381" t="s">
        <v>1195</v>
      </c>
      <c r="W157" s="381" t="s">
        <v>1121</v>
      </c>
      <c r="X157" s="381" t="s">
        <v>1176</v>
      </c>
      <c r="Y157" s="381" t="s">
        <v>1177</v>
      </c>
      <c r="Z157" s="381" t="s">
        <v>1178</v>
      </c>
      <c r="AA157" s="381" t="s">
        <v>1179</v>
      </c>
      <c r="AB157" s="381" t="s">
        <v>1180</v>
      </c>
      <c r="AC157" s="381" t="s">
        <v>1181</v>
      </c>
      <c r="AD157" s="381" t="s">
        <v>1128</v>
      </c>
      <c r="AE157" s="381" t="s">
        <v>1182</v>
      </c>
      <c r="AF157" s="381" t="s">
        <v>1183</v>
      </c>
      <c r="AG157" s="378" t="s">
        <v>1184</v>
      </c>
      <c r="AH157" s="381" t="s">
        <v>1215</v>
      </c>
      <c r="AI157" s="381" t="s">
        <v>1197</v>
      </c>
      <c r="AJ157" s="381" t="s">
        <v>1185</v>
      </c>
      <c r="AK157" s="381" t="s">
        <v>1186</v>
      </c>
      <c r="AL157" s="381" t="s">
        <v>1187</v>
      </c>
      <c r="AM157" s="381" t="s">
        <v>1188</v>
      </c>
      <c r="AN157" s="381" t="s">
        <v>1136</v>
      </c>
      <c r="AO157" s="381" t="s">
        <v>1189</v>
      </c>
      <c r="AP157" s="381" t="s">
        <v>1190</v>
      </c>
      <c r="AQ157" s="381" t="s">
        <v>1211</v>
      </c>
    </row>
    <row r="158" spans="2:46" s="378" customFormat="1">
      <c r="B158" s="379" t="s">
        <v>72</v>
      </c>
    </row>
    <row r="159" spans="2:46" s="378" customFormat="1">
      <c r="B159" s="379" t="s">
        <v>58</v>
      </c>
    </row>
    <row r="160" spans="2:46" s="378" customFormat="1">
      <c r="B160" s="379" t="s">
        <v>59</v>
      </c>
    </row>
  </sheetData>
  <mergeCells count="66">
    <mergeCell ref="B2:R2"/>
    <mergeCell ref="C19:R19"/>
    <mergeCell ref="C20:R20"/>
    <mergeCell ref="C35:R35"/>
    <mergeCell ref="C36:R36"/>
    <mergeCell ref="C14:R14"/>
    <mergeCell ref="C15:R15"/>
    <mergeCell ref="C16:R16"/>
    <mergeCell ref="C17:R17"/>
    <mergeCell ref="C18:R18"/>
    <mergeCell ref="C32:R32"/>
    <mergeCell ref="C21:R21"/>
    <mergeCell ref="C23:R23"/>
    <mergeCell ref="C24:R24"/>
    <mergeCell ref="C25:R25"/>
    <mergeCell ref="C26:R26"/>
    <mergeCell ref="C38:R38"/>
    <mergeCell ref="C33:R33"/>
    <mergeCell ref="C34:R34"/>
    <mergeCell ref="C37:R37"/>
    <mergeCell ref="B6:B9"/>
    <mergeCell ref="C27:R27"/>
    <mergeCell ref="C28:R28"/>
    <mergeCell ref="C29:R29"/>
    <mergeCell ref="C30:R30"/>
    <mergeCell ref="C31:R31"/>
    <mergeCell ref="C22:R22"/>
    <mergeCell ref="C44:R44"/>
    <mergeCell ref="C45:R45"/>
    <mergeCell ref="C46:R46"/>
    <mergeCell ref="C47:R47"/>
    <mergeCell ref="C39:R39"/>
    <mergeCell ref="C40:R40"/>
    <mergeCell ref="C41:R41"/>
    <mergeCell ref="C42:R42"/>
    <mergeCell ref="C43:R43"/>
    <mergeCell ref="C48:R48"/>
    <mergeCell ref="C49:R49"/>
    <mergeCell ref="C50:R50"/>
    <mergeCell ref="C51:R51"/>
    <mergeCell ref="C52:R52"/>
    <mergeCell ref="C53:R53"/>
    <mergeCell ref="C54:R54"/>
    <mergeCell ref="C55:R55"/>
    <mergeCell ref="C56:R56"/>
    <mergeCell ref="C57:R57"/>
    <mergeCell ref="C63:R63"/>
    <mergeCell ref="C64:R64"/>
    <mergeCell ref="C65:R65"/>
    <mergeCell ref="C58:R58"/>
    <mergeCell ref="C59:R59"/>
    <mergeCell ref="C60:R60"/>
    <mergeCell ref="C61:R61"/>
    <mergeCell ref="C62:R62"/>
    <mergeCell ref="C66:R66"/>
    <mergeCell ref="C67:R67"/>
    <mergeCell ref="C68:R68"/>
    <mergeCell ref="C69:R69"/>
    <mergeCell ref="C70:R70"/>
    <mergeCell ref="C76:R76"/>
    <mergeCell ref="C77:R77"/>
    <mergeCell ref="C71:R71"/>
    <mergeCell ref="C72:R72"/>
    <mergeCell ref="C73:R73"/>
    <mergeCell ref="C74:R74"/>
    <mergeCell ref="C75:R75"/>
  </mergeCells>
  <conditionalFormatting sqref="AG7:AZ7 C7:T7 C9:S9">
    <cfRule type="cellIs" dxfId="0" priority="1" operator="equal">
      <formula>"Y"</formula>
    </cfRule>
  </conditionalFormatting>
  <printOptions horizontalCentered="1" verticalCentered="1"/>
  <pageMargins left="0.7" right="0.7" top="0.75" bottom="0.75" header="0.3" footer="0.3"/>
  <pageSetup scale="54" fitToHeight="5" orientation="portrait" r:id="rId1"/>
  <rowBreaks count="2" manualBreakCount="2">
    <brk id="19" max="19" man="1"/>
    <brk id="33" max="1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zoomScaleNormal="100" zoomScaleSheetLayoutView="100" workbookViewId="0"/>
  </sheetViews>
  <sheetFormatPr defaultColWidth="8.81640625" defaultRowHeight="14.5"/>
  <cols>
    <col min="1" max="1" width="4.26953125" style="2" customWidth="1"/>
    <col min="2" max="14" width="8.81640625" style="2"/>
    <col min="15" max="15" width="3.7265625" style="2" customWidth="1"/>
    <col min="16" max="16384" width="8.81640625" style="2"/>
  </cols>
  <sheetData>
    <row r="1" spans="1:15">
      <c r="A1" s="1"/>
      <c r="B1" s="1"/>
      <c r="C1" s="1"/>
      <c r="D1" s="1"/>
      <c r="E1" s="1"/>
      <c r="F1" s="1"/>
      <c r="G1" s="1"/>
      <c r="H1" s="1"/>
      <c r="I1" s="1"/>
      <c r="J1" s="1"/>
      <c r="K1" s="1"/>
      <c r="L1" s="1"/>
      <c r="M1" s="1"/>
      <c r="N1" s="1"/>
      <c r="O1" s="1"/>
    </row>
    <row r="2" spans="1:15" ht="17.5">
      <c r="A2" s="1"/>
      <c r="B2" s="359" t="s">
        <v>954</v>
      </c>
      <c r="C2" s="1"/>
      <c r="D2" s="1"/>
      <c r="E2" s="1"/>
      <c r="F2" s="1"/>
      <c r="G2" s="1"/>
      <c r="H2" s="1"/>
      <c r="I2" s="1"/>
      <c r="J2" s="1"/>
      <c r="K2" s="1"/>
      <c r="L2" s="1"/>
      <c r="M2" s="1"/>
      <c r="N2" s="1"/>
      <c r="O2" s="1"/>
    </row>
    <row r="3" spans="1:15">
      <c r="A3" s="1"/>
      <c r="B3" s="1"/>
      <c r="C3" s="1"/>
      <c r="D3" s="1"/>
      <c r="E3" s="1"/>
      <c r="F3" s="1"/>
      <c r="G3" s="1"/>
      <c r="H3" s="1"/>
      <c r="I3" s="1"/>
      <c r="J3" s="1"/>
      <c r="K3" s="1"/>
      <c r="L3" s="1"/>
      <c r="M3" s="1"/>
      <c r="N3" s="1"/>
      <c r="O3" s="1"/>
    </row>
    <row r="4" spans="1:15">
      <c r="A4" s="1"/>
      <c r="B4" s="1"/>
      <c r="C4" s="1"/>
      <c r="D4" s="1"/>
      <c r="E4" s="1"/>
      <c r="F4" s="1"/>
      <c r="G4" s="1"/>
      <c r="H4" s="1"/>
      <c r="I4" s="1"/>
      <c r="J4" s="1"/>
      <c r="K4" s="1"/>
      <c r="L4" s="1"/>
      <c r="M4" s="1"/>
      <c r="N4" s="1"/>
      <c r="O4" s="1"/>
    </row>
    <row r="5" spans="1:15">
      <c r="A5" s="1"/>
      <c r="B5" s="1"/>
      <c r="C5" s="1"/>
      <c r="D5" s="1"/>
      <c r="E5" s="1"/>
      <c r="F5" s="1"/>
      <c r="G5" s="1"/>
      <c r="H5" s="1"/>
      <c r="I5" s="1"/>
      <c r="J5" s="1"/>
      <c r="K5" s="1"/>
      <c r="L5" s="1"/>
      <c r="M5" s="1"/>
      <c r="N5" s="1"/>
      <c r="O5" s="1"/>
    </row>
    <row r="6" spans="1:15">
      <c r="A6" s="1"/>
      <c r="B6" s="1"/>
      <c r="C6" s="1"/>
      <c r="D6" s="1"/>
      <c r="E6" s="1"/>
      <c r="F6" s="1"/>
      <c r="G6" s="1"/>
      <c r="H6" s="1"/>
      <c r="I6" s="1"/>
      <c r="J6" s="1"/>
      <c r="K6" s="1"/>
      <c r="L6" s="1"/>
      <c r="M6" s="1"/>
      <c r="N6" s="1"/>
      <c r="O6" s="1"/>
    </row>
    <row r="7" spans="1:15">
      <c r="A7" s="1"/>
      <c r="B7" s="1"/>
      <c r="C7" s="1"/>
      <c r="D7" s="1"/>
      <c r="E7" s="1"/>
      <c r="F7" s="1"/>
      <c r="G7" s="1"/>
      <c r="H7" s="1"/>
      <c r="I7" s="1"/>
      <c r="J7" s="1"/>
      <c r="K7" s="1"/>
      <c r="L7" s="1"/>
      <c r="M7" s="1"/>
      <c r="N7" s="1"/>
      <c r="O7" s="1"/>
    </row>
    <row r="8" spans="1:15">
      <c r="A8" s="1"/>
      <c r="B8" s="1"/>
      <c r="C8" s="1"/>
      <c r="D8" s="1"/>
      <c r="E8" s="1"/>
      <c r="F8" s="1"/>
      <c r="G8" s="1"/>
      <c r="H8" s="1"/>
      <c r="I8" s="1"/>
      <c r="J8" s="1"/>
      <c r="K8" s="1"/>
      <c r="L8" s="1"/>
      <c r="M8" s="1"/>
      <c r="N8" s="1"/>
      <c r="O8" s="1"/>
    </row>
    <row r="9" spans="1:15">
      <c r="A9" s="1"/>
      <c r="B9" s="1"/>
      <c r="C9" s="1"/>
      <c r="D9" s="1"/>
      <c r="E9" s="1"/>
      <c r="F9" s="1"/>
      <c r="G9" s="1"/>
      <c r="H9" s="1"/>
      <c r="I9" s="1"/>
      <c r="J9" s="1"/>
      <c r="K9" s="1"/>
      <c r="L9" s="1"/>
      <c r="M9" s="1"/>
      <c r="N9" s="1"/>
      <c r="O9" s="1"/>
    </row>
    <row r="10" spans="1:15">
      <c r="A10" s="1"/>
      <c r="B10" s="1"/>
      <c r="C10" s="1"/>
      <c r="D10" s="1"/>
      <c r="E10" s="1"/>
      <c r="F10" s="1"/>
      <c r="G10" s="1"/>
      <c r="H10" s="1"/>
      <c r="I10" s="1"/>
      <c r="J10" s="1"/>
      <c r="K10" s="1"/>
      <c r="L10" s="1"/>
      <c r="M10" s="1"/>
      <c r="N10" s="1"/>
      <c r="O10" s="1"/>
    </row>
    <row r="11" spans="1:15">
      <c r="A11" s="1"/>
      <c r="B11" s="1"/>
      <c r="C11" s="1"/>
      <c r="D11" s="1"/>
      <c r="E11" s="1"/>
      <c r="F11" s="1"/>
      <c r="G11" s="1"/>
      <c r="H11" s="1"/>
      <c r="I11" s="1"/>
      <c r="J11" s="1"/>
      <c r="K11" s="1"/>
      <c r="L11" s="1"/>
      <c r="M11" s="1"/>
      <c r="N11" s="1"/>
      <c r="O11" s="1"/>
    </row>
    <row r="12" spans="1:15">
      <c r="A12" s="1"/>
      <c r="B12" s="1"/>
      <c r="C12" s="1"/>
      <c r="D12" s="1"/>
      <c r="E12" s="1"/>
      <c r="F12" s="1"/>
      <c r="G12" s="1"/>
      <c r="H12" s="1"/>
      <c r="I12" s="1"/>
      <c r="J12" s="1"/>
      <c r="K12" s="1"/>
      <c r="L12" s="1"/>
      <c r="M12" s="1"/>
      <c r="N12" s="1"/>
      <c r="O12" s="1"/>
    </row>
    <row r="13" spans="1:15">
      <c r="A13" s="1"/>
      <c r="B13" s="1"/>
      <c r="C13" s="1"/>
      <c r="D13" s="1"/>
      <c r="E13" s="1"/>
      <c r="F13" s="1"/>
      <c r="G13" s="1"/>
      <c r="H13" s="1"/>
      <c r="I13" s="1"/>
      <c r="J13" s="1"/>
      <c r="K13" s="1"/>
      <c r="L13" s="1"/>
      <c r="M13" s="1"/>
      <c r="N13" s="1"/>
      <c r="O13" s="1"/>
    </row>
    <row r="14" spans="1:15">
      <c r="A14" s="1"/>
      <c r="B14" s="1"/>
      <c r="C14" s="1"/>
      <c r="D14" s="1"/>
      <c r="E14" s="1"/>
      <c r="F14" s="1"/>
      <c r="G14" s="1"/>
      <c r="H14" s="1"/>
      <c r="I14" s="1"/>
      <c r="J14" s="1"/>
      <c r="K14" s="1"/>
      <c r="L14" s="1"/>
      <c r="M14" s="1"/>
      <c r="N14" s="1"/>
      <c r="O14" s="1"/>
    </row>
    <row r="15" spans="1:15">
      <c r="A15" s="1"/>
      <c r="B15" s="1"/>
      <c r="C15" s="1"/>
      <c r="D15" s="1"/>
      <c r="E15" s="1"/>
      <c r="F15" s="1"/>
      <c r="G15" s="1"/>
      <c r="H15" s="1"/>
      <c r="I15" s="1"/>
      <c r="J15" s="1"/>
      <c r="K15" s="1"/>
      <c r="L15" s="1"/>
      <c r="M15" s="1"/>
      <c r="N15" s="1"/>
      <c r="O15" s="1"/>
    </row>
    <row r="16" spans="1:15">
      <c r="A16" s="1"/>
      <c r="B16" s="1"/>
      <c r="C16" s="1"/>
      <c r="D16" s="1"/>
      <c r="E16" s="1"/>
      <c r="F16" s="1"/>
      <c r="G16" s="1"/>
      <c r="H16" s="1"/>
      <c r="I16" s="1"/>
      <c r="J16" s="1"/>
      <c r="K16" s="1"/>
      <c r="L16" s="1"/>
      <c r="M16" s="1"/>
      <c r="N16" s="1"/>
      <c r="O16" s="1"/>
    </row>
    <row r="17" spans="1:15">
      <c r="A17" s="1"/>
      <c r="B17" s="1"/>
      <c r="C17" s="1"/>
      <c r="D17" s="1"/>
      <c r="E17" s="1"/>
      <c r="F17" s="1"/>
      <c r="G17" s="1"/>
      <c r="H17" s="1"/>
      <c r="I17" s="1"/>
      <c r="J17" s="1"/>
      <c r="K17" s="1"/>
      <c r="L17" s="1"/>
      <c r="M17" s="1"/>
      <c r="N17" s="1"/>
      <c r="O17" s="1"/>
    </row>
    <row r="18" spans="1:15">
      <c r="A18" s="1"/>
      <c r="B18" s="1"/>
      <c r="C18" s="1"/>
      <c r="D18" s="1"/>
      <c r="E18" s="1"/>
      <c r="F18" s="1"/>
      <c r="G18" s="1"/>
      <c r="H18" s="1"/>
      <c r="I18" s="1"/>
      <c r="J18" s="1"/>
      <c r="K18" s="1"/>
      <c r="L18" s="1"/>
      <c r="M18" s="1"/>
      <c r="N18" s="1"/>
      <c r="O18" s="1"/>
    </row>
    <row r="19" spans="1:15">
      <c r="A19" s="1"/>
      <c r="B19" s="1"/>
      <c r="C19" s="1"/>
      <c r="D19" s="1"/>
      <c r="E19" s="1"/>
      <c r="F19" s="1"/>
      <c r="G19" s="1"/>
      <c r="H19" s="1"/>
      <c r="I19" s="1"/>
      <c r="J19" s="1"/>
      <c r="K19" s="1"/>
      <c r="L19" s="1"/>
      <c r="M19" s="1"/>
      <c r="N19" s="1"/>
      <c r="O19" s="1"/>
    </row>
    <row r="20" spans="1:15">
      <c r="A20" s="1"/>
      <c r="B20" s="1"/>
      <c r="C20" s="1"/>
      <c r="D20" s="1"/>
      <c r="E20" s="1"/>
      <c r="F20" s="1"/>
      <c r="G20" s="1"/>
      <c r="H20" s="1"/>
      <c r="I20" s="1"/>
      <c r="J20" s="1"/>
      <c r="K20" s="1"/>
      <c r="L20" s="1"/>
      <c r="M20" s="1"/>
      <c r="N20" s="1"/>
      <c r="O20" s="1"/>
    </row>
    <row r="21" spans="1:15">
      <c r="A21" s="1"/>
      <c r="B21" s="1"/>
      <c r="C21" s="1"/>
      <c r="D21" s="1"/>
      <c r="E21" s="1"/>
      <c r="F21" s="1"/>
      <c r="G21" s="1"/>
      <c r="H21" s="1"/>
      <c r="I21" s="1"/>
      <c r="J21" s="1"/>
      <c r="K21" s="1"/>
      <c r="L21" s="1"/>
      <c r="M21" s="1"/>
      <c r="N21" s="1"/>
      <c r="O21" s="1"/>
    </row>
    <row r="22" spans="1:15">
      <c r="A22" s="1"/>
      <c r="B22" s="1"/>
      <c r="C22" s="1"/>
      <c r="D22" s="1"/>
      <c r="E22" s="1"/>
      <c r="F22" s="1"/>
      <c r="G22" s="1"/>
      <c r="H22" s="1"/>
      <c r="I22" s="1"/>
      <c r="J22" s="1"/>
      <c r="K22" s="1"/>
      <c r="L22" s="1"/>
      <c r="M22" s="1"/>
      <c r="N22" s="1"/>
      <c r="O22" s="1"/>
    </row>
    <row r="23" spans="1:15">
      <c r="A23" s="1"/>
      <c r="B23" s="1"/>
      <c r="C23" s="1"/>
      <c r="D23" s="1"/>
      <c r="E23" s="1"/>
      <c r="F23" s="1"/>
      <c r="G23" s="1"/>
      <c r="H23" s="1"/>
      <c r="I23" s="1"/>
      <c r="J23" s="1"/>
      <c r="K23" s="1"/>
      <c r="L23" s="1"/>
      <c r="M23" s="1"/>
      <c r="N23" s="1"/>
      <c r="O23" s="1"/>
    </row>
    <row r="24" spans="1:15">
      <c r="A24" s="1"/>
      <c r="B24" s="1"/>
      <c r="C24" s="1"/>
      <c r="D24" s="1"/>
      <c r="E24" s="1"/>
      <c r="F24" s="1"/>
      <c r="G24" s="1"/>
      <c r="H24" s="1"/>
      <c r="I24" s="1"/>
      <c r="J24" s="1"/>
      <c r="K24" s="1"/>
      <c r="L24" s="1"/>
      <c r="M24" s="1"/>
      <c r="N24" s="1"/>
      <c r="O24" s="1"/>
    </row>
    <row r="25" spans="1:15" ht="7.5" customHeight="1">
      <c r="A25" s="1"/>
      <c r="B25" s="1"/>
      <c r="C25" s="1"/>
      <c r="D25" s="1"/>
      <c r="E25" s="1"/>
      <c r="F25" s="1"/>
      <c r="G25" s="1"/>
      <c r="H25" s="1"/>
      <c r="I25" s="1"/>
      <c r="J25" s="1"/>
      <c r="K25" s="1"/>
      <c r="L25" s="1"/>
      <c r="M25" s="1"/>
      <c r="N25" s="1"/>
      <c r="O25" s="1"/>
    </row>
    <row r="26" spans="1:15" ht="37.5" customHeight="1">
      <c r="A26" s="1"/>
      <c r="B26" s="445" t="s">
        <v>955</v>
      </c>
      <c r="C26" s="445"/>
      <c r="D26" s="445"/>
      <c r="E26" s="445"/>
      <c r="F26" s="445"/>
      <c r="G26" s="445"/>
      <c r="H26" s="445"/>
      <c r="I26" s="445"/>
      <c r="J26" s="445"/>
      <c r="K26" s="445"/>
      <c r="L26" s="445"/>
      <c r="M26" s="445"/>
      <c r="N26" s="1"/>
      <c r="O26" s="1"/>
    </row>
    <row r="31" spans="1:15" ht="0.5" customHeight="1">
      <c r="B31" s="2" t="s">
        <v>31</v>
      </c>
      <c r="C31" s="2" t="s">
        <v>956</v>
      </c>
    </row>
    <row r="32" spans="1:15" ht="0.5" customHeight="1">
      <c r="B32" s="2" t="s">
        <v>36</v>
      </c>
      <c r="C32" s="360">
        <v>0.4</v>
      </c>
    </row>
    <row r="33" spans="2:3" ht="0.5" customHeight="1">
      <c r="B33" s="2" t="s">
        <v>42</v>
      </c>
      <c r="C33" s="361">
        <v>0.48</v>
      </c>
    </row>
    <row r="34" spans="2:3" ht="0.5" customHeight="1">
      <c r="B34" s="2" t="s">
        <v>50</v>
      </c>
      <c r="C34" s="360">
        <v>0.49</v>
      </c>
    </row>
    <row r="35" spans="2:3" ht="0.5" customHeight="1">
      <c r="B35" s="2" t="s">
        <v>59</v>
      </c>
      <c r="C35" s="361">
        <v>0.52</v>
      </c>
    </row>
    <row r="36" spans="2:3" ht="0.5" customHeight="1">
      <c r="B36" s="2" t="s">
        <v>52</v>
      </c>
      <c r="C36" s="360">
        <v>0.53</v>
      </c>
    </row>
    <row r="37" spans="2:3" ht="0.5" customHeight="1">
      <c r="B37" s="2" t="s">
        <v>41</v>
      </c>
      <c r="C37" s="360">
        <v>0.54</v>
      </c>
    </row>
    <row r="38" spans="2:3" ht="0.5" customHeight="1">
      <c r="B38" s="2" t="s">
        <v>40</v>
      </c>
      <c r="C38" s="360">
        <v>0.59</v>
      </c>
    </row>
    <row r="39" spans="2:3" ht="0.5" customHeight="1">
      <c r="B39" s="2" t="s">
        <v>58</v>
      </c>
      <c r="C39" s="360">
        <v>0.72</v>
      </c>
    </row>
    <row r="40" spans="2:3" ht="0.5" customHeight="1">
      <c r="B40" s="2" t="s">
        <v>39</v>
      </c>
      <c r="C40" s="361">
        <v>0.73</v>
      </c>
    </row>
    <row r="41" spans="2:3" ht="0.5" customHeight="1">
      <c r="B41" s="2" t="s">
        <v>113</v>
      </c>
      <c r="C41" s="361">
        <v>0.76</v>
      </c>
    </row>
  </sheetData>
  <sortState ref="B32:C41">
    <sortCondition ref="C32:C41"/>
  </sortState>
  <mergeCells count="1">
    <mergeCell ref="B26:M26"/>
  </mergeCells>
  <pageMargins left="0.7" right="0.7" top="0.75" bottom="0.75" header="0.3" footer="0.3"/>
  <pageSetup scale="73"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zoomScaleNormal="100" zoomScaleSheetLayoutView="80" workbookViewId="0"/>
  </sheetViews>
  <sheetFormatPr defaultColWidth="9.1796875" defaultRowHeight="14.5"/>
  <cols>
    <col min="1" max="1" width="4" style="2" customWidth="1"/>
    <col min="2" max="2" width="32.54296875" style="2" customWidth="1"/>
    <col min="3" max="11" width="9.1796875" style="2"/>
    <col min="12" max="12" width="4.54296875" style="2" customWidth="1"/>
    <col min="13" max="16384" width="9.1796875" style="2"/>
  </cols>
  <sheetData>
    <row r="1" spans="1:12">
      <c r="A1" s="1"/>
      <c r="B1" s="1"/>
      <c r="C1" s="1"/>
      <c r="D1" s="1"/>
      <c r="E1" s="1"/>
      <c r="F1" s="1"/>
      <c r="G1" s="1"/>
      <c r="H1" s="1"/>
      <c r="I1" s="1"/>
      <c r="J1" s="1"/>
      <c r="K1" s="1"/>
      <c r="L1" s="1"/>
    </row>
    <row r="2" spans="1:12" ht="17.5">
      <c r="A2" s="1"/>
      <c r="B2" s="3" t="s">
        <v>974</v>
      </c>
      <c r="C2" s="1"/>
      <c r="D2" s="1"/>
      <c r="E2" s="1"/>
      <c r="F2" s="1"/>
      <c r="G2" s="1"/>
      <c r="H2" s="1"/>
      <c r="I2" s="1"/>
      <c r="J2" s="1"/>
      <c r="K2" s="1"/>
      <c r="L2" s="1"/>
    </row>
    <row r="3" spans="1:12">
      <c r="A3" s="1"/>
      <c r="B3" s="362"/>
      <c r="C3" s="1"/>
      <c r="D3" s="1"/>
      <c r="E3" s="1"/>
      <c r="F3" s="1"/>
      <c r="G3" s="1"/>
      <c r="H3" s="1"/>
      <c r="I3" s="1"/>
      <c r="J3" s="1"/>
      <c r="K3" s="1"/>
      <c r="L3" s="1"/>
    </row>
    <row r="4" spans="1:12">
      <c r="A4" s="1"/>
      <c r="B4" s="1"/>
      <c r="C4" s="1"/>
      <c r="D4" s="1"/>
      <c r="E4" s="1"/>
      <c r="F4" s="1"/>
      <c r="G4" s="1"/>
      <c r="H4" s="1"/>
      <c r="I4" s="1"/>
      <c r="J4" s="1"/>
      <c r="K4" s="1"/>
      <c r="L4" s="1"/>
    </row>
    <row r="5" spans="1:12">
      <c r="A5" s="1"/>
      <c r="B5" s="1"/>
      <c r="C5" s="1"/>
      <c r="D5" s="1"/>
      <c r="E5" s="1"/>
      <c r="F5" s="1"/>
      <c r="G5" s="1"/>
      <c r="H5" s="1"/>
      <c r="I5" s="1"/>
      <c r="J5" s="1"/>
      <c r="K5" s="1"/>
      <c r="L5" s="1"/>
    </row>
    <row r="6" spans="1:12">
      <c r="A6" s="1"/>
      <c r="B6" s="1"/>
      <c r="C6" s="1"/>
      <c r="D6" s="1"/>
      <c r="E6" s="1"/>
      <c r="F6" s="1"/>
      <c r="G6" s="1"/>
      <c r="H6" s="1"/>
      <c r="I6" s="1"/>
      <c r="J6" s="1"/>
      <c r="K6" s="1"/>
      <c r="L6" s="1"/>
    </row>
    <row r="7" spans="1:12">
      <c r="A7" s="1"/>
      <c r="B7" s="1"/>
      <c r="C7" s="1"/>
      <c r="D7" s="1"/>
      <c r="E7" s="1"/>
      <c r="F7" s="1"/>
      <c r="G7" s="1"/>
      <c r="H7" s="1"/>
      <c r="I7" s="1"/>
      <c r="J7" s="1"/>
      <c r="K7" s="1"/>
      <c r="L7" s="1"/>
    </row>
    <row r="8" spans="1:12">
      <c r="A8" s="1"/>
      <c r="B8" s="1"/>
      <c r="C8" s="1"/>
      <c r="D8" s="1"/>
      <c r="E8" s="1"/>
      <c r="F8" s="1"/>
      <c r="G8" s="1"/>
      <c r="H8" s="1"/>
      <c r="I8" s="1"/>
      <c r="J8" s="1"/>
      <c r="K8" s="1"/>
      <c r="L8" s="1"/>
    </row>
    <row r="9" spans="1:12">
      <c r="A9" s="1"/>
      <c r="B9" s="1"/>
      <c r="C9" s="1"/>
      <c r="D9" s="1"/>
      <c r="E9" s="1"/>
      <c r="F9" s="1"/>
      <c r="G9" s="1"/>
      <c r="H9" s="1"/>
      <c r="I9" s="1"/>
      <c r="J9" s="1"/>
      <c r="K9" s="1"/>
      <c r="L9" s="1"/>
    </row>
    <row r="10" spans="1:12">
      <c r="A10" s="1"/>
      <c r="B10" s="1"/>
      <c r="C10" s="1"/>
      <c r="D10" s="1"/>
      <c r="E10" s="1"/>
      <c r="F10" s="1"/>
      <c r="G10" s="1"/>
      <c r="H10" s="1"/>
      <c r="I10" s="1"/>
      <c r="J10" s="1"/>
      <c r="K10" s="1"/>
      <c r="L10" s="1"/>
    </row>
    <row r="11" spans="1:12">
      <c r="A11" s="1"/>
      <c r="B11" s="1"/>
      <c r="C11" s="1"/>
      <c r="D11" s="1"/>
      <c r="E11" s="1"/>
      <c r="F11" s="1"/>
      <c r="G11" s="1"/>
      <c r="H11" s="1"/>
      <c r="I11" s="1"/>
      <c r="J11" s="1"/>
      <c r="K11" s="1"/>
      <c r="L11" s="1"/>
    </row>
    <row r="12" spans="1:12">
      <c r="A12" s="1"/>
      <c r="B12" s="1"/>
      <c r="C12" s="1"/>
      <c r="D12" s="1"/>
      <c r="E12" s="1"/>
      <c r="F12" s="1"/>
      <c r="G12" s="1"/>
      <c r="H12" s="1"/>
      <c r="I12" s="1"/>
      <c r="J12" s="1"/>
      <c r="K12" s="1"/>
      <c r="L12" s="1"/>
    </row>
    <row r="13" spans="1:12">
      <c r="A13" s="1"/>
      <c r="B13" s="1"/>
      <c r="C13" s="1"/>
      <c r="D13" s="1"/>
      <c r="E13" s="1"/>
      <c r="F13" s="1"/>
      <c r="G13" s="1"/>
      <c r="H13" s="1"/>
      <c r="I13" s="1"/>
      <c r="J13" s="1"/>
      <c r="K13" s="1"/>
      <c r="L13" s="1"/>
    </row>
    <row r="14" spans="1:12">
      <c r="A14" s="1"/>
      <c r="B14" s="1"/>
      <c r="C14" s="1"/>
      <c r="D14" s="1"/>
      <c r="E14" s="1"/>
      <c r="F14" s="1"/>
      <c r="G14" s="1"/>
      <c r="H14" s="1"/>
      <c r="I14" s="1"/>
      <c r="J14" s="1"/>
      <c r="K14" s="1"/>
      <c r="L14" s="1"/>
    </row>
    <row r="15" spans="1:12">
      <c r="A15" s="1"/>
      <c r="B15" s="1"/>
      <c r="C15" s="1"/>
      <c r="D15" s="1"/>
      <c r="E15" s="1"/>
      <c r="F15" s="1"/>
      <c r="G15" s="1"/>
      <c r="H15" s="1"/>
      <c r="I15" s="1"/>
      <c r="J15" s="1"/>
      <c r="K15" s="1"/>
      <c r="L15" s="1"/>
    </row>
    <row r="16" spans="1:12">
      <c r="A16" s="1"/>
      <c r="B16" s="1"/>
      <c r="C16" s="1"/>
      <c r="D16" s="1"/>
      <c r="E16" s="1"/>
      <c r="F16" s="1"/>
      <c r="G16" s="1"/>
      <c r="H16" s="1"/>
      <c r="I16" s="1"/>
      <c r="J16" s="1"/>
      <c r="K16" s="1"/>
      <c r="L16" s="1"/>
    </row>
    <row r="17" spans="1:12">
      <c r="A17" s="1"/>
      <c r="B17" s="1"/>
      <c r="C17" s="1"/>
      <c r="D17" s="1"/>
      <c r="E17" s="1"/>
      <c r="F17" s="1"/>
      <c r="G17" s="1"/>
      <c r="H17" s="1"/>
      <c r="I17" s="1"/>
      <c r="J17" s="1"/>
      <c r="K17" s="1"/>
      <c r="L17" s="1"/>
    </row>
    <row r="18" spans="1:12">
      <c r="A18" s="1"/>
      <c r="B18" s="1"/>
      <c r="C18" s="1"/>
      <c r="D18" s="1"/>
      <c r="E18" s="1"/>
      <c r="F18" s="1"/>
      <c r="G18" s="1"/>
      <c r="H18" s="1"/>
      <c r="I18" s="1"/>
      <c r="J18" s="1"/>
      <c r="K18" s="1"/>
      <c r="L18" s="1"/>
    </row>
    <row r="19" spans="1:12">
      <c r="A19" s="1"/>
      <c r="B19" s="1"/>
      <c r="C19" s="1"/>
      <c r="D19" s="1"/>
      <c r="E19" s="1"/>
      <c r="F19" s="1"/>
      <c r="G19" s="1"/>
      <c r="H19" s="1"/>
      <c r="I19" s="1"/>
      <c r="J19" s="1"/>
      <c r="K19" s="1"/>
      <c r="L19" s="1"/>
    </row>
    <row r="20" spans="1:12">
      <c r="A20" s="1"/>
      <c r="B20" s="1"/>
      <c r="C20" s="1"/>
      <c r="D20" s="1"/>
      <c r="E20" s="1"/>
      <c r="F20" s="1"/>
      <c r="G20" s="1"/>
      <c r="H20" s="1"/>
      <c r="I20" s="1"/>
      <c r="J20" s="1"/>
      <c r="K20" s="1"/>
      <c r="L20" s="1"/>
    </row>
    <row r="21" spans="1:12">
      <c r="A21" s="1"/>
      <c r="B21" s="1"/>
      <c r="C21" s="1"/>
      <c r="D21" s="1"/>
      <c r="E21" s="1"/>
      <c r="F21" s="1"/>
      <c r="G21" s="1"/>
      <c r="H21" s="1"/>
      <c r="I21" s="1"/>
      <c r="J21" s="1"/>
      <c r="K21" s="1"/>
      <c r="L21" s="1"/>
    </row>
    <row r="22" spans="1:12">
      <c r="A22" s="1"/>
      <c r="B22" s="1"/>
      <c r="C22" s="1"/>
      <c r="D22" s="1"/>
      <c r="E22" s="1"/>
      <c r="F22" s="1"/>
      <c r="G22" s="1"/>
      <c r="H22" s="1"/>
      <c r="I22" s="1"/>
      <c r="J22" s="1"/>
      <c r="K22" s="1"/>
      <c r="L22" s="1"/>
    </row>
    <row r="23" spans="1:12">
      <c r="A23" s="1"/>
      <c r="B23" s="1"/>
      <c r="C23" s="1"/>
      <c r="D23" s="1"/>
      <c r="E23" s="1"/>
      <c r="F23" s="1"/>
      <c r="G23" s="1"/>
      <c r="H23" s="1"/>
      <c r="I23" s="1"/>
      <c r="J23" s="1"/>
      <c r="K23" s="1"/>
      <c r="L23" s="1"/>
    </row>
    <row r="24" spans="1:12">
      <c r="A24" s="1"/>
      <c r="B24" s="1"/>
      <c r="C24" s="1"/>
      <c r="D24" s="1"/>
      <c r="E24" s="1"/>
      <c r="F24" s="1"/>
      <c r="G24" s="1"/>
      <c r="H24" s="1"/>
      <c r="I24" s="1"/>
      <c r="J24" s="1"/>
      <c r="K24" s="1"/>
      <c r="L24" s="1"/>
    </row>
    <row r="25" spans="1:12" ht="37.5" customHeight="1">
      <c r="A25" s="1"/>
      <c r="B25" s="1"/>
      <c r="C25" s="1"/>
      <c r="D25" s="1"/>
      <c r="E25" s="1"/>
      <c r="F25" s="1"/>
      <c r="G25" s="1"/>
      <c r="H25" s="1"/>
      <c r="I25" s="1"/>
      <c r="J25" s="1"/>
      <c r="K25" s="1"/>
      <c r="L25" s="1"/>
    </row>
    <row r="26" spans="1:12">
      <c r="A26" s="1"/>
      <c r="B26" s="1"/>
      <c r="C26" s="1"/>
      <c r="D26" s="1"/>
      <c r="E26" s="1"/>
      <c r="F26" s="1"/>
      <c r="G26" s="1"/>
      <c r="H26" s="1"/>
      <c r="I26" s="1"/>
      <c r="J26" s="1"/>
      <c r="K26" s="1"/>
      <c r="L26" s="1"/>
    </row>
    <row r="27" spans="1:12">
      <c r="A27" s="1"/>
      <c r="B27" s="1"/>
      <c r="C27" s="1"/>
      <c r="D27" s="1"/>
      <c r="E27" s="1"/>
      <c r="F27" s="1"/>
      <c r="G27" s="1"/>
      <c r="H27" s="1"/>
      <c r="I27" s="1"/>
      <c r="J27" s="1"/>
      <c r="K27" s="1"/>
      <c r="L27" s="1"/>
    </row>
    <row r="28" spans="1:12" ht="119.25" customHeight="1">
      <c r="A28" s="1"/>
      <c r="B28" s="436" t="s">
        <v>975</v>
      </c>
      <c r="C28" s="436"/>
      <c r="D28" s="436"/>
      <c r="E28" s="436"/>
      <c r="F28" s="436"/>
      <c r="G28" s="436"/>
      <c r="H28" s="436"/>
      <c r="I28" s="436"/>
      <c r="J28" s="436"/>
      <c r="K28" s="436"/>
      <c r="L28" s="1"/>
    </row>
    <row r="35" spans="2:4" ht="0.5" customHeight="1">
      <c r="B35" s="363" t="s">
        <v>976</v>
      </c>
    </row>
    <row r="36" spans="2:4" ht="0.5" customHeight="1">
      <c r="C36" s="2" t="s">
        <v>977</v>
      </c>
      <c r="D36" s="2" t="s">
        <v>978</v>
      </c>
    </row>
    <row r="37" spans="2:4" ht="0.5" customHeight="1">
      <c r="B37" s="2" t="s">
        <v>979</v>
      </c>
      <c r="C37" s="2">
        <v>49</v>
      </c>
      <c r="D37" s="2">
        <v>52</v>
      </c>
    </row>
    <row r="38" spans="2:4" ht="0.5" customHeight="1">
      <c r="B38" s="2" t="s">
        <v>980</v>
      </c>
      <c r="C38" s="2">
        <v>87</v>
      </c>
      <c r="D38" s="2">
        <v>94</v>
      </c>
    </row>
    <row r="39" spans="2:4" ht="0.5" customHeight="1">
      <c r="B39" s="2" t="s">
        <v>981</v>
      </c>
      <c r="C39" s="2">
        <v>48</v>
      </c>
      <c r="D39" s="2">
        <v>57</v>
      </c>
    </row>
    <row r="40" spans="2:4" ht="0.5" customHeight="1">
      <c r="B40" s="2" t="s">
        <v>982</v>
      </c>
      <c r="C40" s="2">
        <v>100</v>
      </c>
      <c r="D40" s="2">
        <v>127</v>
      </c>
    </row>
    <row r="42" spans="2:4" ht="15">
      <c r="B42" s="364"/>
    </row>
    <row r="62" ht="42" customHeight="1"/>
    <row r="63" ht="78" customHeight="1"/>
  </sheetData>
  <mergeCells count="1">
    <mergeCell ref="B28:K28"/>
  </mergeCells>
  <pageMargins left="0.7" right="0.7" top="0.75" bottom="0.75" header="0.3" footer="0.3"/>
  <pageSetup scale="73"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24"/>
  <sheetViews>
    <sheetView zoomScale="85" zoomScaleNormal="85" zoomScaleSheetLayoutView="70" workbookViewId="0"/>
  </sheetViews>
  <sheetFormatPr defaultColWidth="9.1796875" defaultRowHeight="14.5"/>
  <cols>
    <col min="1" max="1" width="5.81640625" style="9" customWidth="1"/>
    <col min="2" max="2" width="9.1796875" style="9"/>
    <col min="3" max="3" width="9.1796875" style="9" customWidth="1"/>
    <col min="4" max="15" width="9.1796875" style="9"/>
    <col min="16" max="16" width="6.453125" style="9" customWidth="1"/>
    <col min="17" max="16384" width="9.1796875" style="9"/>
  </cols>
  <sheetData>
    <row r="1" spans="1:16">
      <c r="A1" s="1"/>
      <c r="B1" s="1"/>
      <c r="C1" s="1"/>
      <c r="D1" s="1"/>
      <c r="E1" s="1"/>
      <c r="F1" s="1"/>
      <c r="G1" s="1"/>
      <c r="H1" s="1"/>
      <c r="I1" s="1"/>
      <c r="J1" s="1"/>
      <c r="K1" s="1"/>
      <c r="L1" s="1"/>
      <c r="M1" s="1"/>
      <c r="N1" s="1"/>
      <c r="O1" s="1"/>
      <c r="P1" s="1"/>
    </row>
    <row r="2" spans="1:16" ht="17.5">
      <c r="A2" s="1"/>
      <c r="B2" s="3" t="s">
        <v>1008</v>
      </c>
      <c r="C2" s="1"/>
      <c r="D2" s="1"/>
      <c r="E2" s="1"/>
      <c r="F2" s="1"/>
      <c r="G2" s="1"/>
      <c r="H2" s="1"/>
      <c r="I2" s="1"/>
      <c r="J2" s="1"/>
      <c r="K2" s="1"/>
      <c r="L2" s="1"/>
      <c r="M2" s="1"/>
      <c r="N2" s="1"/>
      <c r="O2" s="1"/>
      <c r="P2" s="1"/>
    </row>
    <row r="3" spans="1:16" ht="18.5">
      <c r="A3" s="1"/>
      <c r="B3" s="3"/>
      <c r="C3" s="1"/>
      <c r="D3" s="1"/>
      <c r="E3" s="1"/>
      <c r="F3" s="1"/>
      <c r="G3" s="1"/>
      <c r="H3" s="397" t="str">
        <f>E39</f>
        <v>Panama</v>
      </c>
      <c r="I3" s="1"/>
      <c r="J3" s="1"/>
      <c r="K3" s="1"/>
      <c r="L3" s="1"/>
      <c r="M3" s="1"/>
      <c r="N3" s="1"/>
      <c r="O3" s="1"/>
      <c r="P3" s="1"/>
    </row>
    <row r="4" spans="1:16">
      <c r="A4" s="1"/>
      <c r="B4" s="1"/>
      <c r="C4" s="1"/>
      <c r="D4" s="1"/>
      <c r="E4" s="1"/>
      <c r="F4" s="1"/>
      <c r="G4" s="1"/>
      <c r="H4" s="1"/>
      <c r="I4" s="1"/>
      <c r="J4" s="1"/>
      <c r="K4" s="1"/>
      <c r="L4" s="1"/>
      <c r="M4" s="1"/>
      <c r="N4" s="1"/>
      <c r="O4" s="1"/>
      <c r="P4" s="1"/>
    </row>
    <row r="5" spans="1:16">
      <c r="A5" s="1"/>
      <c r="B5" s="1"/>
      <c r="C5" s="1"/>
      <c r="D5" s="1"/>
      <c r="E5" s="1"/>
      <c r="F5" s="1"/>
      <c r="G5" s="1"/>
      <c r="H5" s="1"/>
      <c r="I5" s="1"/>
      <c r="J5" s="1"/>
      <c r="K5" s="1"/>
      <c r="L5" s="1"/>
      <c r="M5" s="1"/>
      <c r="N5" s="1"/>
      <c r="O5" s="1"/>
      <c r="P5" s="1"/>
    </row>
    <row r="6" spans="1:16">
      <c r="A6" s="1"/>
      <c r="B6" s="1"/>
      <c r="C6" s="1"/>
      <c r="D6" s="1"/>
      <c r="E6" s="1"/>
      <c r="F6" s="1"/>
      <c r="G6" s="1"/>
      <c r="H6" s="1"/>
      <c r="I6" s="1"/>
      <c r="J6" s="1"/>
      <c r="K6" s="1"/>
      <c r="L6" s="1"/>
      <c r="M6" s="1"/>
      <c r="N6" s="1"/>
      <c r="O6" s="1"/>
      <c r="P6" s="1"/>
    </row>
    <row r="7" spans="1:16">
      <c r="A7" s="1"/>
      <c r="B7" s="1"/>
      <c r="C7" s="1"/>
      <c r="D7" s="1"/>
      <c r="E7" s="1"/>
      <c r="F7" s="1"/>
      <c r="G7" s="1"/>
      <c r="H7" s="1"/>
      <c r="I7" s="1"/>
      <c r="J7" s="1"/>
      <c r="K7" s="1"/>
      <c r="L7" s="1"/>
      <c r="M7" s="1"/>
      <c r="N7" s="1"/>
      <c r="O7" s="1"/>
      <c r="P7" s="1"/>
    </row>
    <row r="8" spans="1:16">
      <c r="A8" s="1"/>
      <c r="B8" s="1"/>
      <c r="C8" s="1"/>
      <c r="D8" s="1"/>
      <c r="E8" s="1"/>
      <c r="F8" s="1"/>
      <c r="G8" s="1"/>
      <c r="H8" s="1"/>
      <c r="I8" s="1"/>
      <c r="J8" s="1"/>
      <c r="K8" s="1"/>
      <c r="L8" s="1"/>
      <c r="M8" s="1"/>
      <c r="N8" s="1"/>
      <c r="O8" s="1"/>
      <c r="P8" s="1"/>
    </row>
    <row r="9" spans="1:16">
      <c r="A9" s="1"/>
      <c r="B9" s="1"/>
      <c r="C9" s="1"/>
      <c r="D9" s="1"/>
      <c r="E9" s="1"/>
      <c r="F9" s="1"/>
      <c r="G9" s="1"/>
      <c r="H9" s="1"/>
      <c r="I9" s="1"/>
      <c r="J9" s="1"/>
      <c r="K9" s="1"/>
      <c r="L9" s="1"/>
      <c r="M9" s="1"/>
      <c r="N9" s="1"/>
      <c r="O9" s="1"/>
      <c r="P9" s="1"/>
    </row>
    <row r="10" spans="1:16">
      <c r="A10" s="1"/>
      <c r="B10" s="1"/>
      <c r="C10" s="1"/>
      <c r="D10" s="1"/>
      <c r="E10" s="1"/>
      <c r="F10" s="1"/>
      <c r="G10" s="1"/>
      <c r="H10" s="1"/>
      <c r="I10" s="1"/>
      <c r="J10" s="1"/>
      <c r="K10" s="1"/>
      <c r="L10" s="1"/>
      <c r="M10" s="1"/>
      <c r="N10" s="1"/>
      <c r="O10" s="1"/>
      <c r="P10" s="1"/>
    </row>
    <row r="11" spans="1:16">
      <c r="A11" s="1"/>
      <c r="B11" s="1"/>
      <c r="C11" s="1"/>
      <c r="D11" s="1"/>
      <c r="E11" s="1"/>
      <c r="F11" s="1"/>
      <c r="G11" s="1"/>
      <c r="H11" s="1"/>
      <c r="I11" s="1"/>
      <c r="J11" s="1"/>
      <c r="K11" s="1"/>
      <c r="L11" s="1"/>
      <c r="M11" s="1"/>
      <c r="N11" s="1"/>
      <c r="O11" s="1"/>
      <c r="P11" s="1"/>
    </row>
    <row r="12" spans="1:16">
      <c r="A12" s="1"/>
      <c r="B12" s="1"/>
      <c r="C12" s="1"/>
      <c r="D12" s="1"/>
      <c r="E12" s="1"/>
      <c r="F12" s="1"/>
      <c r="G12" s="1"/>
      <c r="H12" s="1"/>
      <c r="I12" s="1"/>
      <c r="J12" s="1"/>
      <c r="K12" s="1"/>
      <c r="L12" s="1"/>
      <c r="M12" s="1"/>
      <c r="N12" s="1"/>
      <c r="O12" s="1"/>
      <c r="P12" s="1"/>
    </row>
    <row r="13" spans="1:16">
      <c r="A13" s="1"/>
      <c r="B13" s="1"/>
      <c r="C13" s="1"/>
      <c r="D13" s="1"/>
      <c r="E13" s="1"/>
      <c r="F13" s="1"/>
      <c r="G13" s="1"/>
      <c r="H13" s="1"/>
      <c r="I13" s="1"/>
      <c r="J13" s="1"/>
      <c r="K13" s="1"/>
      <c r="L13" s="1"/>
      <c r="M13" s="1"/>
      <c r="N13" s="1"/>
      <c r="O13" s="1"/>
      <c r="P13" s="1"/>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33">
      <c r="A33" s="1"/>
      <c r="B33" s="1"/>
      <c r="C33" s="1"/>
      <c r="D33" s="1"/>
      <c r="E33" s="1"/>
      <c r="F33" s="1"/>
      <c r="G33" s="1"/>
      <c r="H33" s="1"/>
      <c r="I33" s="1"/>
      <c r="J33" s="1"/>
      <c r="K33" s="1"/>
      <c r="L33" s="1"/>
      <c r="M33" s="1"/>
      <c r="N33" s="1"/>
      <c r="O33" s="1"/>
      <c r="P33" s="1"/>
    </row>
    <row r="34" spans="1:33">
      <c r="A34" s="1"/>
      <c r="B34" s="1"/>
      <c r="C34" s="1"/>
      <c r="D34" s="1"/>
      <c r="E34" s="1"/>
      <c r="F34" s="1"/>
      <c r="G34" s="1"/>
      <c r="H34" s="1"/>
      <c r="I34" s="1"/>
      <c r="J34" s="1"/>
      <c r="K34" s="1"/>
      <c r="L34" s="1"/>
      <c r="M34" s="1"/>
      <c r="N34" s="1"/>
      <c r="O34" s="1"/>
      <c r="P34" s="1"/>
    </row>
    <row r="35" spans="1:33">
      <c r="A35" s="1"/>
      <c r="B35" s="1"/>
      <c r="C35" s="1"/>
      <c r="D35" s="1"/>
      <c r="E35" s="1"/>
      <c r="F35" s="1"/>
      <c r="G35" s="1"/>
      <c r="H35" s="1"/>
      <c r="I35" s="1"/>
      <c r="J35" s="1"/>
      <c r="K35" s="1"/>
      <c r="L35" s="1"/>
      <c r="M35" s="1"/>
      <c r="N35" s="1"/>
      <c r="O35" s="1"/>
      <c r="P35" s="1"/>
    </row>
    <row r="36" spans="1:33" ht="41.25" customHeight="1">
      <c r="A36" s="16"/>
      <c r="B36" s="475" t="s">
        <v>1009</v>
      </c>
      <c r="C36" s="475"/>
      <c r="D36" s="475"/>
      <c r="E36" s="475"/>
      <c r="F36" s="475"/>
      <c r="G36" s="475"/>
      <c r="H36" s="475"/>
      <c r="I36" s="475"/>
      <c r="J36" s="475"/>
      <c r="K36" s="475"/>
      <c r="L36" s="475"/>
      <c r="M36" s="475"/>
      <c r="N36" s="475"/>
      <c r="O36" s="475"/>
      <c r="P36" s="16"/>
    </row>
    <row r="37" spans="1:33">
      <c r="B37" s="476"/>
      <c r="C37" s="476"/>
      <c r="D37" s="476"/>
      <c r="E37" s="476"/>
      <c r="F37" s="476"/>
      <c r="G37" s="476"/>
      <c r="H37" s="476"/>
      <c r="I37" s="476"/>
      <c r="J37" s="476"/>
      <c r="K37" s="476"/>
    </row>
    <row r="38" spans="1:33" ht="53.25" customHeight="1"/>
    <row r="39" spans="1:33" hidden="1">
      <c r="B39" s="413" t="s">
        <v>73</v>
      </c>
      <c r="C39" s="413"/>
      <c r="D39" s="413"/>
      <c r="E39" s="413" t="str">
        <f>'Country Selection'!C5</f>
        <v>Panama</v>
      </c>
      <c r="F39" s="413"/>
      <c r="G39" s="413"/>
      <c r="H39" s="413"/>
    </row>
    <row r="40" spans="1:33" ht="0.5" customHeight="1"/>
    <row r="41" spans="1:33" ht="0.5" customHeight="1">
      <c r="D41" s="391" t="s">
        <v>976</v>
      </c>
    </row>
    <row r="42" spans="1:33" ht="0.5" customHeight="1"/>
    <row r="43" spans="1:33" ht="0.5" customHeight="1">
      <c r="D43" s="9" t="s">
        <v>1010</v>
      </c>
      <c r="L43" s="9" t="s">
        <v>1011</v>
      </c>
      <c r="T43" s="9" t="s">
        <v>1012</v>
      </c>
      <c r="AB43" s="9" t="s">
        <v>1013</v>
      </c>
    </row>
    <row r="44" spans="1:33" ht="0.5" customHeight="1"/>
    <row r="45" spans="1:33" ht="0.5" customHeight="1">
      <c r="B45" s="9" t="s">
        <v>31</v>
      </c>
      <c r="C45" s="9" t="s">
        <v>236</v>
      </c>
      <c r="D45" s="9" t="s">
        <v>4</v>
      </c>
      <c r="E45" s="9" t="s">
        <v>988</v>
      </c>
      <c r="F45" s="9" t="s">
        <v>989</v>
      </c>
      <c r="G45" s="9" t="s">
        <v>990</v>
      </c>
      <c r="H45" s="9" t="s">
        <v>1014</v>
      </c>
      <c r="I45" s="9" t="s">
        <v>1015</v>
      </c>
      <c r="J45" s="9" t="s">
        <v>1016</v>
      </c>
      <c r="L45" s="9" t="s">
        <v>988</v>
      </c>
      <c r="M45" s="9" t="s">
        <v>989</v>
      </c>
      <c r="N45" s="9" t="s">
        <v>990</v>
      </c>
      <c r="O45" s="9" t="s">
        <v>1014</v>
      </c>
      <c r="P45" s="9" t="s">
        <v>1015</v>
      </c>
      <c r="Q45" s="9" t="s">
        <v>1016</v>
      </c>
      <c r="T45" s="9" t="s">
        <v>988</v>
      </c>
      <c r="U45" s="9" t="s">
        <v>989</v>
      </c>
      <c r="V45" s="9" t="s">
        <v>990</v>
      </c>
      <c r="W45" s="9" t="s">
        <v>1014</v>
      </c>
      <c r="X45" s="9" t="s">
        <v>1015</v>
      </c>
      <c r="Y45" s="9" t="s">
        <v>1016</v>
      </c>
      <c r="AB45" s="9" t="s">
        <v>988</v>
      </c>
      <c r="AC45" s="9" t="s">
        <v>989</v>
      </c>
      <c r="AD45" s="9" t="s">
        <v>990</v>
      </c>
      <c r="AE45" s="9" t="s">
        <v>1014</v>
      </c>
      <c r="AF45" s="9" t="s">
        <v>1015</v>
      </c>
      <c r="AG45" s="9" t="s">
        <v>1016</v>
      </c>
    </row>
    <row r="46" spans="1:33" ht="0.5" customHeight="1">
      <c r="B46" s="9" t="str">
        <f t="shared" ref="B46:B81" si="0">$E$39</f>
        <v>Panama</v>
      </c>
      <c r="C46" s="9" t="str">
        <f>CONCATENATE(B46,D46)</f>
        <v>Panama20</v>
      </c>
      <c r="D46" s="396">
        <v>20</v>
      </c>
      <c r="E46" s="9" t="str">
        <f t="shared" ref="E46:E81" si="1">IFERROR(VLOOKUP($C46,$C$129:$AB$524,3,FALSE),"")</f>
        <v/>
      </c>
      <c r="F46" s="9" t="str">
        <f t="shared" ref="F46:F81" si="2">IFERROR(VLOOKUP($C46,$C$129:$AB$524,4,FALSE),"")</f>
        <v/>
      </c>
      <c r="G46" s="9" t="str">
        <f t="shared" ref="G46:G81" si="3">IFERROR(VLOOKUP($C46,$C$129:$AB$524,5,FALSE),"")</f>
        <v/>
      </c>
      <c r="H46" s="9" t="str">
        <f t="shared" ref="H46:H81" si="4">IFERROR(VLOOKUP($C46,$C$129:$AB$524,6,FALSE),"")</f>
        <v/>
      </c>
      <c r="I46" s="9" t="str">
        <f t="shared" ref="I46:I81" si="5">IFERROR(VLOOKUP($C46,$C$129:$AB$524,7,FALSE),"")</f>
        <v/>
      </c>
      <c r="J46" s="9" t="str">
        <f t="shared" ref="J46:J81" si="6">IFERROR(VLOOKUP($C46,$C$129:$AB$524,8,FALSE),"")</f>
        <v/>
      </c>
      <c r="L46" s="9" t="str">
        <f t="shared" ref="L46:L81" si="7">IFERROR(VLOOKUP($C46,$C$129:$AB$524,9,FALSE),"")</f>
        <v/>
      </c>
      <c r="M46" s="9" t="str">
        <f t="shared" ref="M46:M81" si="8">IFERROR(VLOOKUP($C46,$C$129:$AB$524,10,FALSE),"")</f>
        <v/>
      </c>
      <c r="N46" s="9" t="str">
        <f t="shared" ref="N46:N81" si="9">IFERROR(VLOOKUP($C46,$C$129:$AB$524,11,FALSE),"")</f>
        <v/>
      </c>
      <c r="O46" s="9" t="str">
        <f t="shared" ref="O46:O81" si="10">IFERROR(VLOOKUP($C46,$C$129:$AB$524,12,FALSE),"")</f>
        <v/>
      </c>
      <c r="P46" s="9" t="str">
        <f t="shared" ref="P46:P81" si="11">IFERROR(VLOOKUP($C46,$C$129:$AB$524,13,FALSE),"")</f>
        <v/>
      </c>
      <c r="Q46" s="9" t="str">
        <f t="shared" ref="Q46:Q81" si="12">IFERROR(VLOOKUP($C46,$C$129:$AB$524,14,FALSE),"")</f>
        <v/>
      </c>
      <c r="T46" s="9" t="str">
        <f t="shared" ref="T46:T81" si="13">IFERROR(VLOOKUP($C46,$C$129:$AB$524,15,FALSE),"")</f>
        <v/>
      </c>
      <c r="U46" s="9" t="str">
        <f t="shared" ref="U46:U81" si="14">IFERROR(VLOOKUP($C46,$C$129:$AB$524,16,FALSE),"")</f>
        <v/>
      </c>
      <c r="V46" s="9" t="str">
        <f t="shared" ref="V46:V81" si="15">IFERROR(VLOOKUP($C46,$C$129:$AB$524,17,FALSE),"")</f>
        <v/>
      </c>
      <c r="W46" s="9" t="str">
        <f t="shared" ref="W46:W81" si="16">IFERROR(VLOOKUP($C46,$C$129:$AB$524,18,FALSE),"")</f>
        <v/>
      </c>
      <c r="X46" s="9" t="str">
        <f t="shared" ref="X46:X81" si="17">IFERROR(VLOOKUP($C46,$C$129:$AB$524,19,FALSE),"")</f>
        <v/>
      </c>
      <c r="Y46" s="9" t="str">
        <f t="shared" ref="Y46:Y81" si="18">IFERROR(VLOOKUP($C46,$C$129:$AB$524,20,FALSE),"")</f>
        <v/>
      </c>
      <c r="AB46" s="9" t="str">
        <f t="shared" ref="AB46:AB81" si="19">IFERROR(VLOOKUP($C46,$C$129:$AB$524,21,FALSE),"")</f>
        <v/>
      </c>
      <c r="AC46" s="9" t="str">
        <f t="shared" ref="AC46:AC81" si="20">IFERROR(VLOOKUP($C46,$C$129:$AB$524,22,FALSE),"")</f>
        <v/>
      </c>
      <c r="AD46" s="9" t="str">
        <f t="shared" ref="AD46:AD81" si="21">IFERROR(VLOOKUP($C46,$C$129:$AB$524,23,FALSE),"")</f>
        <v/>
      </c>
      <c r="AE46" s="9" t="str">
        <f t="shared" ref="AE46:AE81" si="22">IFERROR(VLOOKUP($C46,$C$129:$AB$524,24,FALSE),"")</f>
        <v/>
      </c>
      <c r="AF46" s="9" t="str">
        <f t="shared" ref="AF46:AF81" si="23">IFERROR(VLOOKUP($C46,$C$129:$AB$524,25,FALSE),"")</f>
        <v/>
      </c>
      <c r="AG46" s="9" t="str">
        <f t="shared" ref="AG46:AG81" si="24">IFERROR(VLOOKUP($C46,$C$129:$AB$524,26,FALSE),"")</f>
        <v/>
      </c>
    </row>
    <row r="47" spans="1:33" ht="0.5" customHeight="1">
      <c r="B47" s="9" t="str">
        <f t="shared" si="0"/>
        <v>Panama</v>
      </c>
      <c r="C47" s="9" t="str">
        <f t="shared" ref="C47:C81" si="25">CONCATENATE(B47,D47)</f>
        <v>Panama21</v>
      </c>
      <c r="D47" s="396">
        <v>21</v>
      </c>
      <c r="E47" s="9" t="str">
        <f t="shared" si="1"/>
        <v/>
      </c>
      <c r="F47" s="9" t="str">
        <f t="shared" si="2"/>
        <v/>
      </c>
      <c r="G47" s="9" t="str">
        <f t="shared" si="3"/>
        <v/>
      </c>
      <c r="H47" s="9" t="str">
        <f t="shared" si="4"/>
        <v/>
      </c>
      <c r="I47" s="9" t="str">
        <f t="shared" si="5"/>
        <v/>
      </c>
      <c r="J47" s="9" t="str">
        <f t="shared" si="6"/>
        <v/>
      </c>
      <c r="L47" s="9" t="str">
        <f t="shared" si="7"/>
        <v/>
      </c>
      <c r="M47" s="9" t="str">
        <f t="shared" si="8"/>
        <v/>
      </c>
      <c r="N47" s="9" t="str">
        <f t="shared" si="9"/>
        <v/>
      </c>
      <c r="O47" s="9" t="str">
        <f t="shared" si="10"/>
        <v/>
      </c>
      <c r="P47" s="9" t="str">
        <f t="shared" si="11"/>
        <v/>
      </c>
      <c r="Q47" s="9" t="str">
        <f t="shared" si="12"/>
        <v/>
      </c>
      <c r="T47" s="9" t="str">
        <f t="shared" si="13"/>
        <v/>
      </c>
      <c r="U47" s="9" t="str">
        <f t="shared" si="14"/>
        <v/>
      </c>
      <c r="V47" s="9" t="str">
        <f t="shared" si="15"/>
        <v/>
      </c>
      <c r="W47" s="9" t="str">
        <f t="shared" si="16"/>
        <v/>
      </c>
      <c r="X47" s="9" t="str">
        <f t="shared" si="17"/>
        <v/>
      </c>
      <c r="Y47" s="9" t="str">
        <f t="shared" si="18"/>
        <v/>
      </c>
      <c r="AB47" s="9" t="str">
        <f t="shared" si="19"/>
        <v/>
      </c>
      <c r="AC47" s="9" t="str">
        <f t="shared" si="20"/>
        <v/>
      </c>
      <c r="AD47" s="9" t="str">
        <f t="shared" si="21"/>
        <v/>
      </c>
      <c r="AE47" s="9" t="str">
        <f t="shared" si="22"/>
        <v/>
      </c>
      <c r="AF47" s="9" t="str">
        <f t="shared" si="23"/>
        <v/>
      </c>
      <c r="AG47" s="9" t="str">
        <f t="shared" si="24"/>
        <v/>
      </c>
    </row>
    <row r="48" spans="1:33" ht="0.5" customHeight="1">
      <c r="B48" s="9" t="str">
        <f t="shared" si="0"/>
        <v>Panama</v>
      </c>
      <c r="C48" s="9" t="str">
        <f t="shared" si="25"/>
        <v>Panama22</v>
      </c>
      <c r="D48" s="396">
        <v>22</v>
      </c>
      <c r="E48" s="9" t="str">
        <f t="shared" si="1"/>
        <v/>
      </c>
      <c r="F48" s="9" t="str">
        <f t="shared" si="2"/>
        <v/>
      </c>
      <c r="G48" s="9" t="str">
        <f t="shared" si="3"/>
        <v/>
      </c>
      <c r="H48" s="9" t="str">
        <f t="shared" si="4"/>
        <v/>
      </c>
      <c r="I48" s="9" t="str">
        <f t="shared" si="5"/>
        <v/>
      </c>
      <c r="J48" s="9" t="str">
        <f t="shared" si="6"/>
        <v/>
      </c>
      <c r="L48" s="9" t="str">
        <f t="shared" si="7"/>
        <v/>
      </c>
      <c r="M48" s="9" t="str">
        <f t="shared" si="8"/>
        <v/>
      </c>
      <c r="N48" s="9" t="str">
        <f t="shared" si="9"/>
        <v/>
      </c>
      <c r="O48" s="9" t="str">
        <f t="shared" si="10"/>
        <v/>
      </c>
      <c r="P48" s="9" t="str">
        <f t="shared" si="11"/>
        <v/>
      </c>
      <c r="Q48" s="9" t="str">
        <f t="shared" si="12"/>
        <v/>
      </c>
      <c r="T48" s="9" t="str">
        <f t="shared" si="13"/>
        <v/>
      </c>
      <c r="U48" s="9" t="str">
        <f t="shared" si="14"/>
        <v/>
      </c>
      <c r="V48" s="9" t="str">
        <f t="shared" si="15"/>
        <v/>
      </c>
      <c r="W48" s="9" t="str">
        <f t="shared" si="16"/>
        <v/>
      </c>
      <c r="X48" s="9" t="str">
        <f t="shared" si="17"/>
        <v/>
      </c>
      <c r="Y48" s="9" t="str">
        <f t="shared" si="18"/>
        <v/>
      </c>
      <c r="AB48" s="9" t="str">
        <f t="shared" si="19"/>
        <v/>
      </c>
      <c r="AC48" s="9" t="str">
        <f t="shared" si="20"/>
        <v/>
      </c>
      <c r="AD48" s="9" t="str">
        <f t="shared" si="21"/>
        <v/>
      </c>
      <c r="AE48" s="9" t="str">
        <f t="shared" si="22"/>
        <v/>
      </c>
      <c r="AF48" s="9" t="str">
        <f t="shared" si="23"/>
        <v/>
      </c>
      <c r="AG48" s="9" t="str">
        <f t="shared" si="24"/>
        <v/>
      </c>
    </row>
    <row r="49" spans="2:33" ht="0.5" customHeight="1">
      <c r="B49" s="9" t="str">
        <f t="shared" si="0"/>
        <v>Panama</v>
      </c>
      <c r="C49" s="9" t="str">
        <f t="shared" si="25"/>
        <v>Panama23</v>
      </c>
      <c r="D49" s="396">
        <v>23</v>
      </c>
      <c r="E49" s="9" t="str">
        <f t="shared" si="1"/>
        <v/>
      </c>
      <c r="F49" s="9" t="str">
        <f t="shared" si="2"/>
        <v/>
      </c>
      <c r="G49" s="9" t="str">
        <f t="shared" si="3"/>
        <v/>
      </c>
      <c r="H49" s="9" t="str">
        <f t="shared" si="4"/>
        <v/>
      </c>
      <c r="I49" s="9" t="str">
        <f t="shared" si="5"/>
        <v/>
      </c>
      <c r="J49" s="9" t="str">
        <f t="shared" si="6"/>
        <v/>
      </c>
      <c r="L49" s="9" t="str">
        <f t="shared" si="7"/>
        <v/>
      </c>
      <c r="M49" s="9" t="str">
        <f t="shared" si="8"/>
        <v/>
      </c>
      <c r="N49" s="9" t="str">
        <f t="shared" si="9"/>
        <v/>
      </c>
      <c r="O49" s="9" t="str">
        <f t="shared" si="10"/>
        <v/>
      </c>
      <c r="P49" s="9" t="str">
        <f t="shared" si="11"/>
        <v/>
      </c>
      <c r="Q49" s="9" t="str">
        <f t="shared" si="12"/>
        <v/>
      </c>
      <c r="T49" s="9" t="str">
        <f t="shared" si="13"/>
        <v/>
      </c>
      <c r="U49" s="9" t="str">
        <f t="shared" si="14"/>
        <v/>
      </c>
      <c r="V49" s="9" t="str">
        <f t="shared" si="15"/>
        <v/>
      </c>
      <c r="W49" s="9" t="str">
        <f t="shared" si="16"/>
        <v/>
      </c>
      <c r="X49" s="9" t="str">
        <f t="shared" si="17"/>
        <v/>
      </c>
      <c r="Y49" s="9" t="str">
        <f t="shared" si="18"/>
        <v/>
      </c>
      <c r="AB49" s="9" t="str">
        <f t="shared" si="19"/>
        <v/>
      </c>
      <c r="AC49" s="9" t="str">
        <f t="shared" si="20"/>
        <v/>
      </c>
      <c r="AD49" s="9" t="str">
        <f t="shared" si="21"/>
        <v/>
      </c>
      <c r="AE49" s="9" t="str">
        <f t="shared" si="22"/>
        <v/>
      </c>
      <c r="AF49" s="9" t="str">
        <f t="shared" si="23"/>
        <v/>
      </c>
      <c r="AG49" s="9" t="str">
        <f t="shared" si="24"/>
        <v/>
      </c>
    </row>
    <row r="50" spans="2:33" ht="0.5" customHeight="1">
      <c r="B50" s="9" t="str">
        <f t="shared" si="0"/>
        <v>Panama</v>
      </c>
      <c r="C50" s="9" t="str">
        <f t="shared" si="25"/>
        <v>Panama24</v>
      </c>
      <c r="D50" s="396">
        <v>24</v>
      </c>
      <c r="E50" s="9" t="str">
        <f t="shared" si="1"/>
        <v/>
      </c>
      <c r="F50" s="9" t="str">
        <f t="shared" si="2"/>
        <v/>
      </c>
      <c r="G50" s="9" t="str">
        <f t="shared" si="3"/>
        <v/>
      </c>
      <c r="H50" s="9" t="str">
        <f t="shared" si="4"/>
        <v/>
      </c>
      <c r="I50" s="9" t="str">
        <f t="shared" si="5"/>
        <v/>
      </c>
      <c r="J50" s="9" t="str">
        <f t="shared" si="6"/>
        <v/>
      </c>
      <c r="L50" s="9" t="str">
        <f t="shared" si="7"/>
        <v/>
      </c>
      <c r="M50" s="9" t="str">
        <f t="shared" si="8"/>
        <v/>
      </c>
      <c r="N50" s="9" t="str">
        <f t="shared" si="9"/>
        <v/>
      </c>
      <c r="O50" s="9" t="str">
        <f t="shared" si="10"/>
        <v/>
      </c>
      <c r="P50" s="9" t="str">
        <f t="shared" si="11"/>
        <v/>
      </c>
      <c r="Q50" s="9" t="str">
        <f t="shared" si="12"/>
        <v/>
      </c>
      <c r="T50" s="9" t="str">
        <f t="shared" si="13"/>
        <v/>
      </c>
      <c r="U50" s="9" t="str">
        <f t="shared" si="14"/>
        <v/>
      </c>
      <c r="V50" s="9" t="str">
        <f t="shared" si="15"/>
        <v/>
      </c>
      <c r="W50" s="9" t="str">
        <f t="shared" si="16"/>
        <v/>
      </c>
      <c r="X50" s="9" t="str">
        <f t="shared" si="17"/>
        <v/>
      </c>
      <c r="Y50" s="9" t="str">
        <f t="shared" si="18"/>
        <v/>
      </c>
      <c r="AB50" s="9" t="str">
        <f t="shared" si="19"/>
        <v/>
      </c>
      <c r="AC50" s="9" t="str">
        <f t="shared" si="20"/>
        <v/>
      </c>
      <c r="AD50" s="9" t="str">
        <f t="shared" si="21"/>
        <v/>
      </c>
      <c r="AE50" s="9" t="str">
        <f t="shared" si="22"/>
        <v/>
      </c>
      <c r="AF50" s="9" t="str">
        <f t="shared" si="23"/>
        <v/>
      </c>
      <c r="AG50" s="9" t="str">
        <f t="shared" si="24"/>
        <v/>
      </c>
    </row>
    <row r="51" spans="2:33" ht="0.5" customHeight="1">
      <c r="B51" s="9" t="str">
        <f t="shared" si="0"/>
        <v>Panama</v>
      </c>
      <c r="C51" s="9" t="str">
        <f t="shared" si="25"/>
        <v>Panama25</v>
      </c>
      <c r="D51" s="396">
        <v>25</v>
      </c>
      <c r="E51" s="9" t="str">
        <f t="shared" si="1"/>
        <v/>
      </c>
      <c r="F51" s="9" t="str">
        <f t="shared" si="2"/>
        <v/>
      </c>
      <c r="G51" s="9" t="str">
        <f t="shared" si="3"/>
        <v/>
      </c>
      <c r="H51" s="9" t="str">
        <f t="shared" si="4"/>
        <v/>
      </c>
      <c r="I51" s="9" t="str">
        <f t="shared" si="5"/>
        <v/>
      </c>
      <c r="J51" s="9" t="str">
        <f t="shared" si="6"/>
        <v/>
      </c>
      <c r="L51" s="9" t="str">
        <f t="shared" si="7"/>
        <v/>
      </c>
      <c r="M51" s="9" t="str">
        <f t="shared" si="8"/>
        <v/>
      </c>
      <c r="N51" s="9" t="str">
        <f t="shared" si="9"/>
        <v/>
      </c>
      <c r="O51" s="9" t="str">
        <f t="shared" si="10"/>
        <v/>
      </c>
      <c r="P51" s="9" t="str">
        <f t="shared" si="11"/>
        <v/>
      </c>
      <c r="Q51" s="9" t="str">
        <f t="shared" si="12"/>
        <v/>
      </c>
      <c r="T51" s="9" t="str">
        <f t="shared" si="13"/>
        <v/>
      </c>
      <c r="U51" s="9" t="str">
        <f t="shared" si="14"/>
        <v/>
      </c>
      <c r="V51" s="9" t="str">
        <f t="shared" si="15"/>
        <v/>
      </c>
      <c r="W51" s="9" t="str">
        <f t="shared" si="16"/>
        <v/>
      </c>
      <c r="X51" s="9" t="str">
        <f t="shared" si="17"/>
        <v/>
      </c>
      <c r="Y51" s="9" t="str">
        <f t="shared" si="18"/>
        <v/>
      </c>
      <c r="AB51" s="9" t="str">
        <f t="shared" si="19"/>
        <v/>
      </c>
      <c r="AC51" s="9" t="str">
        <f t="shared" si="20"/>
        <v/>
      </c>
      <c r="AD51" s="9" t="str">
        <f t="shared" si="21"/>
        <v/>
      </c>
      <c r="AE51" s="9" t="str">
        <f t="shared" si="22"/>
        <v/>
      </c>
      <c r="AF51" s="9" t="str">
        <f t="shared" si="23"/>
        <v/>
      </c>
      <c r="AG51" s="9" t="str">
        <f t="shared" si="24"/>
        <v/>
      </c>
    </row>
    <row r="52" spans="2:33" ht="0.5" customHeight="1">
      <c r="B52" s="9" t="str">
        <f t="shared" si="0"/>
        <v>Panama</v>
      </c>
      <c r="C52" s="9" t="str">
        <f t="shared" si="25"/>
        <v>Panama26</v>
      </c>
      <c r="D52" s="396">
        <v>26</v>
      </c>
      <c r="E52" s="9" t="str">
        <f t="shared" si="1"/>
        <v/>
      </c>
      <c r="F52" s="9" t="str">
        <f t="shared" si="2"/>
        <v/>
      </c>
      <c r="G52" s="9" t="str">
        <f t="shared" si="3"/>
        <v/>
      </c>
      <c r="H52" s="9" t="str">
        <f t="shared" si="4"/>
        <v/>
      </c>
      <c r="I52" s="9" t="str">
        <f t="shared" si="5"/>
        <v/>
      </c>
      <c r="J52" s="9" t="str">
        <f t="shared" si="6"/>
        <v/>
      </c>
      <c r="L52" s="9" t="str">
        <f t="shared" si="7"/>
        <v/>
      </c>
      <c r="M52" s="9" t="str">
        <f t="shared" si="8"/>
        <v/>
      </c>
      <c r="N52" s="9" t="str">
        <f t="shared" si="9"/>
        <v/>
      </c>
      <c r="O52" s="9" t="str">
        <f t="shared" si="10"/>
        <v/>
      </c>
      <c r="P52" s="9" t="str">
        <f t="shared" si="11"/>
        <v/>
      </c>
      <c r="Q52" s="9" t="str">
        <f t="shared" si="12"/>
        <v/>
      </c>
      <c r="T52" s="9" t="str">
        <f t="shared" si="13"/>
        <v/>
      </c>
      <c r="U52" s="9" t="str">
        <f t="shared" si="14"/>
        <v/>
      </c>
      <c r="V52" s="9" t="str">
        <f t="shared" si="15"/>
        <v/>
      </c>
      <c r="W52" s="9" t="str">
        <f t="shared" si="16"/>
        <v/>
      </c>
      <c r="X52" s="9" t="str">
        <f t="shared" si="17"/>
        <v/>
      </c>
      <c r="Y52" s="9" t="str">
        <f t="shared" si="18"/>
        <v/>
      </c>
      <c r="AB52" s="9" t="str">
        <f t="shared" si="19"/>
        <v/>
      </c>
      <c r="AC52" s="9" t="str">
        <f t="shared" si="20"/>
        <v/>
      </c>
      <c r="AD52" s="9" t="str">
        <f t="shared" si="21"/>
        <v/>
      </c>
      <c r="AE52" s="9" t="str">
        <f t="shared" si="22"/>
        <v/>
      </c>
      <c r="AF52" s="9" t="str">
        <f t="shared" si="23"/>
        <v/>
      </c>
      <c r="AG52" s="9" t="str">
        <f t="shared" si="24"/>
        <v/>
      </c>
    </row>
    <row r="53" spans="2:33" ht="0.5" customHeight="1">
      <c r="B53" s="9" t="str">
        <f t="shared" si="0"/>
        <v>Panama</v>
      </c>
      <c r="C53" s="9" t="str">
        <f t="shared" si="25"/>
        <v>Panama27</v>
      </c>
      <c r="D53" s="396">
        <v>27</v>
      </c>
      <c r="E53" s="9" t="str">
        <f t="shared" si="1"/>
        <v/>
      </c>
      <c r="F53" s="9" t="str">
        <f t="shared" si="2"/>
        <v/>
      </c>
      <c r="G53" s="9" t="str">
        <f t="shared" si="3"/>
        <v/>
      </c>
      <c r="H53" s="9" t="str">
        <f t="shared" si="4"/>
        <v/>
      </c>
      <c r="I53" s="9" t="str">
        <f t="shared" si="5"/>
        <v/>
      </c>
      <c r="J53" s="9" t="str">
        <f t="shared" si="6"/>
        <v/>
      </c>
      <c r="L53" s="9" t="str">
        <f t="shared" si="7"/>
        <v/>
      </c>
      <c r="M53" s="9" t="str">
        <f t="shared" si="8"/>
        <v/>
      </c>
      <c r="N53" s="9" t="str">
        <f t="shared" si="9"/>
        <v/>
      </c>
      <c r="O53" s="9" t="str">
        <f t="shared" si="10"/>
        <v/>
      </c>
      <c r="P53" s="9" t="str">
        <f t="shared" si="11"/>
        <v/>
      </c>
      <c r="Q53" s="9" t="str">
        <f t="shared" si="12"/>
        <v/>
      </c>
      <c r="T53" s="9" t="str">
        <f t="shared" si="13"/>
        <v/>
      </c>
      <c r="U53" s="9" t="str">
        <f t="shared" si="14"/>
        <v/>
      </c>
      <c r="V53" s="9" t="str">
        <f t="shared" si="15"/>
        <v/>
      </c>
      <c r="W53" s="9" t="str">
        <f t="shared" si="16"/>
        <v/>
      </c>
      <c r="X53" s="9" t="str">
        <f t="shared" si="17"/>
        <v/>
      </c>
      <c r="Y53" s="9" t="str">
        <f t="shared" si="18"/>
        <v/>
      </c>
      <c r="AB53" s="9" t="str">
        <f t="shared" si="19"/>
        <v/>
      </c>
      <c r="AC53" s="9" t="str">
        <f t="shared" si="20"/>
        <v/>
      </c>
      <c r="AD53" s="9" t="str">
        <f t="shared" si="21"/>
        <v/>
      </c>
      <c r="AE53" s="9" t="str">
        <f t="shared" si="22"/>
        <v/>
      </c>
      <c r="AF53" s="9" t="str">
        <f t="shared" si="23"/>
        <v/>
      </c>
      <c r="AG53" s="9" t="str">
        <f t="shared" si="24"/>
        <v/>
      </c>
    </row>
    <row r="54" spans="2:33" ht="0.5" customHeight="1">
      <c r="B54" s="9" t="str">
        <f t="shared" si="0"/>
        <v>Panama</v>
      </c>
      <c r="C54" s="9" t="str">
        <f t="shared" si="25"/>
        <v>Panama28</v>
      </c>
      <c r="D54" s="396">
        <v>28</v>
      </c>
      <c r="E54" s="9" t="str">
        <f t="shared" si="1"/>
        <v/>
      </c>
      <c r="F54" s="9" t="str">
        <f t="shared" si="2"/>
        <v/>
      </c>
      <c r="G54" s="9" t="str">
        <f t="shared" si="3"/>
        <v/>
      </c>
      <c r="H54" s="9" t="str">
        <f t="shared" si="4"/>
        <v/>
      </c>
      <c r="I54" s="9" t="str">
        <f t="shared" si="5"/>
        <v/>
      </c>
      <c r="J54" s="9" t="str">
        <f t="shared" si="6"/>
        <v/>
      </c>
      <c r="L54" s="9" t="str">
        <f t="shared" si="7"/>
        <v/>
      </c>
      <c r="M54" s="9" t="str">
        <f t="shared" si="8"/>
        <v/>
      </c>
      <c r="N54" s="9" t="str">
        <f t="shared" si="9"/>
        <v/>
      </c>
      <c r="O54" s="9" t="str">
        <f t="shared" si="10"/>
        <v/>
      </c>
      <c r="P54" s="9" t="str">
        <f t="shared" si="11"/>
        <v/>
      </c>
      <c r="Q54" s="9" t="str">
        <f t="shared" si="12"/>
        <v/>
      </c>
      <c r="T54" s="9" t="str">
        <f t="shared" si="13"/>
        <v/>
      </c>
      <c r="U54" s="9" t="str">
        <f t="shared" si="14"/>
        <v/>
      </c>
      <c r="V54" s="9" t="str">
        <f t="shared" si="15"/>
        <v/>
      </c>
      <c r="W54" s="9" t="str">
        <f t="shared" si="16"/>
        <v/>
      </c>
      <c r="X54" s="9" t="str">
        <f t="shared" si="17"/>
        <v/>
      </c>
      <c r="Y54" s="9" t="str">
        <f t="shared" si="18"/>
        <v/>
      </c>
      <c r="AB54" s="9" t="str">
        <f t="shared" si="19"/>
        <v/>
      </c>
      <c r="AC54" s="9" t="str">
        <f t="shared" si="20"/>
        <v/>
      </c>
      <c r="AD54" s="9" t="str">
        <f t="shared" si="21"/>
        <v/>
      </c>
      <c r="AE54" s="9" t="str">
        <f t="shared" si="22"/>
        <v/>
      </c>
      <c r="AF54" s="9" t="str">
        <f t="shared" si="23"/>
        <v/>
      </c>
      <c r="AG54" s="9" t="str">
        <f t="shared" si="24"/>
        <v/>
      </c>
    </row>
    <row r="55" spans="2:33" ht="0.5" customHeight="1">
      <c r="B55" s="9" t="str">
        <f t="shared" si="0"/>
        <v>Panama</v>
      </c>
      <c r="C55" s="9" t="str">
        <f t="shared" si="25"/>
        <v>Panama29</v>
      </c>
      <c r="D55" s="396">
        <v>29</v>
      </c>
      <c r="E55" s="9" t="str">
        <f t="shared" si="1"/>
        <v/>
      </c>
      <c r="F55" s="9" t="str">
        <f t="shared" si="2"/>
        <v/>
      </c>
      <c r="G55" s="9" t="str">
        <f t="shared" si="3"/>
        <v/>
      </c>
      <c r="H55" s="9" t="str">
        <f t="shared" si="4"/>
        <v/>
      </c>
      <c r="I55" s="9" t="str">
        <f t="shared" si="5"/>
        <v/>
      </c>
      <c r="J55" s="9" t="str">
        <f t="shared" si="6"/>
        <v/>
      </c>
      <c r="L55" s="9" t="str">
        <f t="shared" si="7"/>
        <v/>
      </c>
      <c r="M55" s="9" t="str">
        <f t="shared" si="8"/>
        <v/>
      </c>
      <c r="N55" s="9" t="str">
        <f t="shared" si="9"/>
        <v/>
      </c>
      <c r="O55" s="9" t="str">
        <f t="shared" si="10"/>
        <v/>
      </c>
      <c r="P55" s="9" t="str">
        <f t="shared" si="11"/>
        <v/>
      </c>
      <c r="Q55" s="9" t="str">
        <f t="shared" si="12"/>
        <v/>
      </c>
      <c r="T55" s="9" t="str">
        <f t="shared" si="13"/>
        <v/>
      </c>
      <c r="U55" s="9" t="str">
        <f t="shared" si="14"/>
        <v/>
      </c>
      <c r="V55" s="9" t="str">
        <f t="shared" si="15"/>
        <v/>
      </c>
      <c r="W55" s="9" t="str">
        <f t="shared" si="16"/>
        <v/>
      </c>
      <c r="X55" s="9" t="str">
        <f t="shared" si="17"/>
        <v/>
      </c>
      <c r="Y55" s="9" t="str">
        <f t="shared" si="18"/>
        <v/>
      </c>
      <c r="AB55" s="9" t="str">
        <f t="shared" si="19"/>
        <v/>
      </c>
      <c r="AC55" s="9" t="str">
        <f t="shared" si="20"/>
        <v/>
      </c>
      <c r="AD55" s="9" t="str">
        <f t="shared" si="21"/>
        <v/>
      </c>
      <c r="AE55" s="9" t="str">
        <f t="shared" si="22"/>
        <v/>
      </c>
      <c r="AF55" s="9" t="str">
        <f t="shared" si="23"/>
        <v/>
      </c>
      <c r="AG55" s="9" t="str">
        <f t="shared" si="24"/>
        <v/>
      </c>
    </row>
    <row r="56" spans="2:33" ht="0.5" customHeight="1">
      <c r="B56" s="9" t="str">
        <f t="shared" si="0"/>
        <v>Panama</v>
      </c>
      <c r="C56" s="9" t="str">
        <f t="shared" si="25"/>
        <v>Panama30</v>
      </c>
      <c r="D56" s="396">
        <v>30</v>
      </c>
      <c r="E56" s="9" t="str">
        <f t="shared" si="1"/>
        <v/>
      </c>
      <c r="F56" s="9" t="str">
        <f t="shared" si="2"/>
        <v/>
      </c>
      <c r="G56" s="9" t="str">
        <f t="shared" si="3"/>
        <v/>
      </c>
      <c r="H56" s="9" t="str">
        <f t="shared" si="4"/>
        <v/>
      </c>
      <c r="I56" s="9" t="str">
        <f t="shared" si="5"/>
        <v/>
      </c>
      <c r="J56" s="9" t="str">
        <f t="shared" si="6"/>
        <v/>
      </c>
      <c r="L56" s="9" t="str">
        <f t="shared" si="7"/>
        <v/>
      </c>
      <c r="M56" s="9" t="str">
        <f t="shared" si="8"/>
        <v/>
      </c>
      <c r="N56" s="9" t="str">
        <f t="shared" si="9"/>
        <v/>
      </c>
      <c r="O56" s="9" t="str">
        <f t="shared" si="10"/>
        <v/>
      </c>
      <c r="P56" s="9" t="str">
        <f t="shared" si="11"/>
        <v/>
      </c>
      <c r="Q56" s="9" t="str">
        <f t="shared" si="12"/>
        <v/>
      </c>
      <c r="T56" s="9" t="str">
        <f t="shared" si="13"/>
        <v/>
      </c>
      <c r="U56" s="9" t="str">
        <f t="shared" si="14"/>
        <v/>
      </c>
      <c r="V56" s="9" t="str">
        <f t="shared" si="15"/>
        <v/>
      </c>
      <c r="W56" s="9" t="str">
        <f t="shared" si="16"/>
        <v/>
      </c>
      <c r="X56" s="9" t="str">
        <f t="shared" si="17"/>
        <v/>
      </c>
      <c r="Y56" s="9" t="str">
        <f t="shared" si="18"/>
        <v/>
      </c>
      <c r="AB56" s="9" t="str">
        <f t="shared" si="19"/>
        <v/>
      </c>
      <c r="AC56" s="9" t="str">
        <f t="shared" si="20"/>
        <v/>
      </c>
      <c r="AD56" s="9" t="str">
        <f t="shared" si="21"/>
        <v/>
      </c>
      <c r="AE56" s="9" t="str">
        <f t="shared" si="22"/>
        <v/>
      </c>
      <c r="AF56" s="9" t="str">
        <f t="shared" si="23"/>
        <v/>
      </c>
      <c r="AG56" s="9" t="str">
        <f t="shared" si="24"/>
        <v/>
      </c>
    </row>
    <row r="57" spans="2:33" ht="0.5" customHeight="1">
      <c r="B57" s="9" t="str">
        <f t="shared" si="0"/>
        <v>Panama</v>
      </c>
      <c r="C57" s="9" t="str">
        <f t="shared" si="25"/>
        <v>Panama31</v>
      </c>
      <c r="D57" s="396">
        <v>31</v>
      </c>
      <c r="E57" s="9" t="str">
        <f t="shared" si="1"/>
        <v/>
      </c>
      <c r="F57" s="9" t="str">
        <f t="shared" si="2"/>
        <v/>
      </c>
      <c r="G57" s="9" t="str">
        <f t="shared" si="3"/>
        <v/>
      </c>
      <c r="H57" s="9" t="str">
        <f t="shared" si="4"/>
        <v/>
      </c>
      <c r="I57" s="9" t="str">
        <f t="shared" si="5"/>
        <v/>
      </c>
      <c r="J57" s="9" t="str">
        <f t="shared" si="6"/>
        <v/>
      </c>
      <c r="L57" s="9" t="str">
        <f t="shared" si="7"/>
        <v/>
      </c>
      <c r="M57" s="9" t="str">
        <f t="shared" si="8"/>
        <v/>
      </c>
      <c r="N57" s="9" t="str">
        <f t="shared" si="9"/>
        <v/>
      </c>
      <c r="O57" s="9" t="str">
        <f t="shared" si="10"/>
        <v/>
      </c>
      <c r="P57" s="9" t="str">
        <f t="shared" si="11"/>
        <v/>
      </c>
      <c r="Q57" s="9" t="str">
        <f t="shared" si="12"/>
        <v/>
      </c>
      <c r="T57" s="9" t="str">
        <f t="shared" si="13"/>
        <v/>
      </c>
      <c r="U57" s="9" t="str">
        <f t="shared" si="14"/>
        <v/>
      </c>
      <c r="V57" s="9" t="str">
        <f t="shared" si="15"/>
        <v/>
      </c>
      <c r="W57" s="9" t="str">
        <f t="shared" si="16"/>
        <v/>
      </c>
      <c r="X57" s="9" t="str">
        <f t="shared" si="17"/>
        <v/>
      </c>
      <c r="Y57" s="9" t="str">
        <f t="shared" si="18"/>
        <v/>
      </c>
      <c r="AB57" s="9" t="str">
        <f t="shared" si="19"/>
        <v/>
      </c>
      <c r="AC57" s="9" t="str">
        <f t="shared" si="20"/>
        <v/>
      </c>
      <c r="AD57" s="9" t="str">
        <f t="shared" si="21"/>
        <v/>
      </c>
      <c r="AE57" s="9" t="str">
        <f t="shared" si="22"/>
        <v/>
      </c>
      <c r="AF57" s="9" t="str">
        <f t="shared" si="23"/>
        <v/>
      </c>
      <c r="AG57" s="9" t="str">
        <f t="shared" si="24"/>
        <v/>
      </c>
    </row>
    <row r="58" spans="2:33" ht="0.5" customHeight="1">
      <c r="B58" s="9" t="str">
        <f t="shared" si="0"/>
        <v>Panama</v>
      </c>
      <c r="C58" s="9" t="str">
        <f t="shared" si="25"/>
        <v>Panama32</v>
      </c>
      <c r="D58" s="396">
        <v>32</v>
      </c>
      <c r="E58" s="9" t="str">
        <f t="shared" si="1"/>
        <v/>
      </c>
      <c r="F58" s="9" t="str">
        <f t="shared" si="2"/>
        <v/>
      </c>
      <c r="G58" s="9" t="str">
        <f t="shared" si="3"/>
        <v/>
      </c>
      <c r="H58" s="9" t="str">
        <f t="shared" si="4"/>
        <v/>
      </c>
      <c r="I58" s="9" t="str">
        <f t="shared" si="5"/>
        <v/>
      </c>
      <c r="J58" s="9" t="str">
        <f t="shared" si="6"/>
        <v/>
      </c>
      <c r="L58" s="9" t="str">
        <f t="shared" si="7"/>
        <v/>
      </c>
      <c r="M58" s="9" t="str">
        <f t="shared" si="8"/>
        <v/>
      </c>
      <c r="N58" s="9" t="str">
        <f t="shared" si="9"/>
        <v/>
      </c>
      <c r="O58" s="9" t="str">
        <f t="shared" si="10"/>
        <v/>
      </c>
      <c r="P58" s="9" t="str">
        <f t="shared" si="11"/>
        <v/>
      </c>
      <c r="Q58" s="9" t="str">
        <f t="shared" si="12"/>
        <v/>
      </c>
      <c r="T58" s="9" t="str">
        <f t="shared" si="13"/>
        <v/>
      </c>
      <c r="U58" s="9" t="str">
        <f t="shared" si="14"/>
        <v/>
      </c>
      <c r="V58" s="9" t="str">
        <f t="shared" si="15"/>
        <v/>
      </c>
      <c r="W58" s="9" t="str">
        <f t="shared" si="16"/>
        <v/>
      </c>
      <c r="X58" s="9" t="str">
        <f t="shared" si="17"/>
        <v/>
      </c>
      <c r="Y58" s="9" t="str">
        <f t="shared" si="18"/>
        <v/>
      </c>
      <c r="AB58" s="9" t="str">
        <f t="shared" si="19"/>
        <v/>
      </c>
      <c r="AC58" s="9" t="str">
        <f t="shared" si="20"/>
        <v/>
      </c>
      <c r="AD58" s="9" t="str">
        <f t="shared" si="21"/>
        <v/>
      </c>
      <c r="AE58" s="9" t="str">
        <f t="shared" si="22"/>
        <v/>
      </c>
      <c r="AF58" s="9" t="str">
        <f t="shared" si="23"/>
        <v/>
      </c>
      <c r="AG58" s="9" t="str">
        <f t="shared" si="24"/>
        <v/>
      </c>
    </row>
    <row r="59" spans="2:33" ht="0.5" customHeight="1">
      <c r="B59" s="9" t="str">
        <f t="shared" si="0"/>
        <v>Panama</v>
      </c>
      <c r="C59" s="9" t="str">
        <f t="shared" si="25"/>
        <v>Panama33</v>
      </c>
      <c r="D59" s="396">
        <v>33</v>
      </c>
      <c r="E59" s="9" t="str">
        <f t="shared" si="1"/>
        <v/>
      </c>
      <c r="F59" s="9" t="str">
        <f t="shared" si="2"/>
        <v/>
      </c>
      <c r="G59" s="9" t="str">
        <f t="shared" si="3"/>
        <v/>
      </c>
      <c r="H59" s="9" t="str">
        <f t="shared" si="4"/>
        <v/>
      </c>
      <c r="I59" s="9" t="str">
        <f t="shared" si="5"/>
        <v/>
      </c>
      <c r="J59" s="9" t="str">
        <f t="shared" si="6"/>
        <v/>
      </c>
      <c r="L59" s="9" t="str">
        <f t="shared" si="7"/>
        <v/>
      </c>
      <c r="M59" s="9" t="str">
        <f t="shared" si="8"/>
        <v/>
      </c>
      <c r="N59" s="9" t="str">
        <f t="shared" si="9"/>
        <v/>
      </c>
      <c r="O59" s="9" t="str">
        <f t="shared" si="10"/>
        <v/>
      </c>
      <c r="P59" s="9" t="str">
        <f t="shared" si="11"/>
        <v/>
      </c>
      <c r="Q59" s="9" t="str">
        <f t="shared" si="12"/>
        <v/>
      </c>
      <c r="T59" s="9" t="str">
        <f t="shared" si="13"/>
        <v/>
      </c>
      <c r="U59" s="9" t="str">
        <f t="shared" si="14"/>
        <v/>
      </c>
      <c r="V59" s="9" t="str">
        <f t="shared" si="15"/>
        <v/>
      </c>
      <c r="W59" s="9" t="str">
        <f t="shared" si="16"/>
        <v/>
      </c>
      <c r="X59" s="9" t="str">
        <f t="shared" si="17"/>
        <v/>
      </c>
      <c r="Y59" s="9" t="str">
        <f t="shared" si="18"/>
        <v/>
      </c>
      <c r="AB59" s="9" t="str">
        <f t="shared" si="19"/>
        <v/>
      </c>
      <c r="AC59" s="9" t="str">
        <f t="shared" si="20"/>
        <v/>
      </c>
      <c r="AD59" s="9" t="str">
        <f t="shared" si="21"/>
        <v/>
      </c>
      <c r="AE59" s="9" t="str">
        <f t="shared" si="22"/>
        <v/>
      </c>
      <c r="AF59" s="9" t="str">
        <f t="shared" si="23"/>
        <v/>
      </c>
      <c r="AG59" s="9" t="str">
        <f t="shared" si="24"/>
        <v/>
      </c>
    </row>
    <row r="60" spans="2:33" ht="0.5" customHeight="1">
      <c r="B60" s="9" t="str">
        <f t="shared" si="0"/>
        <v>Panama</v>
      </c>
      <c r="C60" s="9" t="str">
        <f t="shared" si="25"/>
        <v>Panama34</v>
      </c>
      <c r="D60" s="396">
        <v>34</v>
      </c>
      <c r="E60" s="9" t="str">
        <f t="shared" si="1"/>
        <v/>
      </c>
      <c r="F60" s="9" t="str">
        <f t="shared" si="2"/>
        <v/>
      </c>
      <c r="G60" s="9" t="str">
        <f t="shared" si="3"/>
        <v/>
      </c>
      <c r="H60" s="9" t="str">
        <f t="shared" si="4"/>
        <v/>
      </c>
      <c r="I60" s="9" t="str">
        <f t="shared" si="5"/>
        <v/>
      </c>
      <c r="J60" s="9" t="str">
        <f t="shared" si="6"/>
        <v/>
      </c>
      <c r="L60" s="9" t="str">
        <f t="shared" si="7"/>
        <v/>
      </c>
      <c r="M60" s="9" t="str">
        <f t="shared" si="8"/>
        <v/>
      </c>
      <c r="N60" s="9" t="str">
        <f t="shared" si="9"/>
        <v/>
      </c>
      <c r="O60" s="9" t="str">
        <f t="shared" si="10"/>
        <v/>
      </c>
      <c r="P60" s="9" t="str">
        <f t="shared" si="11"/>
        <v/>
      </c>
      <c r="Q60" s="9" t="str">
        <f t="shared" si="12"/>
        <v/>
      </c>
      <c r="T60" s="9" t="str">
        <f t="shared" si="13"/>
        <v/>
      </c>
      <c r="U60" s="9" t="str">
        <f t="shared" si="14"/>
        <v/>
      </c>
      <c r="V60" s="9" t="str">
        <f t="shared" si="15"/>
        <v/>
      </c>
      <c r="W60" s="9" t="str">
        <f t="shared" si="16"/>
        <v/>
      </c>
      <c r="X60" s="9" t="str">
        <f t="shared" si="17"/>
        <v/>
      </c>
      <c r="Y60" s="9" t="str">
        <f t="shared" si="18"/>
        <v/>
      </c>
      <c r="AB60" s="9" t="str">
        <f t="shared" si="19"/>
        <v/>
      </c>
      <c r="AC60" s="9" t="str">
        <f t="shared" si="20"/>
        <v/>
      </c>
      <c r="AD60" s="9" t="str">
        <f t="shared" si="21"/>
        <v/>
      </c>
      <c r="AE60" s="9" t="str">
        <f t="shared" si="22"/>
        <v/>
      </c>
      <c r="AF60" s="9" t="str">
        <f t="shared" si="23"/>
        <v/>
      </c>
      <c r="AG60" s="9" t="str">
        <f t="shared" si="24"/>
        <v/>
      </c>
    </row>
    <row r="61" spans="2:33" ht="0.5" customHeight="1">
      <c r="B61" s="9" t="str">
        <f t="shared" si="0"/>
        <v>Panama</v>
      </c>
      <c r="C61" s="9" t="str">
        <f t="shared" si="25"/>
        <v>Panama35</v>
      </c>
      <c r="D61" s="396">
        <v>35</v>
      </c>
      <c r="E61" s="9" t="str">
        <f t="shared" si="1"/>
        <v/>
      </c>
      <c r="F61" s="9" t="str">
        <f t="shared" si="2"/>
        <v/>
      </c>
      <c r="G61" s="9" t="str">
        <f t="shared" si="3"/>
        <v/>
      </c>
      <c r="H61" s="9" t="str">
        <f t="shared" si="4"/>
        <v/>
      </c>
      <c r="I61" s="9" t="str">
        <f t="shared" si="5"/>
        <v/>
      </c>
      <c r="J61" s="9" t="str">
        <f t="shared" si="6"/>
        <v/>
      </c>
      <c r="L61" s="9" t="str">
        <f t="shared" si="7"/>
        <v/>
      </c>
      <c r="M61" s="9" t="str">
        <f t="shared" si="8"/>
        <v/>
      </c>
      <c r="N61" s="9" t="str">
        <f t="shared" si="9"/>
        <v/>
      </c>
      <c r="O61" s="9" t="str">
        <f t="shared" si="10"/>
        <v/>
      </c>
      <c r="P61" s="9" t="str">
        <f t="shared" si="11"/>
        <v/>
      </c>
      <c r="Q61" s="9" t="str">
        <f t="shared" si="12"/>
        <v/>
      </c>
      <c r="T61" s="9" t="str">
        <f t="shared" si="13"/>
        <v/>
      </c>
      <c r="U61" s="9" t="str">
        <f t="shared" si="14"/>
        <v/>
      </c>
      <c r="V61" s="9" t="str">
        <f t="shared" si="15"/>
        <v/>
      </c>
      <c r="W61" s="9" t="str">
        <f t="shared" si="16"/>
        <v/>
      </c>
      <c r="X61" s="9" t="str">
        <f t="shared" si="17"/>
        <v/>
      </c>
      <c r="Y61" s="9" t="str">
        <f t="shared" si="18"/>
        <v/>
      </c>
      <c r="AB61" s="9" t="str">
        <f t="shared" si="19"/>
        <v/>
      </c>
      <c r="AC61" s="9" t="str">
        <f t="shared" si="20"/>
        <v/>
      </c>
      <c r="AD61" s="9" t="str">
        <f t="shared" si="21"/>
        <v/>
      </c>
      <c r="AE61" s="9" t="str">
        <f t="shared" si="22"/>
        <v/>
      </c>
      <c r="AF61" s="9" t="str">
        <f t="shared" si="23"/>
        <v/>
      </c>
      <c r="AG61" s="9" t="str">
        <f t="shared" si="24"/>
        <v/>
      </c>
    </row>
    <row r="62" spans="2:33" ht="0.5" customHeight="1">
      <c r="B62" s="9" t="str">
        <f t="shared" si="0"/>
        <v>Panama</v>
      </c>
      <c r="C62" s="9" t="str">
        <f t="shared" si="25"/>
        <v>Panama36</v>
      </c>
      <c r="D62" s="396">
        <v>36</v>
      </c>
      <c r="E62" s="9" t="str">
        <f t="shared" si="1"/>
        <v/>
      </c>
      <c r="F62" s="9" t="str">
        <f t="shared" si="2"/>
        <v/>
      </c>
      <c r="G62" s="9" t="str">
        <f t="shared" si="3"/>
        <v/>
      </c>
      <c r="H62" s="9" t="str">
        <f t="shared" si="4"/>
        <v/>
      </c>
      <c r="I62" s="9" t="str">
        <f t="shared" si="5"/>
        <v/>
      </c>
      <c r="J62" s="9" t="str">
        <f t="shared" si="6"/>
        <v/>
      </c>
      <c r="L62" s="9" t="str">
        <f t="shared" si="7"/>
        <v/>
      </c>
      <c r="M62" s="9" t="str">
        <f t="shared" si="8"/>
        <v/>
      </c>
      <c r="N62" s="9" t="str">
        <f t="shared" si="9"/>
        <v/>
      </c>
      <c r="O62" s="9" t="str">
        <f t="shared" si="10"/>
        <v/>
      </c>
      <c r="P62" s="9" t="str">
        <f t="shared" si="11"/>
        <v/>
      </c>
      <c r="Q62" s="9" t="str">
        <f t="shared" si="12"/>
        <v/>
      </c>
      <c r="T62" s="9" t="str">
        <f t="shared" si="13"/>
        <v/>
      </c>
      <c r="U62" s="9" t="str">
        <f t="shared" si="14"/>
        <v/>
      </c>
      <c r="V62" s="9" t="str">
        <f t="shared" si="15"/>
        <v/>
      </c>
      <c r="W62" s="9" t="str">
        <f t="shared" si="16"/>
        <v/>
      </c>
      <c r="X62" s="9" t="str">
        <f t="shared" si="17"/>
        <v/>
      </c>
      <c r="Y62" s="9" t="str">
        <f t="shared" si="18"/>
        <v/>
      </c>
      <c r="AB62" s="9" t="str">
        <f t="shared" si="19"/>
        <v/>
      </c>
      <c r="AC62" s="9" t="str">
        <f t="shared" si="20"/>
        <v/>
      </c>
      <c r="AD62" s="9" t="str">
        <f t="shared" si="21"/>
        <v/>
      </c>
      <c r="AE62" s="9" t="str">
        <f t="shared" si="22"/>
        <v/>
      </c>
      <c r="AF62" s="9" t="str">
        <f t="shared" si="23"/>
        <v/>
      </c>
      <c r="AG62" s="9" t="str">
        <f t="shared" si="24"/>
        <v/>
      </c>
    </row>
    <row r="63" spans="2:33" ht="0.5" customHeight="1">
      <c r="B63" s="9" t="str">
        <f t="shared" si="0"/>
        <v>Panama</v>
      </c>
      <c r="C63" s="9" t="str">
        <f t="shared" si="25"/>
        <v>Panama37</v>
      </c>
      <c r="D63" s="396">
        <v>37</v>
      </c>
      <c r="E63" s="9" t="str">
        <f t="shared" si="1"/>
        <v/>
      </c>
      <c r="F63" s="9" t="str">
        <f t="shared" si="2"/>
        <v/>
      </c>
      <c r="G63" s="9" t="str">
        <f t="shared" si="3"/>
        <v/>
      </c>
      <c r="H63" s="9" t="str">
        <f t="shared" si="4"/>
        <v/>
      </c>
      <c r="I63" s="9" t="str">
        <f t="shared" si="5"/>
        <v/>
      </c>
      <c r="J63" s="9" t="str">
        <f t="shared" si="6"/>
        <v/>
      </c>
      <c r="L63" s="9" t="str">
        <f t="shared" si="7"/>
        <v/>
      </c>
      <c r="M63" s="9" t="str">
        <f t="shared" si="8"/>
        <v/>
      </c>
      <c r="N63" s="9" t="str">
        <f t="shared" si="9"/>
        <v/>
      </c>
      <c r="O63" s="9" t="str">
        <f t="shared" si="10"/>
        <v/>
      </c>
      <c r="P63" s="9" t="str">
        <f t="shared" si="11"/>
        <v/>
      </c>
      <c r="Q63" s="9" t="str">
        <f t="shared" si="12"/>
        <v/>
      </c>
      <c r="T63" s="9" t="str">
        <f t="shared" si="13"/>
        <v/>
      </c>
      <c r="U63" s="9" t="str">
        <f t="shared" si="14"/>
        <v/>
      </c>
      <c r="V63" s="9" t="str">
        <f t="shared" si="15"/>
        <v/>
      </c>
      <c r="W63" s="9" t="str">
        <f t="shared" si="16"/>
        <v/>
      </c>
      <c r="X63" s="9" t="str">
        <f t="shared" si="17"/>
        <v/>
      </c>
      <c r="Y63" s="9" t="str">
        <f t="shared" si="18"/>
        <v/>
      </c>
      <c r="AB63" s="9" t="str">
        <f t="shared" si="19"/>
        <v/>
      </c>
      <c r="AC63" s="9" t="str">
        <f t="shared" si="20"/>
        <v/>
      </c>
      <c r="AD63" s="9" t="str">
        <f t="shared" si="21"/>
        <v/>
      </c>
      <c r="AE63" s="9" t="str">
        <f t="shared" si="22"/>
        <v/>
      </c>
      <c r="AF63" s="9" t="str">
        <f t="shared" si="23"/>
        <v/>
      </c>
      <c r="AG63" s="9" t="str">
        <f t="shared" si="24"/>
        <v/>
      </c>
    </row>
    <row r="64" spans="2:33" ht="0.5" customHeight="1">
      <c r="B64" s="9" t="str">
        <f t="shared" si="0"/>
        <v>Panama</v>
      </c>
      <c r="C64" s="9" t="str">
        <f t="shared" si="25"/>
        <v>Panama38</v>
      </c>
      <c r="D64" s="396">
        <v>38</v>
      </c>
      <c r="E64" s="9" t="str">
        <f t="shared" si="1"/>
        <v/>
      </c>
      <c r="F64" s="9" t="str">
        <f t="shared" si="2"/>
        <v/>
      </c>
      <c r="G64" s="9" t="str">
        <f t="shared" si="3"/>
        <v/>
      </c>
      <c r="H64" s="9" t="str">
        <f t="shared" si="4"/>
        <v/>
      </c>
      <c r="I64" s="9" t="str">
        <f t="shared" si="5"/>
        <v/>
      </c>
      <c r="J64" s="9" t="str">
        <f t="shared" si="6"/>
        <v/>
      </c>
      <c r="L64" s="9" t="str">
        <f t="shared" si="7"/>
        <v/>
      </c>
      <c r="M64" s="9" t="str">
        <f t="shared" si="8"/>
        <v/>
      </c>
      <c r="N64" s="9" t="str">
        <f t="shared" si="9"/>
        <v/>
      </c>
      <c r="O64" s="9" t="str">
        <f t="shared" si="10"/>
        <v/>
      </c>
      <c r="P64" s="9" t="str">
        <f t="shared" si="11"/>
        <v/>
      </c>
      <c r="Q64" s="9" t="str">
        <f t="shared" si="12"/>
        <v/>
      </c>
      <c r="T64" s="9" t="str">
        <f t="shared" si="13"/>
        <v/>
      </c>
      <c r="U64" s="9" t="str">
        <f t="shared" si="14"/>
        <v/>
      </c>
      <c r="V64" s="9" t="str">
        <f t="shared" si="15"/>
        <v/>
      </c>
      <c r="W64" s="9" t="str">
        <f t="shared" si="16"/>
        <v/>
      </c>
      <c r="X64" s="9" t="str">
        <f t="shared" si="17"/>
        <v/>
      </c>
      <c r="Y64" s="9" t="str">
        <f t="shared" si="18"/>
        <v/>
      </c>
      <c r="AB64" s="9" t="str">
        <f t="shared" si="19"/>
        <v/>
      </c>
      <c r="AC64" s="9" t="str">
        <f t="shared" si="20"/>
        <v/>
      </c>
      <c r="AD64" s="9" t="str">
        <f t="shared" si="21"/>
        <v/>
      </c>
      <c r="AE64" s="9" t="str">
        <f t="shared" si="22"/>
        <v/>
      </c>
      <c r="AF64" s="9" t="str">
        <f t="shared" si="23"/>
        <v/>
      </c>
      <c r="AG64" s="9" t="str">
        <f t="shared" si="24"/>
        <v/>
      </c>
    </row>
    <row r="65" spans="2:33" ht="0.5" customHeight="1">
      <c r="B65" s="9" t="str">
        <f t="shared" si="0"/>
        <v>Panama</v>
      </c>
      <c r="C65" s="9" t="str">
        <f t="shared" si="25"/>
        <v>Panama39</v>
      </c>
      <c r="D65" s="396">
        <v>39</v>
      </c>
      <c r="E65" s="9" t="str">
        <f t="shared" si="1"/>
        <v/>
      </c>
      <c r="F65" s="9" t="str">
        <f t="shared" si="2"/>
        <v/>
      </c>
      <c r="G65" s="9" t="str">
        <f t="shared" si="3"/>
        <v/>
      </c>
      <c r="H65" s="9" t="str">
        <f t="shared" si="4"/>
        <v/>
      </c>
      <c r="I65" s="9" t="str">
        <f t="shared" si="5"/>
        <v/>
      </c>
      <c r="J65" s="9" t="str">
        <f t="shared" si="6"/>
        <v/>
      </c>
      <c r="L65" s="9" t="str">
        <f t="shared" si="7"/>
        <v/>
      </c>
      <c r="M65" s="9" t="str">
        <f t="shared" si="8"/>
        <v/>
      </c>
      <c r="N65" s="9" t="str">
        <f t="shared" si="9"/>
        <v/>
      </c>
      <c r="O65" s="9" t="str">
        <f t="shared" si="10"/>
        <v/>
      </c>
      <c r="P65" s="9" t="str">
        <f t="shared" si="11"/>
        <v/>
      </c>
      <c r="Q65" s="9" t="str">
        <f t="shared" si="12"/>
        <v/>
      </c>
      <c r="T65" s="9" t="str">
        <f t="shared" si="13"/>
        <v/>
      </c>
      <c r="U65" s="9" t="str">
        <f t="shared" si="14"/>
        <v/>
      </c>
      <c r="V65" s="9" t="str">
        <f t="shared" si="15"/>
        <v/>
      </c>
      <c r="W65" s="9" t="str">
        <f t="shared" si="16"/>
        <v/>
      </c>
      <c r="X65" s="9" t="str">
        <f t="shared" si="17"/>
        <v/>
      </c>
      <c r="Y65" s="9" t="str">
        <f t="shared" si="18"/>
        <v/>
      </c>
      <c r="AB65" s="9" t="str">
        <f t="shared" si="19"/>
        <v/>
      </c>
      <c r="AC65" s="9" t="str">
        <f t="shared" si="20"/>
        <v/>
      </c>
      <c r="AD65" s="9" t="str">
        <f t="shared" si="21"/>
        <v/>
      </c>
      <c r="AE65" s="9" t="str">
        <f t="shared" si="22"/>
        <v/>
      </c>
      <c r="AF65" s="9" t="str">
        <f t="shared" si="23"/>
        <v/>
      </c>
      <c r="AG65" s="9" t="str">
        <f t="shared" si="24"/>
        <v/>
      </c>
    </row>
    <row r="66" spans="2:33" ht="0.5" customHeight="1">
      <c r="B66" s="9" t="str">
        <f t="shared" si="0"/>
        <v>Panama</v>
      </c>
      <c r="C66" s="9" t="str">
        <f t="shared" si="25"/>
        <v>Panama40</v>
      </c>
      <c r="D66" s="396">
        <v>40</v>
      </c>
      <c r="E66" s="9" t="str">
        <f t="shared" si="1"/>
        <v/>
      </c>
      <c r="F66" s="9" t="str">
        <f t="shared" si="2"/>
        <v/>
      </c>
      <c r="G66" s="9" t="str">
        <f t="shared" si="3"/>
        <v/>
      </c>
      <c r="H66" s="9" t="str">
        <f t="shared" si="4"/>
        <v/>
      </c>
      <c r="I66" s="9" t="str">
        <f t="shared" si="5"/>
        <v/>
      </c>
      <c r="J66" s="9" t="str">
        <f t="shared" si="6"/>
        <v/>
      </c>
      <c r="L66" s="9" t="str">
        <f t="shared" si="7"/>
        <v/>
      </c>
      <c r="M66" s="9" t="str">
        <f t="shared" si="8"/>
        <v/>
      </c>
      <c r="N66" s="9" t="str">
        <f t="shared" si="9"/>
        <v/>
      </c>
      <c r="O66" s="9" t="str">
        <f t="shared" si="10"/>
        <v/>
      </c>
      <c r="P66" s="9" t="str">
        <f t="shared" si="11"/>
        <v/>
      </c>
      <c r="Q66" s="9" t="str">
        <f t="shared" si="12"/>
        <v/>
      </c>
      <c r="T66" s="9" t="str">
        <f t="shared" si="13"/>
        <v/>
      </c>
      <c r="U66" s="9" t="str">
        <f t="shared" si="14"/>
        <v/>
      </c>
      <c r="V66" s="9" t="str">
        <f t="shared" si="15"/>
        <v/>
      </c>
      <c r="W66" s="9" t="str">
        <f t="shared" si="16"/>
        <v/>
      </c>
      <c r="X66" s="9" t="str">
        <f t="shared" si="17"/>
        <v/>
      </c>
      <c r="Y66" s="9" t="str">
        <f t="shared" si="18"/>
        <v/>
      </c>
      <c r="AB66" s="9" t="str">
        <f t="shared" si="19"/>
        <v/>
      </c>
      <c r="AC66" s="9" t="str">
        <f t="shared" si="20"/>
        <v/>
      </c>
      <c r="AD66" s="9" t="str">
        <f t="shared" si="21"/>
        <v/>
      </c>
      <c r="AE66" s="9" t="str">
        <f t="shared" si="22"/>
        <v/>
      </c>
      <c r="AF66" s="9" t="str">
        <f t="shared" si="23"/>
        <v/>
      </c>
      <c r="AG66" s="9" t="str">
        <f t="shared" si="24"/>
        <v/>
      </c>
    </row>
    <row r="67" spans="2:33" ht="0.5" customHeight="1">
      <c r="B67" s="9" t="str">
        <f t="shared" si="0"/>
        <v>Panama</v>
      </c>
      <c r="C67" s="9" t="str">
        <f t="shared" si="25"/>
        <v>Panama41</v>
      </c>
      <c r="D67" s="396">
        <v>41</v>
      </c>
      <c r="E67" s="9" t="str">
        <f t="shared" si="1"/>
        <v/>
      </c>
      <c r="F67" s="9" t="str">
        <f t="shared" si="2"/>
        <v/>
      </c>
      <c r="G67" s="9" t="str">
        <f t="shared" si="3"/>
        <v/>
      </c>
      <c r="H67" s="9" t="str">
        <f t="shared" si="4"/>
        <v/>
      </c>
      <c r="I67" s="9" t="str">
        <f t="shared" si="5"/>
        <v/>
      </c>
      <c r="J67" s="9" t="str">
        <f t="shared" si="6"/>
        <v/>
      </c>
      <c r="L67" s="9" t="str">
        <f t="shared" si="7"/>
        <v/>
      </c>
      <c r="M67" s="9" t="str">
        <f t="shared" si="8"/>
        <v/>
      </c>
      <c r="N67" s="9" t="str">
        <f t="shared" si="9"/>
        <v/>
      </c>
      <c r="O67" s="9" t="str">
        <f t="shared" si="10"/>
        <v/>
      </c>
      <c r="P67" s="9" t="str">
        <f t="shared" si="11"/>
        <v/>
      </c>
      <c r="Q67" s="9" t="str">
        <f t="shared" si="12"/>
        <v/>
      </c>
      <c r="T67" s="9" t="str">
        <f t="shared" si="13"/>
        <v/>
      </c>
      <c r="U67" s="9" t="str">
        <f t="shared" si="14"/>
        <v/>
      </c>
      <c r="V67" s="9" t="str">
        <f t="shared" si="15"/>
        <v/>
      </c>
      <c r="W67" s="9" t="str">
        <f t="shared" si="16"/>
        <v/>
      </c>
      <c r="X67" s="9" t="str">
        <f t="shared" si="17"/>
        <v/>
      </c>
      <c r="Y67" s="9" t="str">
        <f t="shared" si="18"/>
        <v/>
      </c>
      <c r="AB67" s="9" t="str">
        <f t="shared" si="19"/>
        <v/>
      </c>
      <c r="AC67" s="9" t="str">
        <f t="shared" si="20"/>
        <v/>
      </c>
      <c r="AD67" s="9" t="str">
        <f t="shared" si="21"/>
        <v/>
      </c>
      <c r="AE67" s="9" t="str">
        <f t="shared" si="22"/>
        <v/>
      </c>
      <c r="AF67" s="9" t="str">
        <f t="shared" si="23"/>
        <v/>
      </c>
      <c r="AG67" s="9" t="str">
        <f t="shared" si="24"/>
        <v/>
      </c>
    </row>
    <row r="68" spans="2:33" ht="0.5" customHeight="1">
      <c r="B68" s="9" t="str">
        <f t="shared" si="0"/>
        <v>Panama</v>
      </c>
      <c r="C68" s="9" t="str">
        <f t="shared" si="25"/>
        <v>Panama42</v>
      </c>
      <c r="D68" s="396">
        <v>42</v>
      </c>
      <c r="E68" s="9" t="str">
        <f t="shared" si="1"/>
        <v/>
      </c>
      <c r="F68" s="9" t="str">
        <f t="shared" si="2"/>
        <v/>
      </c>
      <c r="G68" s="9" t="str">
        <f t="shared" si="3"/>
        <v/>
      </c>
      <c r="H68" s="9" t="str">
        <f t="shared" si="4"/>
        <v/>
      </c>
      <c r="I68" s="9" t="str">
        <f t="shared" si="5"/>
        <v/>
      </c>
      <c r="J68" s="9" t="str">
        <f t="shared" si="6"/>
        <v/>
      </c>
      <c r="L68" s="9" t="str">
        <f t="shared" si="7"/>
        <v/>
      </c>
      <c r="M68" s="9" t="str">
        <f t="shared" si="8"/>
        <v/>
      </c>
      <c r="N68" s="9" t="str">
        <f t="shared" si="9"/>
        <v/>
      </c>
      <c r="O68" s="9" t="str">
        <f t="shared" si="10"/>
        <v/>
      </c>
      <c r="P68" s="9" t="str">
        <f t="shared" si="11"/>
        <v/>
      </c>
      <c r="Q68" s="9" t="str">
        <f t="shared" si="12"/>
        <v/>
      </c>
      <c r="T68" s="9" t="str">
        <f t="shared" si="13"/>
        <v/>
      </c>
      <c r="U68" s="9" t="str">
        <f t="shared" si="14"/>
        <v/>
      </c>
      <c r="V68" s="9" t="str">
        <f t="shared" si="15"/>
        <v/>
      </c>
      <c r="W68" s="9" t="str">
        <f t="shared" si="16"/>
        <v/>
      </c>
      <c r="X68" s="9" t="str">
        <f t="shared" si="17"/>
        <v/>
      </c>
      <c r="Y68" s="9" t="str">
        <f t="shared" si="18"/>
        <v/>
      </c>
      <c r="AB68" s="9" t="str">
        <f t="shared" si="19"/>
        <v/>
      </c>
      <c r="AC68" s="9" t="str">
        <f t="shared" si="20"/>
        <v/>
      </c>
      <c r="AD68" s="9" t="str">
        <f t="shared" si="21"/>
        <v/>
      </c>
      <c r="AE68" s="9" t="str">
        <f t="shared" si="22"/>
        <v/>
      </c>
      <c r="AF68" s="9" t="str">
        <f t="shared" si="23"/>
        <v/>
      </c>
      <c r="AG68" s="9" t="str">
        <f t="shared" si="24"/>
        <v/>
      </c>
    </row>
    <row r="69" spans="2:33" ht="0.5" customHeight="1">
      <c r="B69" s="9" t="str">
        <f t="shared" si="0"/>
        <v>Panama</v>
      </c>
      <c r="C69" s="9" t="str">
        <f t="shared" si="25"/>
        <v>Panama43</v>
      </c>
      <c r="D69" s="396">
        <v>43</v>
      </c>
      <c r="E69" s="9" t="str">
        <f t="shared" si="1"/>
        <v/>
      </c>
      <c r="F69" s="9" t="str">
        <f t="shared" si="2"/>
        <v/>
      </c>
      <c r="G69" s="9" t="str">
        <f t="shared" si="3"/>
        <v/>
      </c>
      <c r="H69" s="9" t="str">
        <f t="shared" si="4"/>
        <v/>
      </c>
      <c r="I69" s="9" t="str">
        <f t="shared" si="5"/>
        <v/>
      </c>
      <c r="J69" s="9" t="str">
        <f t="shared" si="6"/>
        <v/>
      </c>
      <c r="L69" s="9" t="str">
        <f t="shared" si="7"/>
        <v/>
      </c>
      <c r="M69" s="9" t="str">
        <f t="shared" si="8"/>
        <v/>
      </c>
      <c r="N69" s="9" t="str">
        <f t="shared" si="9"/>
        <v/>
      </c>
      <c r="O69" s="9" t="str">
        <f t="shared" si="10"/>
        <v/>
      </c>
      <c r="P69" s="9" t="str">
        <f t="shared" si="11"/>
        <v/>
      </c>
      <c r="Q69" s="9" t="str">
        <f t="shared" si="12"/>
        <v/>
      </c>
      <c r="T69" s="9" t="str">
        <f t="shared" si="13"/>
        <v/>
      </c>
      <c r="U69" s="9" t="str">
        <f t="shared" si="14"/>
        <v/>
      </c>
      <c r="V69" s="9" t="str">
        <f t="shared" si="15"/>
        <v/>
      </c>
      <c r="W69" s="9" t="str">
        <f t="shared" si="16"/>
        <v/>
      </c>
      <c r="X69" s="9" t="str">
        <f t="shared" si="17"/>
        <v/>
      </c>
      <c r="Y69" s="9" t="str">
        <f t="shared" si="18"/>
        <v/>
      </c>
      <c r="AB69" s="9" t="str">
        <f t="shared" si="19"/>
        <v/>
      </c>
      <c r="AC69" s="9" t="str">
        <f t="shared" si="20"/>
        <v/>
      </c>
      <c r="AD69" s="9" t="str">
        <f t="shared" si="21"/>
        <v/>
      </c>
      <c r="AE69" s="9" t="str">
        <f t="shared" si="22"/>
        <v/>
      </c>
      <c r="AF69" s="9" t="str">
        <f t="shared" si="23"/>
        <v/>
      </c>
      <c r="AG69" s="9" t="str">
        <f t="shared" si="24"/>
        <v/>
      </c>
    </row>
    <row r="70" spans="2:33" ht="0.5" customHeight="1">
      <c r="B70" s="9" t="str">
        <f t="shared" si="0"/>
        <v>Panama</v>
      </c>
      <c r="C70" s="9" t="str">
        <f t="shared" si="25"/>
        <v>Panama44</v>
      </c>
      <c r="D70" s="396">
        <v>44</v>
      </c>
      <c r="E70" s="9" t="str">
        <f t="shared" si="1"/>
        <v/>
      </c>
      <c r="F70" s="9" t="str">
        <f t="shared" si="2"/>
        <v/>
      </c>
      <c r="G70" s="9" t="str">
        <f t="shared" si="3"/>
        <v/>
      </c>
      <c r="H70" s="9" t="str">
        <f t="shared" si="4"/>
        <v/>
      </c>
      <c r="I70" s="9" t="str">
        <f t="shared" si="5"/>
        <v/>
      </c>
      <c r="J70" s="9" t="str">
        <f t="shared" si="6"/>
        <v/>
      </c>
      <c r="L70" s="9" t="str">
        <f t="shared" si="7"/>
        <v/>
      </c>
      <c r="M70" s="9" t="str">
        <f t="shared" si="8"/>
        <v/>
      </c>
      <c r="N70" s="9" t="str">
        <f t="shared" si="9"/>
        <v/>
      </c>
      <c r="O70" s="9" t="str">
        <f t="shared" si="10"/>
        <v/>
      </c>
      <c r="P70" s="9" t="str">
        <f t="shared" si="11"/>
        <v/>
      </c>
      <c r="Q70" s="9" t="str">
        <f t="shared" si="12"/>
        <v/>
      </c>
      <c r="T70" s="9" t="str">
        <f t="shared" si="13"/>
        <v/>
      </c>
      <c r="U70" s="9" t="str">
        <f t="shared" si="14"/>
        <v/>
      </c>
      <c r="V70" s="9" t="str">
        <f t="shared" si="15"/>
        <v/>
      </c>
      <c r="W70" s="9" t="str">
        <f t="shared" si="16"/>
        <v/>
      </c>
      <c r="X70" s="9" t="str">
        <f t="shared" si="17"/>
        <v/>
      </c>
      <c r="Y70" s="9" t="str">
        <f t="shared" si="18"/>
        <v/>
      </c>
      <c r="AB70" s="9" t="str">
        <f t="shared" si="19"/>
        <v/>
      </c>
      <c r="AC70" s="9" t="str">
        <f t="shared" si="20"/>
        <v/>
      </c>
      <c r="AD70" s="9" t="str">
        <f t="shared" si="21"/>
        <v/>
      </c>
      <c r="AE70" s="9" t="str">
        <f t="shared" si="22"/>
        <v/>
      </c>
      <c r="AF70" s="9" t="str">
        <f t="shared" si="23"/>
        <v/>
      </c>
      <c r="AG70" s="9" t="str">
        <f t="shared" si="24"/>
        <v/>
      </c>
    </row>
    <row r="71" spans="2:33" ht="0.5" customHeight="1">
      <c r="B71" s="9" t="str">
        <f t="shared" si="0"/>
        <v>Panama</v>
      </c>
      <c r="C71" s="9" t="str">
        <f t="shared" si="25"/>
        <v>Panama45</v>
      </c>
      <c r="D71" s="396">
        <v>45</v>
      </c>
      <c r="E71" s="9" t="str">
        <f t="shared" si="1"/>
        <v/>
      </c>
      <c r="F71" s="9" t="str">
        <f t="shared" si="2"/>
        <v/>
      </c>
      <c r="G71" s="9" t="str">
        <f t="shared" si="3"/>
        <v/>
      </c>
      <c r="H71" s="9" t="str">
        <f t="shared" si="4"/>
        <v/>
      </c>
      <c r="I71" s="9" t="str">
        <f t="shared" si="5"/>
        <v/>
      </c>
      <c r="J71" s="9" t="str">
        <f t="shared" si="6"/>
        <v/>
      </c>
      <c r="L71" s="9" t="str">
        <f t="shared" si="7"/>
        <v/>
      </c>
      <c r="M71" s="9" t="str">
        <f t="shared" si="8"/>
        <v/>
      </c>
      <c r="N71" s="9" t="str">
        <f t="shared" si="9"/>
        <v/>
      </c>
      <c r="O71" s="9" t="str">
        <f t="shared" si="10"/>
        <v/>
      </c>
      <c r="P71" s="9" t="str">
        <f t="shared" si="11"/>
        <v/>
      </c>
      <c r="Q71" s="9" t="str">
        <f t="shared" si="12"/>
        <v/>
      </c>
      <c r="T71" s="9" t="str">
        <f t="shared" si="13"/>
        <v/>
      </c>
      <c r="U71" s="9" t="str">
        <f t="shared" si="14"/>
        <v/>
      </c>
      <c r="V71" s="9" t="str">
        <f t="shared" si="15"/>
        <v/>
      </c>
      <c r="W71" s="9" t="str">
        <f t="shared" si="16"/>
        <v/>
      </c>
      <c r="X71" s="9" t="str">
        <f t="shared" si="17"/>
        <v/>
      </c>
      <c r="Y71" s="9" t="str">
        <f t="shared" si="18"/>
        <v/>
      </c>
      <c r="AB71" s="9" t="str">
        <f t="shared" si="19"/>
        <v/>
      </c>
      <c r="AC71" s="9" t="str">
        <f t="shared" si="20"/>
        <v/>
      </c>
      <c r="AD71" s="9" t="str">
        <f t="shared" si="21"/>
        <v/>
      </c>
      <c r="AE71" s="9" t="str">
        <f t="shared" si="22"/>
        <v/>
      </c>
      <c r="AF71" s="9" t="str">
        <f t="shared" si="23"/>
        <v/>
      </c>
      <c r="AG71" s="9" t="str">
        <f t="shared" si="24"/>
        <v/>
      </c>
    </row>
    <row r="72" spans="2:33" ht="0.5" customHeight="1">
      <c r="B72" s="9" t="str">
        <f t="shared" si="0"/>
        <v>Panama</v>
      </c>
      <c r="C72" s="9" t="str">
        <f t="shared" si="25"/>
        <v>Panama46</v>
      </c>
      <c r="D72" s="396">
        <v>46</v>
      </c>
      <c r="E72" s="9" t="str">
        <f t="shared" si="1"/>
        <v/>
      </c>
      <c r="F72" s="9" t="str">
        <f t="shared" si="2"/>
        <v/>
      </c>
      <c r="G72" s="9" t="str">
        <f t="shared" si="3"/>
        <v/>
      </c>
      <c r="H72" s="9" t="str">
        <f t="shared" si="4"/>
        <v/>
      </c>
      <c r="I72" s="9" t="str">
        <f t="shared" si="5"/>
        <v/>
      </c>
      <c r="J72" s="9" t="str">
        <f t="shared" si="6"/>
        <v/>
      </c>
      <c r="L72" s="9" t="str">
        <f t="shared" si="7"/>
        <v/>
      </c>
      <c r="M72" s="9" t="str">
        <f t="shared" si="8"/>
        <v/>
      </c>
      <c r="N72" s="9" t="str">
        <f t="shared" si="9"/>
        <v/>
      </c>
      <c r="O72" s="9" t="str">
        <f t="shared" si="10"/>
        <v/>
      </c>
      <c r="P72" s="9" t="str">
        <f t="shared" si="11"/>
        <v/>
      </c>
      <c r="Q72" s="9" t="str">
        <f t="shared" si="12"/>
        <v/>
      </c>
      <c r="T72" s="9" t="str">
        <f t="shared" si="13"/>
        <v/>
      </c>
      <c r="U72" s="9" t="str">
        <f t="shared" si="14"/>
        <v/>
      </c>
      <c r="V72" s="9" t="str">
        <f t="shared" si="15"/>
        <v/>
      </c>
      <c r="W72" s="9" t="str">
        <f t="shared" si="16"/>
        <v/>
      </c>
      <c r="X72" s="9" t="str">
        <f t="shared" si="17"/>
        <v/>
      </c>
      <c r="Y72" s="9" t="str">
        <f t="shared" si="18"/>
        <v/>
      </c>
      <c r="AB72" s="9" t="str">
        <f t="shared" si="19"/>
        <v/>
      </c>
      <c r="AC72" s="9" t="str">
        <f t="shared" si="20"/>
        <v/>
      </c>
      <c r="AD72" s="9" t="str">
        <f t="shared" si="21"/>
        <v/>
      </c>
      <c r="AE72" s="9" t="str">
        <f t="shared" si="22"/>
        <v/>
      </c>
      <c r="AF72" s="9" t="str">
        <f t="shared" si="23"/>
        <v/>
      </c>
      <c r="AG72" s="9" t="str">
        <f t="shared" si="24"/>
        <v/>
      </c>
    </row>
    <row r="73" spans="2:33" ht="0.5" customHeight="1">
      <c r="B73" s="9" t="str">
        <f t="shared" si="0"/>
        <v>Panama</v>
      </c>
      <c r="C73" s="9" t="str">
        <f t="shared" si="25"/>
        <v>Panama47</v>
      </c>
      <c r="D73" s="396">
        <v>47</v>
      </c>
      <c r="E73" s="9" t="str">
        <f t="shared" si="1"/>
        <v/>
      </c>
      <c r="F73" s="9" t="str">
        <f t="shared" si="2"/>
        <v/>
      </c>
      <c r="G73" s="9" t="str">
        <f t="shared" si="3"/>
        <v/>
      </c>
      <c r="H73" s="9" t="str">
        <f t="shared" si="4"/>
        <v/>
      </c>
      <c r="I73" s="9" t="str">
        <f t="shared" si="5"/>
        <v/>
      </c>
      <c r="J73" s="9" t="str">
        <f t="shared" si="6"/>
        <v/>
      </c>
      <c r="L73" s="9" t="str">
        <f t="shared" si="7"/>
        <v/>
      </c>
      <c r="M73" s="9" t="str">
        <f t="shared" si="8"/>
        <v/>
      </c>
      <c r="N73" s="9" t="str">
        <f t="shared" si="9"/>
        <v/>
      </c>
      <c r="O73" s="9" t="str">
        <f t="shared" si="10"/>
        <v/>
      </c>
      <c r="P73" s="9" t="str">
        <f t="shared" si="11"/>
        <v/>
      </c>
      <c r="Q73" s="9" t="str">
        <f t="shared" si="12"/>
        <v/>
      </c>
      <c r="T73" s="9" t="str">
        <f t="shared" si="13"/>
        <v/>
      </c>
      <c r="U73" s="9" t="str">
        <f t="shared" si="14"/>
        <v/>
      </c>
      <c r="V73" s="9" t="str">
        <f t="shared" si="15"/>
        <v/>
      </c>
      <c r="W73" s="9" t="str">
        <f t="shared" si="16"/>
        <v/>
      </c>
      <c r="X73" s="9" t="str">
        <f t="shared" si="17"/>
        <v/>
      </c>
      <c r="Y73" s="9" t="str">
        <f t="shared" si="18"/>
        <v/>
      </c>
      <c r="AB73" s="9" t="str">
        <f t="shared" si="19"/>
        <v/>
      </c>
      <c r="AC73" s="9" t="str">
        <f t="shared" si="20"/>
        <v/>
      </c>
      <c r="AD73" s="9" t="str">
        <f t="shared" si="21"/>
        <v/>
      </c>
      <c r="AE73" s="9" t="str">
        <f t="shared" si="22"/>
        <v/>
      </c>
      <c r="AF73" s="9" t="str">
        <f t="shared" si="23"/>
        <v/>
      </c>
      <c r="AG73" s="9" t="str">
        <f t="shared" si="24"/>
        <v/>
      </c>
    </row>
    <row r="74" spans="2:33" ht="0.5" customHeight="1">
      <c r="B74" s="9" t="str">
        <f t="shared" si="0"/>
        <v>Panama</v>
      </c>
      <c r="C74" s="9" t="str">
        <f t="shared" si="25"/>
        <v>Panama48</v>
      </c>
      <c r="D74" s="396">
        <v>48</v>
      </c>
      <c r="E74" s="9" t="str">
        <f t="shared" si="1"/>
        <v/>
      </c>
      <c r="F74" s="9" t="str">
        <f t="shared" si="2"/>
        <v/>
      </c>
      <c r="G74" s="9" t="str">
        <f t="shared" si="3"/>
        <v/>
      </c>
      <c r="H74" s="9" t="str">
        <f t="shared" si="4"/>
        <v/>
      </c>
      <c r="I74" s="9" t="str">
        <f t="shared" si="5"/>
        <v/>
      </c>
      <c r="J74" s="9" t="str">
        <f t="shared" si="6"/>
        <v/>
      </c>
      <c r="L74" s="9" t="str">
        <f t="shared" si="7"/>
        <v/>
      </c>
      <c r="M74" s="9" t="str">
        <f t="shared" si="8"/>
        <v/>
      </c>
      <c r="N74" s="9" t="str">
        <f t="shared" si="9"/>
        <v/>
      </c>
      <c r="O74" s="9" t="str">
        <f t="shared" si="10"/>
        <v/>
      </c>
      <c r="P74" s="9" t="str">
        <f t="shared" si="11"/>
        <v/>
      </c>
      <c r="Q74" s="9" t="str">
        <f t="shared" si="12"/>
        <v/>
      </c>
      <c r="T74" s="9" t="str">
        <f t="shared" si="13"/>
        <v/>
      </c>
      <c r="U74" s="9" t="str">
        <f t="shared" si="14"/>
        <v/>
      </c>
      <c r="V74" s="9" t="str">
        <f t="shared" si="15"/>
        <v/>
      </c>
      <c r="W74" s="9" t="str">
        <f t="shared" si="16"/>
        <v/>
      </c>
      <c r="X74" s="9" t="str">
        <f t="shared" si="17"/>
        <v/>
      </c>
      <c r="Y74" s="9" t="str">
        <f t="shared" si="18"/>
        <v/>
      </c>
      <c r="AB74" s="9" t="str">
        <f t="shared" si="19"/>
        <v/>
      </c>
      <c r="AC74" s="9" t="str">
        <f t="shared" si="20"/>
        <v/>
      </c>
      <c r="AD74" s="9" t="str">
        <f t="shared" si="21"/>
        <v/>
      </c>
      <c r="AE74" s="9" t="str">
        <f t="shared" si="22"/>
        <v/>
      </c>
      <c r="AF74" s="9" t="str">
        <f t="shared" si="23"/>
        <v/>
      </c>
      <c r="AG74" s="9" t="str">
        <f t="shared" si="24"/>
        <v/>
      </c>
    </row>
    <row r="75" spans="2:33" ht="0.5" customHeight="1">
      <c r="B75" s="9" t="str">
        <f t="shared" si="0"/>
        <v>Panama</v>
      </c>
      <c r="C75" s="9" t="str">
        <f t="shared" si="25"/>
        <v>Panama49</v>
      </c>
      <c r="D75" s="396">
        <v>49</v>
      </c>
      <c r="E75" s="9" t="str">
        <f t="shared" si="1"/>
        <v/>
      </c>
      <c r="F75" s="9" t="str">
        <f t="shared" si="2"/>
        <v/>
      </c>
      <c r="G75" s="9" t="str">
        <f t="shared" si="3"/>
        <v/>
      </c>
      <c r="H75" s="9" t="str">
        <f t="shared" si="4"/>
        <v/>
      </c>
      <c r="I75" s="9" t="str">
        <f t="shared" si="5"/>
        <v/>
      </c>
      <c r="J75" s="9" t="str">
        <f t="shared" si="6"/>
        <v/>
      </c>
      <c r="L75" s="9" t="str">
        <f t="shared" si="7"/>
        <v/>
      </c>
      <c r="M75" s="9" t="str">
        <f t="shared" si="8"/>
        <v/>
      </c>
      <c r="N75" s="9" t="str">
        <f t="shared" si="9"/>
        <v/>
      </c>
      <c r="O75" s="9" t="str">
        <f t="shared" si="10"/>
        <v/>
      </c>
      <c r="P75" s="9" t="str">
        <f t="shared" si="11"/>
        <v/>
      </c>
      <c r="Q75" s="9" t="str">
        <f t="shared" si="12"/>
        <v/>
      </c>
      <c r="T75" s="9" t="str">
        <f t="shared" si="13"/>
        <v/>
      </c>
      <c r="U75" s="9" t="str">
        <f t="shared" si="14"/>
        <v/>
      </c>
      <c r="V75" s="9" t="str">
        <f t="shared" si="15"/>
        <v/>
      </c>
      <c r="W75" s="9" t="str">
        <f t="shared" si="16"/>
        <v/>
      </c>
      <c r="X75" s="9" t="str">
        <f t="shared" si="17"/>
        <v/>
      </c>
      <c r="Y75" s="9" t="str">
        <f t="shared" si="18"/>
        <v/>
      </c>
      <c r="AB75" s="9" t="str">
        <f t="shared" si="19"/>
        <v/>
      </c>
      <c r="AC75" s="9" t="str">
        <f t="shared" si="20"/>
        <v/>
      </c>
      <c r="AD75" s="9" t="str">
        <f t="shared" si="21"/>
        <v/>
      </c>
      <c r="AE75" s="9" t="str">
        <f t="shared" si="22"/>
        <v/>
      </c>
      <c r="AF75" s="9" t="str">
        <f t="shared" si="23"/>
        <v/>
      </c>
      <c r="AG75" s="9" t="str">
        <f t="shared" si="24"/>
        <v/>
      </c>
    </row>
    <row r="76" spans="2:33" ht="0.5" customHeight="1">
      <c r="B76" s="9" t="str">
        <f t="shared" si="0"/>
        <v>Panama</v>
      </c>
      <c r="C76" s="9" t="str">
        <f t="shared" si="25"/>
        <v>Panama50</v>
      </c>
      <c r="D76" s="396">
        <v>50</v>
      </c>
      <c r="E76" s="9" t="str">
        <f t="shared" si="1"/>
        <v/>
      </c>
      <c r="F76" s="9" t="str">
        <f t="shared" si="2"/>
        <v/>
      </c>
      <c r="G76" s="9" t="str">
        <f t="shared" si="3"/>
        <v/>
      </c>
      <c r="H76" s="9" t="str">
        <f t="shared" si="4"/>
        <v/>
      </c>
      <c r="I76" s="9" t="str">
        <f t="shared" si="5"/>
        <v/>
      </c>
      <c r="J76" s="9" t="str">
        <f t="shared" si="6"/>
        <v/>
      </c>
      <c r="L76" s="9" t="str">
        <f t="shared" si="7"/>
        <v/>
      </c>
      <c r="M76" s="9" t="str">
        <f t="shared" si="8"/>
        <v/>
      </c>
      <c r="N76" s="9" t="str">
        <f t="shared" si="9"/>
        <v/>
      </c>
      <c r="O76" s="9" t="str">
        <f t="shared" si="10"/>
        <v/>
      </c>
      <c r="P76" s="9" t="str">
        <f t="shared" si="11"/>
        <v/>
      </c>
      <c r="Q76" s="9" t="str">
        <f t="shared" si="12"/>
        <v/>
      </c>
      <c r="T76" s="9" t="str">
        <f t="shared" si="13"/>
        <v/>
      </c>
      <c r="U76" s="9" t="str">
        <f t="shared" si="14"/>
        <v/>
      </c>
      <c r="V76" s="9" t="str">
        <f t="shared" si="15"/>
        <v/>
      </c>
      <c r="W76" s="9" t="str">
        <f t="shared" si="16"/>
        <v/>
      </c>
      <c r="X76" s="9" t="str">
        <f t="shared" si="17"/>
        <v/>
      </c>
      <c r="Y76" s="9" t="str">
        <f t="shared" si="18"/>
        <v/>
      </c>
      <c r="AB76" s="9" t="str">
        <f t="shared" si="19"/>
        <v/>
      </c>
      <c r="AC76" s="9" t="str">
        <f t="shared" si="20"/>
        <v/>
      </c>
      <c r="AD76" s="9" t="str">
        <f t="shared" si="21"/>
        <v/>
      </c>
      <c r="AE76" s="9" t="str">
        <f t="shared" si="22"/>
        <v/>
      </c>
      <c r="AF76" s="9" t="str">
        <f t="shared" si="23"/>
        <v/>
      </c>
      <c r="AG76" s="9" t="str">
        <f t="shared" si="24"/>
        <v/>
      </c>
    </row>
    <row r="77" spans="2:33" ht="0.5" customHeight="1">
      <c r="B77" s="9" t="str">
        <f t="shared" si="0"/>
        <v>Panama</v>
      </c>
      <c r="C77" s="9" t="str">
        <f t="shared" si="25"/>
        <v>Panama51</v>
      </c>
      <c r="D77" s="396">
        <v>51</v>
      </c>
      <c r="E77" s="9" t="str">
        <f t="shared" si="1"/>
        <v/>
      </c>
      <c r="F77" s="9" t="str">
        <f t="shared" si="2"/>
        <v/>
      </c>
      <c r="G77" s="9" t="str">
        <f t="shared" si="3"/>
        <v/>
      </c>
      <c r="H77" s="9" t="str">
        <f t="shared" si="4"/>
        <v/>
      </c>
      <c r="I77" s="9" t="str">
        <f t="shared" si="5"/>
        <v/>
      </c>
      <c r="J77" s="9" t="str">
        <f t="shared" si="6"/>
        <v/>
      </c>
      <c r="L77" s="9" t="str">
        <f t="shared" si="7"/>
        <v/>
      </c>
      <c r="M77" s="9" t="str">
        <f t="shared" si="8"/>
        <v/>
      </c>
      <c r="N77" s="9" t="str">
        <f t="shared" si="9"/>
        <v/>
      </c>
      <c r="O77" s="9" t="str">
        <f t="shared" si="10"/>
        <v/>
      </c>
      <c r="P77" s="9" t="str">
        <f t="shared" si="11"/>
        <v/>
      </c>
      <c r="Q77" s="9" t="str">
        <f t="shared" si="12"/>
        <v/>
      </c>
      <c r="T77" s="9" t="str">
        <f t="shared" si="13"/>
        <v/>
      </c>
      <c r="U77" s="9" t="str">
        <f t="shared" si="14"/>
        <v/>
      </c>
      <c r="V77" s="9" t="str">
        <f t="shared" si="15"/>
        <v/>
      </c>
      <c r="W77" s="9" t="str">
        <f t="shared" si="16"/>
        <v/>
      </c>
      <c r="X77" s="9" t="str">
        <f t="shared" si="17"/>
        <v/>
      </c>
      <c r="Y77" s="9" t="str">
        <f t="shared" si="18"/>
        <v/>
      </c>
      <c r="AB77" s="9" t="str">
        <f t="shared" si="19"/>
        <v/>
      </c>
      <c r="AC77" s="9" t="str">
        <f t="shared" si="20"/>
        <v/>
      </c>
      <c r="AD77" s="9" t="str">
        <f t="shared" si="21"/>
        <v/>
      </c>
      <c r="AE77" s="9" t="str">
        <f t="shared" si="22"/>
        <v/>
      </c>
      <c r="AF77" s="9" t="str">
        <f t="shared" si="23"/>
        <v/>
      </c>
      <c r="AG77" s="9" t="str">
        <f t="shared" si="24"/>
        <v/>
      </c>
    </row>
    <row r="78" spans="2:33" ht="0.5" customHeight="1">
      <c r="B78" s="9" t="str">
        <f t="shared" si="0"/>
        <v>Panama</v>
      </c>
      <c r="C78" s="9" t="str">
        <f t="shared" si="25"/>
        <v>Panama52</v>
      </c>
      <c r="D78" s="396">
        <v>52</v>
      </c>
      <c r="E78" s="9" t="str">
        <f t="shared" si="1"/>
        <v/>
      </c>
      <c r="F78" s="9" t="str">
        <f t="shared" si="2"/>
        <v/>
      </c>
      <c r="G78" s="9" t="str">
        <f t="shared" si="3"/>
        <v/>
      </c>
      <c r="H78" s="9" t="str">
        <f t="shared" si="4"/>
        <v/>
      </c>
      <c r="I78" s="9" t="str">
        <f t="shared" si="5"/>
        <v/>
      </c>
      <c r="J78" s="9" t="str">
        <f t="shared" si="6"/>
        <v/>
      </c>
      <c r="L78" s="9" t="str">
        <f t="shared" si="7"/>
        <v/>
      </c>
      <c r="M78" s="9" t="str">
        <f t="shared" si="8"/>
        <v/>
      </c>
      <c r="N78" s="9" t="str">
        <f t="shared" si="9"/>
        <v/>
      </c>
      <c r="O78" s="9" t="str">
        <f t="shared" si="10"/>
        <v/>
      </c>
      <c r="P78" s="9" t="str">
        <f t="shared" si="11"/>
        <v/>
      </c>
      <c r="Q78" s="9" t="str">
        <f t="shared" si="12"/>
        <v/>
      </c>
      <c r="T78" s="9" t="str">
        <f t="shared" si="13"/>
        <v/>
      </c>
      <c r="U78" s="9" t="str">
        <f t="shared" si="14"/>
        <v/>
      </c>
      <c r="V78" s="9" t="str">
        <f t="shared" si="15"/>
        <v/>
      </c>
      <c r="W78" s="9" t="str">
        <f t="shared" si="16"/>
        <v/>
      </c>
      <c r="X78" s="9" t="str">
        <f t="shared" si="17"/>
        <v/>
      </c>
      <c r="Y78" s="9" t="str">
        <f t="shared" si="18"/>
        <v/>
      </c>
      <c r="AB78" s="9" t="str">
        <f t="shared" si="19"/>
        <v/>
      </c>
      <c r="AC78" s="9" t="str">
        <f t="shared" si="20"/>
        <v/>
      </c>
      <c r="AD78" s="9" t="str">
        <f t="shared" si="21"/>
        <v/>
      </c>
      <c r="AE78" s="9" t="str">
        <f t="shared" si="22"/>
        <v/>
      </c>
      <c r="AF78" s="9" t="str">
        <f t="shared" si="23"/>
        <v/>
      </c>
      <c r="AG78" s="9" t="str">
        <f t="shared" si="24"/>
        <v/>
      </c>
    </row>
    <row r="79" spans="2:33" ht="0.5" customHeight="1">
      <c r="B79" s="9" t="str">
        <f t="shared" si="0"/>
        <v>Panama</v>
      </c>
      <c r="C79" s="9" t="str">
        <f t="shared" si="25"/>
        <v>Panama53</v>
      </c>
      <c r="D79" s="396">
        <v>53</v>
      </c>
      <c r="E79" s="9" t="str">
        <f t="shared" si="1"/>
        <v/>
      </c>
      <c r="F79" s="9" t="str">
        <f t="shared" si="2"/>
        <v/>
      </c>
      <c r="G79" s="9" t="str">
        <f t="shared" si="3"/>
        <v/>
      </c>
      <c r="H79" s="9" t="str">
        <f t="shared" si="4"/>
        <v/>
      </c>
      <c r="I79" s="9" t="str">
        <f t="shared" si="5"/>
        <v/>
      </c>
      <c r="J79" s="9" t="str">
        <f t="shared" si="6"/>
        <v/>
      </c>
      <c r="L79" s="9" t="str">
        <f t="shared" si="7"/>
        <v/>
      </c>
      <c r="M79" s="9" t="str">
        <f t="shared" si="8"/>
        <v/>
      </c>
      <c r="N79" s="9" t="str">
        <f t="shared" si="9"/>
        <v/>
      </c>
      <c r="O79" s="9" t="str">
        <f t="shared" si="10"/>
        <v/>
      </c>
      <c r="P79" s="9" t="str">
        <f t="shared" si="11"/>
        <v/>
      </c>
      <c r="Q79" s="9" t="str">
        <f t="shared" si="12"/>
        <v/>
      </c>
      <c r="T79" s="9" t="str">
        <f t="shared" si="13"/>
        <v/>
      </c>
      <c r="U79" s="9" t="str">
        <f t="shared" si="14"/>
        <v/>
      </c>
      <c r="V79" s="9" t="str">
        <f t="shared" si="15"/>
        <v/>
      </c>
      <c r="W79" s="9" t="str">
        <f t="shared" si="16"/>
        <v/>
      </c>
      <c r="X79" s="9" t="str">
        <f t="shared" si="17"/>
        <v/>
      </c>
      <c r="Y79" s="9" t="str">
        <f t="shared" si="18"/>
        <v/>
      </c>
      <c r="AB79" s="9" t="str">
        <f t="shared" si="19"/>
        <v/>
      </c>
      <c r="AC79" s="9" t="str">
        <f t="shared" si="20"/>
        <v/>
      </c>
      <c r="AD79" s="9" t="str">
        <f t="shared" si="21"/>
        <v/>
      </c>
      <c r="AE79" s="9" t="str">
        <f t="shared" si="22"/>
        <v/>
      </c>
      <c r="AF79" s="9" t="str">
        <f t="shared" si="23"/>
        <v/>
      </c>
      <c r="AG79" s="9" t="str">
        <f t="shared" si="24"/>
        <v/>
      </c>
    </row>
    <row r="80" spans="2:33" ht="0.5" customHeight="1">
      <c r="B80" s="9" t="str">
        <f t="shared" si="0"/>
        <v>Panama</v>
      </c>
      <c r="C80" s="9" t="str">
        <f t="shared" si="25"/>
        <v>Panama54</v>
      </c>
      <c r="D80" s="396">
        <v>54</v>
      </c>
      <c r="E80" s="9" t="str">
        <f t="shared" si="1"/>
        <v/>
      </c>
      <c r="F80" s="9" t="str">
        <f t="shared" si="2"/>
        <v/>
      </c>
      <c r="G80" s="9" t="str">
        <f t="shared" si="3"/>
        <v/>
      </c>
      <c r="H80" s="9" t="str">
        <f t="shared" si="4"/>
        <v/>
      </c>
      <c r="I80" s="9" t="str">
        <f t="shared" si="5"/>
        <v/>
      </c>
      <c r="J80" s="9" t="str">
        <f t="shared" si="6"/>
        <v/>
      </c>
      <c r="L80" s="9" t="str">
        <f t="shared" si="7"/>
        <v/>
      </c>
      <c r="M80" s="9" t="str">
        <f t="shared" si="8"/>
        <v/>
      </c>
      <c r="N80" s="9" t="str">
        <f t="shared" si="9"/>
        <v/>
      </c>
      <c r="O80" s="9" t="str">
        <f t="shared" si="10"/>
        <v/>
      </c>
      <c r="P80" s="9" t="str">
        <f t="shared" si="11"/>
        <v/>
      </c>
      <c r="Q80" s="9" t="str">
        <f t="shared" si="12"/>
        <v/>
      </c>
      <c r="T80" s="9" t="str">
        <f t="shared" si="13"/>
        <v/>
      </c>
      <c r="U80" s="9" t="str">
        <f t="shared" si="14"/>
        <v/>
      </c>
      <c r="V80" s="9" t="str">
        <f t="shared" si="15"/>
        <v/>
      </c>
      <c r="W80" s="9" t="str">
        <f t="shared" si="16"/>
        <v/>
      </c>
      <c r="X80" s="9" t="str">
        <f t="shared" si="17"/>
        <v/>
      </c>
      <c r="Y80" s="9" t="str">
        <f t="shared" si="18"/>
        <v/>
      </c>
      <c r="AB80" s="9" t="str">
        <f t="shared" si="19"/>
        <v/>
      </c>
      <c r="AC80" s="9" t="str">
        <f t="shared" si="20"/>
        <v/>
      </c>
      <c r="AD80" s="9" t="str">
        <f t="shared" si="21"/>
        <v/>
      </c>
      <c r="AE80" s="9" t="str">
        <f t="shared" si="22"/>
        <v/>
      </c>
      <c r="AF80" s="9" t="str">
        <f t="shared" si="23"/>
        <v/>
      </c>
      <c r="AG80" s="9" t="str">
        <f t="shared" si="24"/>
        <v/>
      </c>
    </row>
    <row r="81" spans="2:33" ht="0.5" customHeight="1">
      <c r="B81" s="9" t="str">
        <f t="shared" si="0"/>
        <v>Panama</v>
      </c>
      <c r="C81" s="9" t="str">
        <f t="shared" si="25"/>
        <v>Panama55</v>
      </c>
      <c r="D81" s="396">
        <v>55</v>
      </c>
      <c r="E81" s="9" t="str">
        <f t="shared" si="1"/>
        <v/>
      </c>
      <c r="F81" s="9" t="str">
        <f t="shared" si="2"/>
        <v/>
      </c>
      <c r="G81" s="9" t="str">
        <f t="shared" si="3"/>
        <v/>
      </c>
      <c r="H81" s="9" t="str">
        <f t="shared" si="4"/>
        <v/>
      </c>
      <c r="I81" s="9" t="str">
        <f t="shared" si="5"/>
        <v/>
      </c>
      <c r="J81" s="9" t="str">
        <f t="shared" si="6"/>
        <v/>
      </c>
      <c r="L81" s="9" t="str">
        <f t="shared" si="7"/>
        <v/>
      </c>
      <c r="M81" s="9" t="str">
        <f t="shared" si="8"/>
        <v/>
      </c>
      <c r="N81" s="9" t="str">
        <f t="shared" si="9"/>
        <v/>
      </c>
      <c r="O81" s="9" t="str">
        <f t="shared" si="10"/>
        <v/>
      </c>
      <c r="P81" s="9" t="str">
        <f t="shared" si="11"/>
        <v/>
      </c>
      <c r="Q81" s="9" t="str">
        <f t="shared" si="12"/>
        <v/>
      </c>
      <c r="T81" s="9" t="str">
        <f t="shared" si="13"/>
        <v/>
      </c>
      <c r="U81" s="9" t="str">
        <f t="shared" si="14"/>
        <v/>
      </c>
      <c r="V81" s="9" t="str">
        <f t="shared" si="15"/>
        <v/>
      </c>
      <c r="W81" s="9" t="str">
        <f t="shared" si="16"/>
        <v/>
      </c>
      <c r="X81" s="9" t="str">
        <f t="shared" si="17"/>
        <v/>
      </c>
      <c r="Y81" s="9" t="str">
        <f t="shared" si="18"/>
        <v/>
      </c>
      <c r="AB81" s="9" t="str">
        <f t="shared" si="19"/>
        <v/>
      </c>
      <c r="AC81" s="9" t="str">
        <f t="shared" si="20"/>
        <v/>
      </c>
      <c r="AD81" s="9" t="str">
        <f t="shared" si="21"/>
        <v/>
      </c>
      <c r="AE81" s="9" t="str">
        <f t="shared" si="22"/>
        <v/>
      </c>
      <c r="AF81" s="9" t="str">
        <f t="shared" si="23"/>
        <v/>
      </c>
      <c r="AG81" s="9" t="str">
        <f t="shared" si="24"/>
        <v/>
      </c>
    </row>
    <row r="82" spans="2:33" ht="0.5" customHeight="1"/>
    <row r="83" spans="2:33" ht="0.5" customHeight="1">
      <c r="B83" s="9" t="s">
        <v>31</v>
      </c>
      <c r="C83" s="9" t="s">
        <v>236</v>
      </c>
      <c r="D83" s="9" t="s">
        <v>4</v>
      </c>
      <c r="E83" s="9" t="s">
        <v>988</v>
      </c>
      <c r="F83" s="9" t="s">
        <v>989</v>
      </c>
      <c r="G83" s="9" t="s">
        <v>990</v>
      </c>
      <c r="H83" s="9" t="s">
        <v>1014</v>
      </c>
      <c r="I83" s="9" t="s">
        <v>1015</v>
      </c>
      <c r="J83" s="9" t="s">
        <v>1016</v>
      </c>
      <c r="L83" s="9" t="s">
        <v>988</v>
      </c>
      <c r="M83" s="9" t="s">
        <v>989</v>
      </c>
      <c r="N83" s="9" t="s">
        <v>990</v>
      </c>
      <c r="O83" s="9" t="s">
        <v>1014</v>
      </c>
      <c r="P83" s="9" t="s">
        <v>1015</v>
      </c>
      <c r="Q83" s="9" t="s">
        <v>1016</v>
      </c>
    </row>
    <row r="84" spans="2:33" ht="0.5" customHeight="1">
      <c r="B84" s="9" t="str">
        <f t="shared" ref="B84:B117" si="26">B46</f>
        <v>Panama</v>
      </c>
      <c r="C84" s="9" t="str">
        <f>CONCATENATE(B84,D84)</f>
        <v>Panama20</v>
      </c>
      <c r="D84" s="392">
        <f t="shared" ref="D84:E103" si="27">+D46</f>
        <v>20</v>
      </c>
      <c r="E84" s="9" t="str">
        <f t="shared" si="27"/>
        <v/>
      </c>
      <c r="F84" s="9" t="e">
        <f t="shared" ref="F84:J93" si="28">+F46-E46</f>
        <v>#VALUE!</v>
      </c>
      <c r="G84" s="9" t="e">
        <f t="shared" si="28"/>
        <v>#VALUE!</v>
      </c>
      <c r="H84" s="9" t="e">
        <f t="shared" si="28"/>
        <v>#VALUE!</v>
      </c>
      <c r="I84" s="9" t="e">
        <f t="shared" si="28"/>
        <v>#VALUE!</v>
      </c>
      <c r="J84" s="9" t="e">
        <f t="shared" si="28"/>
        <v>#VALUE!</v>
      </c>
      <c r="L84" s="9" t="str">
        <f t="shared" ref="L84:L117" si="29">+L46</f>
        <v/>
      </c>
      <c r="M84" s="9" t="e">
        <f t="shared" ref="M84:Q93" si="30">+M46-L46</f>
        <v>#VALUE!</v>
      </c>
      <c r="N84" s="9" t="e">
        <f t="shared" si="30"/>
        <v>#VALUE!</v>
      </c>
      <c r="O84" s="9" t="e">
        <f t="shared" si="30"/>
        <v>#VALUE!</v>
      </c>
      <c r="P84" s="9" t="e">
        <f t="shared" si="30"/>
        <v>#VALUE!</v>
      </c>
      <c r="Q84" s="9" t="e">
        <f t="shared" si="30"/>
        <v>#VALUE!</v>
      </c>
      <c r="T84" s="9" t="str">
        <f t="shared" ref="T84:T117" si="31">+T46</f>
        <v/>
      </c>
      <c r="U84" s="9" t="e">
        <f t="shared" ref="U84:Y93" si="32">+U46-T46</f>
        <v>#VALUE!</v>
      </c>
      <c r="V84" s="9" t="e">
        <f t="shared" si="32"/>
        <v>#VALUE!</v>
      </c>
      <c r="W84" s="9" t="e">
        <f t="shared" si="32"/>
        <v>#VALUE!</v>
      </c>
      <c r="X84" s="9" t="e">
        <f t="shared" si="32"/>
        <v>#VALUE!</v>
      </c>
      <c r="Y84" s="9" t="e">
        <f t="shared" si="32"/>
        <v>#VALUE!</v>
      </c>
      <c r="AB84" s="9" t="str">
        <f t="shared" ref="AB84:AB117" si="33">+AB46</f>
        <v/>
      </c>
      <c r="AC84" s="9" t="e">
        <f t="shared" ref="AC84:AG93" si="34">+AC46-AB46</f>
        <v>#VALUE!</v>
      </c>
      <c r="AD84" s="9" t="e">
        <f t="shared" si="34"/>
        <v>#VALUE!</v>
      </c>
      <c r="AE84" s="9" t="e">
        <f t="shared" si="34"/>
        <v>#VALUE!</v>
      </c>
      <c r="AF84" s="9" t="e">
        <f t="shared" si="34"/>
        <v>#VALUE!</v>
      </c>
      <c r="AG84" s="9" t="e">
        <f t="shared" si="34"/>
        <v>#VALUE!</v>
      </c>
    </row>
    <row r="85" spans="2:33" ht="0.5" customHeight="1">
      <c r="B85" s="9" t="str">
        <f t="shared" si="26"/>
        <v>Panama</v>
      </c>
      <c r="C85" s="9" t="str">
        <f t="shared" ref="C85:C119" si="35">CONCATENATE(B85,D85)</f>
        <v>Panama21</v>
      </c>
      <c r="D85" s="392">
        <f t="shared" si="27"/>
        <v>21</v>
      </c>
      <c r="E85" s="9" t="str">
        <f t="shared" si="27"/>
        <v/>
      </c>
      <c r="F85" s="9" t="e">
        <f t="shared" si="28"/>
        <v>#VALUE!</v>
      </c>
      <c r="G85" s="9" t="e">
        <f t="shared" si="28"/>
        <v>#VALUE!</v>
      </c>
      <c r="H85" s="9" t="e">
        <f t="shared" si="28"/>
        <v>#VALUE!</v>
      </c>
      <c r="I85" s="9" t="e">
        <f t="shared" si="28"/>
        <v>#VALUE!</v>
      </c>
      <c r="J85" s="9" t="e">
        <f t="shared" si="28"/>
        <v>#VALUE!</v>
      </c>
      <c r="L85" s="9" t="str">
        <f t="shared" si="29"/>
        <v/>
      </c>
      <c r="M85" s="9" t="e">
        <f t="shared" si="30"/>
        <v>#VALUE!</v>
      </c>
      <c r="N85" s="9" t="e">
        <f t="shared" si="30"/>
        <v>#VALUE!</v>
      </c>
      <c r="O85" s="9" t="e">
        <f t="shared" si="30"/>
        <v>#VALUE!</v>
      </c>
      <c r="P85" s="9" t="e">
        <f t="shared" si="30"/>
        <v>#VALUE!</v>
      </c>
      <c r="Q85" s="9" t="e">
        <f t="shared" si="30"/>
        <v>#VALUE!</v>
      </c>
      <c r="T85" s="9" t="str">
        <f t="shared" si="31"/>
        <v/>
      </c>
      <c r="U85" s="9" t="e">
        <f t="shared" si="32"/>
        <v>#VALUE!</v>
      </c>
      <c r="V85" s="9" t="e">
        <f t="shared" si="32"/>
        <v>#VALUE!</v>
      </c>
      <c r="W85" s="9" t="e">
        <f t="shared" si="32"/>
        <v>#VALUE!</v>
      </c>
      <c r="X85" s="9" t="e">
        <f t="shared" si="32"/>
        <v>#VALUE!</v>
      </c>
      <c r="Y85" s="9" t="e">
        <f t="shared" si="32"/>
        <v>#VALUE!</v>
      </c>
      <c r="AB85" s="9" t="str">
        <f t="shared" si="33"/>
        <v/>
      </c>
      <c r="AC85" s="9" t="e">
        <f t="shared" si="34"/>
        <v>#VALUE!</v>
      </c>
      <c r="AD85" s="9" t="e">
        <f t="shared" si="34"/>
        <v>#VALUE!</v>
      </c>
      <c r="AE85" s="9" t="e">
        <f t="shared" si="34"/>
        <v>#VALUE!</v>
      </c>
      <c r="AF85" s="9" t="e">
        <f t="shared" si="34"/>
        <v>#VALUE!</v>
      </c>
      <c r="AG85" s="9" t="e">
        <f t="shared" si="34"/>
        <v>#VALUE!</v>
      </c>
    </row>
    <row r="86" spans="2:33" ht="0.5" customHeight="1">
      <c r="B86" s="9" t="str">
        <f t="shared" si="26"/>
        <v>Panama</v>
      </c>
      <c r="C86" s="9" t="str">
        <f t="shared" si="35"/>
        <v>Panama22</v>
      </c>
      <c r="D86" s="392">
        <f t="shared" si="27"/>
        <v>22</v>
      </c>
      <c r="E86" s="9" t="str">
        <f t="shared" si="27"/>
        <v/>
      </c>
      <c r="F86" s="9" t="e">
        <f t="shared" si="28"/>
        <v>#VALUE!</v>
      </c>
      <c r="G86" s="9" t="e">
        <f t="shared" si="28"/>
        <v>#VALUE!</v>
      </c>
      <c r="H86" s="9" t="e">
        <f t="shared" si="28"/>
        <v>#VALUE!</v>
      </c>
      <c r="I86" s="9" t="e">
        <f t="shared" si="28"/>
        <v>#VALUE!</v>
      </c>
      <c r="J86" s="9" t="e">
        <f t="shared" si="28"/>
        <v>#VALUE!</v>
      </c>
      <c r="L86" s="9" t="str">
        <f t="shared" si="29"/>
        <v/>
      </c>
      <c r="M86" s="9" t="e">
        <f t="shared" si="30"/>
        <v>#VALUE!</v>
      </c>
      <c r="N86" s="9" t="e">
        <f t="shared" si="30"/>
        <v>#VALUE!</v>
      </c>
      <c r="O86" s="9" t="e">
        <f t="shared" si="30"/>
        <v>#VALUE!</v>
      </c>
      <c r="P86" s="9" t="e">
        <f t="shared" si="30"/>
        <v>#VALUE!</v>
      </c>
      <c r="Q86" s="9" t="e">
        <f t="shared" si="30"/>
        <v>#VALUE!</v>
      </c>
      <c r="T86" s="9" t="str">
        <f t="shared" si="31"/>
        <v/>
      </c>
      <c r="U86" s="9" t="e">
        <f t="shared" si="32"/>
        <v>#VALUE!</v>
      </c>
      <c r="V86" s="9" t="e">
        <f t="shared" si="32"/>
        <v>#VALUE!</v>
      </c>
      <c r="W86" s="9" t="e">
        <f t="shared" si="32"/>
        <v>#VALUE!</v>
      </c>
      <c r="X86" s="9" t="e">
        <f t="shared" si="32"/>
        <v>#VALUE!</v>
      </c>
      <c r="Y86" s="9" t="e">
        <f t="shared" si="32"/>
        <v>#VALUE!</v>
      </c>
      <c r="AB86" s="9" t="str">
        <f t="shared" si="33"/>
        <v/>
      </c>
      <c r="AC86" s="9" t="e">
        <f t="shared" si="34"/>
        <v>#VALUE!</v>
      </c>
      <c r="AD86" s="9" t="e">
        <f t="shared" si="34"/>
        <v>#VALUE!</v>
      </c>
      <c r="AE86" s="9" t="e">
        <f t="shared" si="34"/>
        <v>#VALUE!</v>
      </c>
      <c r="AF86" s="9" t="e">
        <f t="shared" si="34"/>
        <v>#VALUE!</v>
      </c>
      <c r="AG86" s="9" t="e">
        <f t="shared" si="34"/>
        <v>#VALUE!</v>
      </c>
    </row>
    <row r="87" spans="2:33" ht="0.5" customHeight="1">
      <c r="B87" s="9" t="str">
        <f t="shared" si="26"/>
        <v>Panama</v>
      </c>
      <c r="C87" s="9" t="str">
        <f t="shared" si="35"/>
        <v>Panama23</v>
      </c>
      <c r="D87" s="392">
        <f t="shared" si="27"/>
        <v>23</v>
      </c>
      <c r="E87" s="9" t="str">
        <f t="shared" si="27"/>
        <v/>
      </c>
      <c r="F87" s="9" t="e">
        <f t="shared" si="28"/>
        <v>#VALUE!</v>
      </c>
      <c r="G87" s="9" t="e">
        <f t="shared" si="28"/>
        <v>#VALUE!</v>
      </c>
      <c r="H87" s="9" t="e">
        <f t="shared" si="28"/>
        <v>#VALUE!</v>
      </c>
      <c r="I87" s="9" t="e">
        <f t="shared" si="28"/>
        <v>#VALUE!</v>
      </c>
      <c r="J87" s="9" t="e">
        <f t="shared" si="28"/>
        <v>#VALUE!</v>
      </c>
      <c r="L87" s="9" t="str">
        <f t="shared" si="29"/>
        <v/>
      </c>
      <c r="M87" s="9" t="e">
        <f t="shared" si="30"/>
        <v>#VALUE!</v>
      </c>
      <c r="N87" s="9" t="e">
        <f t="shared" si="30"/>
        <v>#VALUE!</v>
      </c>
      <c r="O87" s="9" t="e">
        <f t="shared" si="30"/>
        <v>#VALUE!</v>
      </c>
      <c r="P87" s="9" t="e">
        <f t="shared" si="30"/>
        <v>#VALUE!</v>
      </c>
      <c r="Q87" s="9" t="e">
        <f t="shared" si="30"/>
        <v>#VALUE!</v>
      </c>
      <c r="T87" s="9" t="str">
        <f t="shared" si="31"/>
        <v/>
      </c>
      <c r="U87" s="9" t="e">
        <f t="shared" si="32"/>
        <v>#VALUE!</v>
      </c>
      <c r="V87" s="9" t="e">
        <f t="shared" si="32"/>
        <v>#VALUE!</v>
      </c>
      <c r="W87" s="9" t="e">
        <f t="shared" si="32"/>
        <v>#VALUE!</v>
      </c>
      <c r="X87" s="9" t="e">
        <f t="shared" si="32"/>
        <v>#VALUE!</v>
      </c>
      <c r="Y87" s="9" t="e">
        <f t="shared" si="32"/>
        <v>#VALUE!</v>
      </c>
      <c r="AB87" s="9" t="str">
        <f t="shared" si="33"/>
        <v/>
      </c>
      <c r="AC87" s="9" t="e">
        <f t="shared" si="34"/>
        <v>#VALUE!</v>
      </c>
      <c r="AD87" s="9" t="e">
        <f t="shared" si="34"/>
        <v>#VALUE!</v>
      </c>
      <c r="AE87" s="9" t="e">
        <f t="shared" si="34"/>
        <v>#VALUE!</v>
      </c>
      <c r="AF87" s="9" t="e">
        <f t="shared" si="34"/>
        <v>#VALUE!</v>
      </c>
      <c r="AG87" s="9" t="e">
        <f t="shared" si="34"/>
        <v>#VALUE!</v>
      </c>
    </row>
    <row r="88" spans="2:33" ht="0.5" customHeight="1">
      <c r="B88" s="9" t="str">
        <f t="shared" si="26"/>
        <v>Panama</v>
      </c>
      <c r="C88" s="9" t="str">
        <f t="shared" si="35"/>
        <v>Panama24</v>
      </c>
      <c r="D88" s="392">
        <f t="shared" si="27"/>
        <v>24</v>
      </c>
      <c r="E88" s="9" t="str">
        <f t="shared" si="27"/>
        <v/>
      </c>
      <c r="F88" s="9" t="e">
        <f t="shared" si="28"/>
        <v>#VALUE!</v>
      </c>
      <c r="G88" s="9" t="e">
        <f t="shared" si="28"/>
        <v>#VALUE!</v>
      </c>
      <c r="H88" s="9" t="e">
        <f t="shared" si="28"/>
        <v>#VALUE!</v>
      </c>
      <c r="I88" s="9" t="e">
        <f t="shared" si="28"/>
        <v>#VALUE!</v>
      </c>
      <c r="J88" s="9" t="e">
        <f t="shared" si="28"/>
        <v>#VALUE!</v>
      </c>
      <c r="L88" s="9" t="str">
        <f t="shared" si="29"/>
        <v/>
      </c>
      <c r="M88" s="9" t="e">
        <f t="shared" si="30"/>
        <v>#VALUE!</v>
      </c>
      <c r="N88" s="9" t="e">
        <f t="shared" si="30"/>
        <v>#VALUE!</v>
      </c>
      <c r="O88" s="9" t="e">
        <f t="shared" si="30"/>
        <v>#VALUE!</v>
      </c>
      <c r="P88" s="9" t="e">
        <f t="shared" si="30"/>
        <v>#VALUE!</v>
      </c>
      <c r="Q88" s="9" t="e">
        <f t="shared" si="30"/>
        <v>#VALUE!</v>
      </c>
      <c r="T88" s="9" t="str">
        <f t="shared" si="31"/>
        <v/>
      </c>
      <c r="U88" s="9" t="e">
        <f t="shared" si="32"/>
        <v>#VALUE!</v>
      </c>
      <c r="V88" s="9" t="e">
        <f t="shared" si="32"/>
        <v>#VALUE!</v>
      </c>
      <c r="W88" s="9" t="e">
        <f t="shared" si="32"/>
        <v>#VALUE!</v>
      </c>
      <c r="X88" s="9" t="e">
        <f t="shared" si="32"/>
        <v>#VALUE!</v>
      </c>
      <c r="Y88" s="9" t="e">
        <f t="shared" si="32"/>
        <v>#VALUE!</v>
      </c>
      <c r="AB88" s="9" t="str">
        <f t="shared" si="33"/>
        <v/>
      </c>
      <c r="AC88" s="9" t="e">
        <f t="shared" si="34"/>
        <v>#VALUE!</v>
      </c>
      <c r="AD88" s="9" t="e">
        <f t="shared" si="34"/>
        <v>#VALUE!</v>
      </c>
      <c r="AE88" s="9" t="e">
        <f t="shared" si="34"/>
        <v>#VALUE!</v>
      </c>
      <c r="AF88" s="9" t="e">
        <f t="shared" si="34"/>
        <v>#VALUE!</v>
      </c>
      <c r="AG88" s="9" t="e">
        <f t="shared" si="34"/>
        <v>#VALUE!</v>
      </c>
    </row>
    <row r="89" spans="2:33" ht="0.5" customHeight="1">
      <c r="B89" s="9" t="str">
        <f t="shared" si="26"/>
        <v>Panama</v>
      </c>
      <c r="C89" s="9" t="str">
        <f t="shared" si="35"/>
        <v>Panama25</v>
      </c>
      <c r="D89" s="392">
        <f t="shared" si="27"/>
        <v>25</v>
      </c>
      <c r="E89" s="9" t="str">
        <f t="shared" si="27"/>
        <v/>
      </c>
      <c r="F89" s="9" t="e">
        <f t="shared" si="28"/>
        <v>#VALUE!</v>
      </c>
      <c r="G89" s="9" t="e">
        <f t="shared" si="28"/>
        <v>#VALUE!</v>
      </c>
      <c r="H89" s="9" t="e">
        <f t="shared" si="28"/>
        <v>#VALUE!</v>
      </c>
      <c r="I89" s="9" t="e">
        <f t="shared" si="28"/>
        <v>#VALUE!</v>
      </c>
      <c r="J89" s="9" t="e">
        <f t="shared" si="28"/>
        <v>#VALUE!</v>
      </c>
      <c r="L89" s="9" t="str">
        <f t="shared" si="29"/>
        <v/>
      </c>
      <c r="M89" s="9" t="e">
        <f t="shared" si="30"/>
        <v>#VALUE!</v>
      </c>
      <c r="N89" s="9" t="e">
        <f t="shared" si="30"/>
        <v>#VALUE!</v>
      </c>
      <c r="O89" s="9" t="e">
        <f t="shared" si="30"/>
        <v>#VALUE!</v>
      </c>
      <c r="P89" s="9" t="e">
        <f t="shared" si="30"/>
        <v>#VALUE!</v>
      </c>
      <c r="Q89" s="9" t="e">
        <f t="shared" si="30"/>
        <v>#VALUE!</v>
      </c>
      <c r="T89" s="9" t="str">
        <f t="shared" si="31"/>
        <v/>
      </c>
      <c r="U89" s="9" t="e">
        <f t="shared" si="32"/>
        <v>#VALUE!</v>
      </c>
      <c r="V89" s="9" t="e">
        <f t="shared" si="32"/>
        <v>#VALUE!</v>
      </c>
      <c r="W89" s="9" t="e">
        <f t="shared" si="32"/>
        <v>#VALUE!</v>
      </c>
      <c r="X89" s="9" t="e">
        <f t="shared" si="32"/>
        <v>#VALUE!</v>
      </c>
      <c r="Y89" s="9" t="e">
        <f t="shared" si="32"/>
        <v>#VALUE!</v>
      </c>
      <c r="AB89" s="9" t="str">
        <f t="shared" si="33"/>
        <v/>
      </c>
      <c r="AC89" s="9" t="e">
        <f t="shared" si="34"/>
        <v>#VALUE!</v>
      </c>
      <c r="AD89" s="9" t="e">
        <f t="shared" si="34"/>
        <v>#VALUE!</v>
      </c>
      <c r="AE89" s="9" t="e">
        <f t="shared" si="34"/>
        <v>#VALUE!</v>
      </c>
      <c r="AF89" s="9" t="e">
        <f t="shared" si="34"/>
        <v>#VALUE!</v>
      </c>
      <c r="AG89" s="9" t="e">
        <f t="shared" si="34"/>
        <v>#VALUE!</v>
      </c>
    </row>
    <row r="90" spans="2:33" ht="0.5" customHeight="1">
      <c r="B90" s="9" t="str">
        <f t="shared" si="26"/>
        <v>Panama</v>
      </c>
      <c r="C90" s="9" t="str">
        <f t="shared" si="35"/>
        <v>Panama26</v>
      </c>
      <c r="D90" s="392">
        <f t="shared" si="27"/>
        <v>26</v>
      </c>
      <c r="E90" s="9" t="str">
        <f t="shared" si="27"/>
        <v/>
      </c>
      <c r="F90" s="9" t="e">
        <f t="shared" si="28"/>
        <v>#VALUE!</v>
      </c>
      <c r="G90" s="9" t="e">
        <f t="shared" si="28"/>
        <v>#VALUE!</v>
      </c>
      <c r="H90" s="9" t="e">
        <f t="shared" si="28"/>
        <v>#VALUE!</v>
      </c>
      <c r="I90" s="9" t="e">
        <f t="shared" si="28"/>
        <v>#VALUE!</v>
      </c>
      <c r="J90" s="9" t="e">
        <f t="shared" si="28"/>
        <v>#VALUE!</v>
      </c>
      <c r="L90" s="9" t="str">
        <f t="shared" si="29"/>
        <v/>
      </c>
      <c r="M90" s="9" t="e">
        <f t="shared" si="30"/>
        <v>#VALUE!</v>
      </c>
      <c r="N90" s="9" t="e">
        <f t="shared" si="30"/>
        <v>#VALUE!</v>
      </c>
      <c r="O90" s="9" t="e">
        <f t="shared" si="30"/>
        <v>#VALUE!</v>
      </c>
      <c r="P90" s="9" t="e">
        <f t="shared" si="30"/>
        <v>#VALUE!</v>
      </c>
      <c r="Q90" s="9" t="e">
        <f t="shared" si="30"/>
        <v>#VALUE!</v>
      </c>
      <c r="T90" s="9" t="str">
        <f t="shared" si="31"/>
        <v/>
      </c>
      <c r="U90" s="9" t="e">
        <f t="shared" si="32"/>
        <v>#VALUE!</v>
      </c>
      <c r="V90" s="9" t="e">
        <f t="shared" si="32"/>
        <v>#VALUE!</v>
      </c>
      <c r="W90" s="9" t="e">
        <f t="shared" si="32"/>
        <v>#VALUE!</v>
      </c>
      <c r="X90" s="9" t="e">
        <f t="shared" si="32"/>
        <v>#VALUE!</v>
      </c>
      <c r="Y90" s="9" t="e">
        <f t="shared" si="32"/>
        <v>#VALUE!</v>
      </c>
      <c r="AB90" s="9" t="str">
        <f t="shared" si="33"/>
        <v/>
      </c>
      <c r="AC90" s="9" t="e">
        <f t="shared" si="34"/>
        <v>#VALUE!</v>
      </c>
      <c r="AD90" s="9" t="e">
        <f t="shared" si="34"/>
        <v>#VALUE!</v>
      </c>
      <c r="AE90" s="9" t="e">
        <f t="shared" si="34"/>
        <v>#VALUE!</v>
      </c>
      <c r="AF90" s="9" t="e">
        <f t="shared" si="34"/>
        <v>#VALUE!</v>
      </c>
      <c r="AG90" s="9" t="e">
        <f t="shared" si="34"/>
        <v>#VALUE!</v>
      </c>
    </row>
    <row r="91" spans="2:33" ht="0.5" customHeight="1">
      <c r="B91" s="9" t="str">
        <f t="shared" si="26"/>
        <v>Panama</v>
      </c>
      <c r="C91" s="9" t="str">
        <f t="shared" si="35"/>
        <v>Panama27</v>
      </c>
      <c r="D91" s="392">
        <f t="shared" si="27"/>
        <v>27</v>
      </c>
      <c r="E91" s="9" t="str">
        <f t="shared" si="27"/>
        <v/>
      </c>
      <c r="F91" s="9" t="e">
        <f t="shared" si="28"/>
        <v>#VALUE!</v>
      </c>
      <c r="G91" s="9" t="e">
        <f t="shared" si="28"/>
        <v>#VALUE!</v>
      </c>
      <c r="H91" s="9" t="e">
        <f t="shared" si="28"/>
        <v>#VALUE!</v>
      </c>
      <c r="I91" s="9" t="e">
        <f t="shared" si="28"/>
        <v>#VALUE!</v>
      </c>
      <c r="J91" s="9" t="e">
        <f t="shared" si="28"/>
        <v>#VALUE!</v>
      </c>
      <c r="L91" s="9" t="str">
        <f t="shared" si="29"/>
        <v/>
      </c>
      <c r="M91" s="9" t="e">
        <f t="shared" si="30"/>
        <v>#VALUE!</v>
      </c>
      <c r="N91" s="9" t="e">
        <f t="shared" si="30"/>
        <v>#VALUE!</v>
      </c>
      <c r="O91" s="9" t="e">
        <f t="shared" si="30"/>
        <v>#VALUE!</v>
      </c>
      <c r="P91" s="9" t="e">
        <f t="shared" si="30"/>
        <v>#VALUE!</v>
      </c>
      <c r="Q91" s="9" t="e">
        <f t="shared" si="30"/>
        <v>#VALUE!</v>
      </c>
      <c r="T91" s="9" t="str">
        <f t="shared" si="31"/>
        <v/>
      </c>
      <c r="U91" s="9" t="e">
        <f t="shared" si="32"/>
        <v>#VALUE!</v>
      </c>
      <c r="V91" s="9" t="e">
        <f t="shared" si="32"/>
        <v>#VALUE!</v>
      </c>
      <c r="W91" s="9" t="e">
        <f t="shared" si="32"/>
        <v>#VALUE!</v>
      </c>
      <c r="X91" s="9" t="e">
        <f t="shared" si="32"/>
        <v>#VALUE!</v>
      </c>
      <c r="Y91" s="9" t="e">
        <f t="shared" si="32"/>
        <v>#VALUE!</v>
      </c>
      <c r="AB91" s="9" t="str">
        <f t="shared" si="33"/>
        <v/>
      </c>
      <c r="AC91" s="9" t="e">
        <f t="shared" si="34"/>
        <v>#VALUE!</v>
      </c>
      <c r="AD91" s="9" t="e">
        <f t="shared" si="34"/>
        <v>#VALUE!</v>
      </c>
      <c r="AE91" s="9" t="e">
        <f t="shared" si="34"/>
        <v>#VALUE!</v>
      </c>
      <c r="AF91" s="9" t="e">
        <f t="shared" si="34"/>
        <v>#VALUE!</v>
      </c>
      <c r="AG91" s="9" t="e">
        <f t="shared" si="34"/>
        <v>#VALUE!</v>
      </c>
    </row>
    <row r="92" spans="2:33" ht="0.5" customHeight="1">
      <c r="B92" s="9" t="str">
        <f t="shared" si="26"/>
        <v>Panama</v>
      </c>
      <c r="C92" s="9" t="str">
        <f t="shared" si="35"/>
        <v>Panama28</v>
      </c>
      <c r="D92" s="392">
        <f t="shared" si="27"/>
        <v>28</v>
      </c>
      <c r="E92" s="9" t="str">
        <f t="shared" si="27"/>
        <v/>
      </c>
      <c r="F92" s="9" t="e">
        <f t="shared" si="28"/>
        <v>#VALUE!</v>
      </c>
      <c r="G92" s="9" t="e">
        <f t="shared" si="28"/>
        <v>#VALUE!</v>
      </c>
      <c r="H92" s="9" t="e">
        <f t="shared" si="28"/>
        <v>#VALUE!</v>
      </c>
      <c r="I92" s="9" t="e">
        <f t="shared" si="28"/>
        <v>#VALUE!</v>
      </c>
      <c r="J92" s="9" t="e">
        <f t="shared" si="28"/>
        <v>#VALUE!</v>
      </c>
      <c r="L92" s="9" t="str">
        <f t="shared" si="29"/>
        <v/>
      </c>
      <c r="M92" s="9" t="e">
        <f t="shared" si="30"/>
        <v>#VALUE!</v>
      </c>
      <c r="N92" s="9" t="e">
        <f t="shared" si="30"/>
        <v>#VALUE!</v>
      </c>
      <c r="O92" s="9" t="e">
        <f t="shared" si="30"/>
        <v>#VALUE!</v>
      </c>
      <c r="P92" s="9" t="e">
        <f t="shared" si="30"/>
        <v>#VALUE!</v>
      </c>
      <c r="Q92" s="9" t="e">
        <f t="shared" si="30"/>
        <v>#VALUE!</v>
      </c>
      <c r="T92" s="9" t="str">
        <f t="shared" si="31"/>
        <v/>
      </c>
      <c r="U92" s="9" t="e">
        <f t="shared" si="32"/>
        <v>#VALUE!</v>
      </c>
      <c r="V92" s="9" t="e">
        <f t="shared" si="32"/>
        <v>#VALUE!</v>
      </c>
      <c r="W92" s="9" t="e">
        <f t="shared" si="32"/>
        <v>#VALUE!</v>
      </c>
      <c r="X92" s="9" t="e">
        <f t="shared" si="32"/>
        <v>#VALUE!</v>
      </c>
      <c r="Y92" s="9" t="e">
        <f t="shared" si="32"/>
        <v>#VALUE!</v>
      </c>
      <c r="AB92" s="9" t="str">
        <f t="shared" si="33"/>
        <v/>
      </c>
      <c r="AC92" s="9" t="e">
        <f t="shared" si="34"/>
        <v>#VALUE!</v>
      </c>
      <c r="AD92" s="9" t="e">
        <f t="shared" si="34"/>
        <v>#VALUE!</v>
      </c>
      <c r="AE92" s="9" t="e">
        <f t="shared" si="34"/>
        <v>#VALUE!</v>
      </c>
      <c r="AF92" s="9" t="e">
        <f t="shared" si="34"/>
        <v>#VALUE!</v>
      </c>
      <c r="AG92" s="9" t="e">
        <f t="shared" si="34"/>
        <v>#VALUE!</v>
      </c>
    </row>
    <row r="93" spans="2:33" ht="0.5" customHeight="1">
      <c r="B93" s="9" t="str">
        <f t="shared" si="26"/>
        <v>Panama</v>
      </c>
      <c r="C93" s="9" t="str">
        <f t="shared" si="35"/>
        <v>Panama29</v>
      </c>
      <c r="D93" s="392">
        <f t="shared" si="27"/>
        <v>29</v>
      </c>
      <c r="E93" s="9" t="str">
        <f t="shared" si="27"/>
        <v/>
      </c>
      <c r="F93" s="9" t="e">
        <f t="shared" si="28"/>
        <v>#VALUE!</v>
      </c>
      <c r="G93" s="9" t="e">
        <f t="shared" si="28"/>
        <v>#VALUE!</v>
      </c>
      <c r="H93" s="9" t="e">
        <f t="shared" si="28"/>
        <v>#VALUE!</v>
      </c>
      <c r="I93" s="9" t="e">
        <f t="shared" si="28"/>
        <v>#VALUE!</v>
      </c>
      <c r="J93" s="9" t="e">
        <f t="shared" si="28"/>
        <v>#VALUE!</v>
      </c>
      <c r="L93" s="9" t="str">
        <f t="shared" si="29"/>
        <v/>
      </c>
      <c r="M93" s="9" t="e">
        <f t="shared" si="30"/>
        <v>#VALUE!</v>
      </c>
      <c r="N93" s="9" t="e">
        <f t="shared" si="30"/>
        <v>#VALUE!</v>
      </c>
      <c r="O93" s="9" t="e">
        <f t="shared" si="30"/>
        <v>#VALUE!</v>
      </c>
      <c r="P93" s="9" t="e">
        <f t="shared" si="30"/>
        <v>#VALUE!</v>
      </c>
      <c r="Q93" s="9" t="e">
        <f t="shared" si="30"/>
        <v>#VALUE!</v>
      </c>
      <c r="T93" s="9" t="str">
        <f t="shared" si="31"/>
        <v/>
      </c>
      <c r="U93" s="9" t="e">
        <f t="shared" si="32"/>
        <v>#VALUE!</v>
      </c>
      <c r="V93" s="9" t="e">
        <f t="shared" si="32"/>
        <v>#VALUE!</v>
      </c>
      <c r="W93" s="9" t="e">
        <f t="shared" si="32"/>
        <v>#VALUE!</v>
      </c>
      <c r="X93" s="9" t="e">
        <f t="shared" si="32"/>
        <v>#VALUE!</v>
      </c>
      <c r="Y93" s="9" t="e">
        <f t="shared" si="32"/>
        <v>#VALUE!</v>
      </c>
      <c r="AB93" s="9" t="str">
        <f t="shared" si="33"/>
        <v/>
      </c>
      <c r="AC93" s="9" t="e">
        <f t="shared" si="34"/>
        <v>#VALUE!</v>
      </c>
      <c r="AD93" s="9" t="e">
        <f t="shared" si="34"/>
        <v>#VALUE!</v>
      </c>
      <c r="AE93" s="9" t="e">
        <f t="shared" si="34"/>
        <v>#VALUE!</v>
      </c>
      <c r="AF93" s="9" t="e">
        <f t="shared" si="34"/>
        <v>#VALUE!</v>
      </c>
      <c r="AG93" s="9" t="e">
        <f t="shared" si="34"/>
        <v>#VALUE!</v>
      </c>
    </row>
    <row r="94" spans="2:33" ht="0.5" customHeight="1">
      <c r="B94" s="9" t="str">
        <f t="shared" si="26"/>
        <v>Panama</v>
      </c>
      <c r="C94" s="9" t="str">
        <f t="shared" si="35"/>
        <v>Panama30</v>
      </c>
      <c r="D94" s="392">
        <f t="shared" si="27"/>
        <v>30</v>
      </c>
      <c r="E94" s="9" t="str">
        <f t="shared" si="27"/>
        <v/>
      </c>
      <c r="F94" s="9" t="e">
        <f t="shared" ref="F94:J103" si="36">+F56-E56</f>
        <v>#VALUE!</v>
      </c>
      <c r="G94" s="9" t="e">
        <f t="shared" si="36"/>
        <v>#VALUE!</v>
      </c>
      <c r="H94" s="9" t="e">
        <f t="shared" si="36"/>
        <v>#VALUE!</v>
      </c>
      <c r="I94" s="9" t="e">
        <f t="shared" si="36"/>
        <v>#VALUE!</v>
      </c>
      <c r="J94" s="9" t="e">
        <f t="shared" si="36"/>
        <v>#VALUE!</v>
      </c>
      <c r="L94" s="9" t="str">
        <f t="shared" si="29"/>
        <v/>
      </c>
      <c r="M94" s="9" t="e">
        <f t="shared" ref="M94:Q103" si="37">+M56-L56</f>
        <v>#VALUE!</v>
      </c>
      <c r="N94" s="9" t="e">
        <f t="shared" si="37"/>
        <v>#VALUE!</v>
      </c>
      <c r="O94" s="9" t="e">
        <f t="shared" si="37"/>
        <v>#VALUE!</v>
      </c>
      <c r="P94" s="9" t="e">
        <f t="shared" si="37"/>
        <v>#VALUE!</v>
      </c>
      <c r="Q94" s="9" t="e">
        <f t="shared" si="37"/>
        <v>#VALUE!</v>
      </c>
      <c r="T94" s="9" t="str">
        <f t="shared" si="31"/>
        <v/>
      </c>
      <c r="U94" s="9" t="e">
        <f t="shared" ref="U94:Y103" si="38">+U56-T56</f>
        <v>#VALUE!</v>
      </c>
      <c r="V94" s="9" t="e">
        <f t="shared" si="38"/>
        <v>#VALUE!</v>
      </c>
      <c r="W94" s="9" t="e">
        <f t="shared" si="38"/>
        <v>#VALUE!</v>
      </c>
      <c r="X94" s="9" t="e">
        <f t="shared" si="38"/>
        <v>#VALUE!</v>
      </c>
      <c r="Y94" s="9" t="e">
        <f t="shared" si="38"/>
        <v>#VALUE!</v>
      </c>
      <c r="AB94" s="9" t="str">
        <f t="shared" si="33"/>
        <v/>
      </c>
      <c r="AC94" s="9" t="e">
        <f t="shared" ref="AC94:AG103" si="39">+AC56-AB56</f>
        <v>#VALUE!</v>
      </c>
      <c r="AD94" s="9" t="e">
        <f t="shared" si="39"/>
        <v>#VALUE!</v>
      </c>
      <c r="AE94" s="9" t="e">
        <f t="shared" si="39"/>
        <v>#VALUE!</v>
      </c>
      <c r="AF94" s="9" t="e">
        <f t="shared" si="39"/>
        <v>#VALUE!</v>
      </c>
      <c r="AG94" s="9" t="e">
        <f t="shared" si="39"/>
        <v>#VALUE!</v>
      </c>
    </row>
    <row r="95" spans="2:33" ht="0.5" customHeight="1">
      <c r="B95" s="9" t="str">
        <f t="shared" si="26"/>
        <v>Panama</v>
      </c>
      <c r="C95" s="9" t="str">
        <f t="shared" si="35"/>
        <v>Panama31</v>
      </c>
      <c r="D95" s="392">
        <f t="shared" si="27"/>
        <v>31</v>
      </c>
      <c r="E95" s="9" t="str">
        <f t="shared" si="27"/>
        <v/>
      </c>
      <c r="F95" s="9" t="e">
        <f t="shared" si="36"/>
        <v>#VALUE!</v>
      </c>
      <c r="G95" s="9" t="e">
        <f t="shared" si="36"/>
        <v>#VALUE!</v>
      </c>
      <c r="H95" s="9" t="e">
        <f t="shared" si="36"/>
        <v>#VALUE!</v>
      </c>
      <c r="I95" s="9" t="e">
        <f t="shared" si="36"/>
        <v>#VALUE!</v>
      </c>
      <c r="J95" s="9" t="e">
        <f t="shared" si="36"/>
        <v>#VALUE!</v>
      </c>
      <c r="L95" s="9" t="str">
        <f t="shared" si="29"/>
        <v/>
      </c>
      <c r="M95" s="9" t="e">
        <f t="shared" si="37"/>
        <v>#VALUE!</v>
      </c>
      <c r="N95" s="9" t="e">
        <f t="shared" si="37"/>
        <v>#VALUE!</v>
      </c>
      <c r="O95" s="9" t="e">
        <f t="shared" si="37"/>
        <v>#VALUE!</v>
      </c>
      <c r="P95" s="9" t="e">
        <f t="shared" si="37"/>
        <v>#VALUE!</v>
      </c>
      <c r="Q95" s="9" t="e">
        <f t="shared" si="37"/>
        <v>#VALUE!</v>
      </c>
      <c r="T95" s="9" t="str">
        <f t="shared" si="31"/>
        <v/>
      </c>
      <c r="U95" s="9" t="e">
        <f t="shared" si="38"/>
        <v>#VALUE!</v>
      </c>
      <c r="V95" s="9" t="e">
        <f t="shared" si="38"/>
        <v>#VALUE!</v>
      </c>
      <c r="W95" s="9" t="e">
        <f t="shared" si="38"/>
        <v>#VALUE!</v>
      </c>
      <c r="X95" s="9" t="e">
        <f t="shared" si="38"/>
        <v>#VALUE!</v>
      </c>
      <c r="Y95" s="9" t="e">
        <f t="shared" si="38"/>
        <v>#VALUE!</v>
      </c>
      <c r="AB95" s="9" t="str">
        <f t="shared" si="33"/>
        <v/>
      </c>
      <c r="AC95" s="9" t="e">
        <f t="shared" si="39"/>
        <v>#VALUE!</v>
      </c>
      <c r="AD95" s="9" t="e">
        <f t="shared" si="39"/>
        <v>#VALUE!</v>
      </c>
      <c r="AE95" s="9" t="e">
        <f t="shared" si="39"/>
        <v>#VALUE!</v>
      </c>
      <c r="AF95" s="9" t="e">
        <f t="shared" si="39"/>
        <v>#VALUE!</v>
      </c>
      <c r="AG95" s="9" t="e">
        <f t="shared" si="39"/>
        <v>#VALUE!</v>
      </c>
    </row>
    <row r="96" spans="2:33" ht="0.5" customHeight="1">
      <c r="B96" s="9" t="str">
        <f t="shared" si="26"/>
        <v>Panama</v>
      </c>
      <c r="C96" s="9" t="str">
        <f t="shared" si="35"/>
        <v>Panama32</v>
      </c>
      <c r="D96" s="392">
        <f t="shared" si="27"/>
        <v>32</v>
      </c>
      <c r="E96" s="9" t="str">
        <f t="shared" si="27"/>
        <v/>
      </c>
      <c r="F96" s="9" t="e">
        <f t="shared" si="36"/>
        <v>#VALUE!</v>
      </c>
      <c r="G96" s="9" t="e">
        <f t="shared" si="36"/>
        <v>#VALUE!</v>
      </c>
      <c r="H96" s="9" t="e">
        <f t="shared" si="36"/>
        <v>#VALUE!</v>
      </c>
      <c r="I96" s="9" t="e">
        <f t="shared" si="36"/>
        <v>#VALUE!</v>
      </c>
      <c r="J96" s="9" t="e">
        <f t="shared" si="36"/>
        <v>#VALUE!</v>
      </c>
      <c r="L96" s="9" t="str">
        <f t="shared" si="29"/>
        <v/>
      </c>
      <c r="M96" s="9" t="e">
        <f t="shared" si="37"/>
        <v>#VALUE!</v>
      </c>
      <c r="N96" s="9" t="e">
        <f t="shared" si="37"/>
        <v>#VALUE!</v>
      </c>
      <c r="O96" s="9" t="e">
        <f t="shared" si="37"/>
        <v>#VALUE!</v>
      </c>
      <c r="P96" s="9" t="e">
        <f t="shared" si="37"/>
        <v>#VALUE!</v>
      </c>
      <c r="Q96" s="9" t="e">
        <f t="shared" si="37"/>
        <v>#VALUE!</v>
      </c>
      <c r="T96" s="9" t="str">
        <f t="shared" si="31"/>
        <v/>
      </c>
      <c r="U96" s="9" t="e">
        <f t="shared" si="38"/>
        <v>#VALUE!</v>
      </c>
      <c r="V96" s="9" t="e">
        <f t="shared" si="38"/>
        <v>#VALUE!</v>
      </c>
      <c r="W96" s="9" t="e">
        <f t="shared" si="38"/>
        <v>#VALUE!</v>
      </c>
      <c r="X96" s="9" t="e">
        <f t="shared" si="38"/>
        <v>#VALUE!</v>
      </c>
      <c r="Y96" s="9" t="e">
        <f t="shared" si="38"/>
        <v>#VALUE!</v>
      </c>
      <c r="AB96" s="9" t="str">
        <f t="shared" si="33"/>
        <v/>
      </c>
      <c r="AC96" s="9" t="e">
        <f t="shared" si="39"/>
        <v>#VALUE!</v>
      </c>
      <c r="AD96" s="9" t="e">
        <f t="shared" si="39"/>
        <v>#VALUE!</v>
      </c>
      <c r="AE96" s="9" t="e">
        <f t="shared" si="39"/>
        <v>#VALUE!</v>
      </c>
      <c r="AF96" s="9" t="e">
        <f t="shared" si="39"/>
        <v>#VALUE!</v>
      </c>
      <c r="AG96" s="9" t="e">
        <f t="shared" si="39"/>
        <v>#VALUE!</v>
      </c>
    </row>
    <row r="97" spans="2:33" ht="0.5" customHeight="1">
      <c r="B97" s="9" t="str">
        <f t="shared" si="26"/>
        <v>Panama</v>
      </c>
      <c r="C97" s="9" t="str">
        <f t="shared" si="35"/>
        <v>Panama33</v>
      </c>
      <c r="D97" s="392">
        <f t="shared" si="27"/>
        <v>33</v>
      </c>
      <c r="E97" s="9" t="str">
        <f t="shared" si="27"/>
        <v/>
      </c>
      <c r="F97" s="9" t="e">
        <f t="shared" si="36"/>
        <v>#VALUE!</v>
      </c>
      <c r="G97" s="9" t="e">
        <f t="shared" si="36"/>
        <v>#VALUE!</v>
      </c>
      <c r="H97" s="9" t="e">
        <f t="shared" si="36"/>
        <v>#VALUE!</v>
      </c>
      <c r="I97" s="9" t="e">
        <f t="shared" si="36"/>
        <v>#VALUE!</v>
      </c>
      <c r="J97" s="9" t="e">
        <f t="shared" si="36"/>
        <v>#VALUE!</v>
      </c>
      <c r="L97" s="9" t="str">
        <f t="shared" si="29"/>
        <v/>
      </c>
      <c r="M97" s="9" t="e">
        <f t="shared" si="37"/>
        <v>#VALUE!</v>
      </c>
      <c r="N97" s="9" t="e">
        <f t="shared" si="37"/>
        <v>#VALUE!</v>
      </c>
      <c r="O97" s="9" t="e">
        <f t="shared" si="37"/>
        <v>#VALUE!</v>
      </c>
      <c r="P97" s="9" t="e">
        <f t="shared" si="37"/>
        <v>#VALUE!</v>
      </c>
      <c r="Q97" s="9" t="e">
        <f t="shared" si="37"/>
        <v>#VALUE!</v>
      </c>
      <c r="T97" s="9" t="str">
        <f t="shared" si="31"/>
        <v/>
      </c>
      <c r="U97" s="9" t="e">
        <f t="shared" si="38"/>
        <v>#VALUE!</v>
      </c>
      <c r="V97" s="9" t="e">
        <f t="shared" si="38"/>
        <v>#VALUE!</v>
      </c>
      <c r="W97" s="9" t="e">
        <f t="shared" si="38"/>
        <v>#VALUE!</v>
      </c>
      <c r="X97" s="9" t="e">
        <f t="shared" si="38"/>
        <v>#VALUE!</v>
      </c>
      <c r="Y97" s="9" t="e">
        <f t="shared" si="38"/>
        <v>#VALUE!</v>
      </c>
      <c r="AB97" s="9" t="str">
        <f t="shared" si="33"/>
        <v/>
      </c>
      <c r="AC97" s="9" t="e">
        <f t="shared" si="39"/>
        <v>#VALUE!</v>
      </c>
      <c r="AD97" s="9" t="e">
        <f t="shared" si="39"/>
        <v>#VALUE!</v>
      </c>
      <c r="AE97" s="9" t="e">
        <f t="shared" si="39"/>
        <v>#VALUE!</v>
      </c>
      <c r="AF97" s="9" t="e">
        <f t="shared" si="39"/>
        <v>#VALUE!</v>
      </c>
      <c r="AG97" s="9" t="e">
        <f t="shared" si="39"/>
        <v>#VALUE!</v>
      </c>
    </row>
    <row r="98" spans="2:33" ht="0.5" customHeight="1">
      <c r="B98" s="9" t="str">
        <f t="shared" si="26"/>
        <v>Panama</v>
      </c>
      <c r="C98" s="9" t="str">
        <f t="shared" si="35"/>
        <v>Panama34</v>
      </c>
      <c r="D98" s="392">
        <f t="shared" si="27"/>
        <v>34</v>
      </c>
      <c r="E98" s="9" t="str">
        <f t="shared" si="27"/>
        <v/>
      </c>
      <c r="F98" s="9" t="e">
        <f t="shared" si="36"/>
        <v>#VALUE!</v>
      </c>
      <c r="G98" s="9" t="e">
        <f t="shared" si="36"/>
        <v>#VALUE!</v>
      </c>
      <c r="H98" s="9" t="e">
        <f t="shared" si="36"/>
        <v>#VALUE!</v>
      </c>
      <c r="I98" s="9" t="e">
        <f t="shared" si="36"/>
        <v>#VALUE!</v>
      </c>
      <c r="J98" s="9" t="e">
        <f t="shared" si="36"/>
        <v>#VALUE!</v>
      </c>
      <c r="L98" s="9" t="str">
        <f t="shared" si="29"/>
        <v/>
      </c>
      <c r="M98" s="9" t="e">
        <f t="shared" si="37"/>
        <v>#VALUE!</v>
      </c>
      <c r="N98" s="9" t="e">
        <f t="shared" si="37"/>
        <v>#VALUE!</v>
      </c>
      <c r="O98" s="9" t="e">
        <f t="shared" si="37"/>
        <v>#VALUE!</v>
      </c>
      <c r="P98" s="9" t="e">
        <f t="shared" si="37"/>
        <v>#VALUE!</v>
      </c>
      <c r="Q98" s="9" t="e">
        <f t="shared" si="37"/>
        <v>#VALUE!</v>
      </c>
      <c r="T98" s="9" t="str">
        <f t="shared" si="31"/>
        <v/>
      </c>
      <c r="U98" s="9" t="e">
        <f t="shared" si="38"/>
        <v>#VALUE!</v>
      </c>
      <c r="V98" s="9" t="e">
        <f t="shared" si="38"/>
        <v>#VALUE!</v>
      </c>
      <c r="W98" s="9" t="e">
        <f t="shared" si="38"/>
        <v>#VALUE!</v>
      </c>
      <c r="X98" s="9" t="e">
        <f t="shared" si="38"/>
        <v>#VALUE!</v>
      </c>
      <c r="Y98" s="9" t="e">
        <f t="shared" si="38"/>
        <v>#VALUE!</v>
      </c>
      <c r="AB98" s="9" t="str">
        <f t="shared" si="33"/>
        <v/>
      </c>
      <c r="AC98" s="9" t="e">
        <f t="shared" si="39"/>
        <v>#VALUE!</v>
      </c>
      <c r="AD98" s="9" t="e">
        <f t="shared" si="39"/>
        <v>#VALUE!</v>
      </c>
      <c r="AE98" s="9" t="e">
        <f t="shared" si="39"/>
        <v>#VALUE!</v>
      </c>
      <c r="AF98" s="9" t="e">
        <f t="shared" si="39"/>
        <v>#VALUE!</v>
      </c>
      <c r="AG98" s="9" t="e">
        <f t="shared" si="39"/>
        <v>#VALUE!</v>
      </c>
    </row>
    <row r="99" spans="2:33" ht="0.5" customHeight="1">
      <c r="B99" s="9" t="str">
        <f t="shared" si="26"/>
        <v>Panama</v>
      </c>
      <c r="C99" s="9" t="str">
        <f t="shared" si="35"/>
        <v>Panama35</v>
      </c>
      <c r="D99" s="392">
        <f t="shared" si="27"/>
        <v>35</v>
      </c>
      <c r="E99" s="9" t="str">
        <f t="shared" si="27"/>
        <v/>
      </c>
      <c r="F99" s="9" t="e">
        <f t="shared" si="36"/>
        <v>#VALUE!</v>
      </c>
      <c r="G99" s="9" t="e">
        <f t="shared" si="36"/>
        <v>#VALUE!</v>
      </c>
      <c r="H99" s="9" t="e">
        <f t="shared" si="36"/>
        <v>#VALUE!</v>
      </c>
      <c r="I99" s="9" t="e">
        <f t="shared" si="36"/>
        <v>#VALUE!</v>
      </c>
      <c r="J99" s="9" t="e">
        <f t="shared" si="36"/>
        <v>#VALUE!</v>
      </c>
      <c r="L99" s="9" t="str">
        <f t="shared" si="29"/>
        <v/>
      </c>
      <c r="M99" s="9" t="e">
        <f t="shared" si="37"/>
        <v>#VALUE!</v>
      </c>
      <c r="N99" s="9" t="e">
        <f t="shared" si="37"/>
        <v>#VALUE!</v>
      </c>
      <c r="O99" s="9" t="e">
        <f t="shared" si="37"/>
        <v>#VALUE!</v>
      </c>
      <c r="P99" s="9" t="e">
        <f t="shared" si="37"/>
        <v>#VALUE!</v>
      </c>
      <c r="Q99" s="9" t="e">
        <f t="shared" si="37"/>
        <v>#VALUE!</v>
      </c>
      <c r="T99" s="9" t="str">
        <f t="shared" si="31"/>
        <v/>
      </c>
      <c r="U99" s="9" t="e">
        <f t="shared" si="38"/>
        <v>#VALUE!</v>
      </c>
      <c r="V99" s="9" t="e">
        <f t="shared" si="38"/>
        <v>#VALUE!</v>
      </c>
      <c r="W99" s="9" t="e">
        <f t="shared" si="38"/>
        <v>#VALUE!</v>
      </c>
      <c r="X99" s="9" t="e">
        <f t="shared" si="38"/>
        <v>#VALUE!</v>
      </c>
      <c r="Y99" s="9" t="e">
        <f t="shared" si="38"/>
        <v>#VALUE!</v>
      </c>
      <c r="AB99" s="9" t="str">
        <f t="shared" si="33"/>
        <v/>
      </c>
      <c r="AC99" s="9" t="e">
        <f t="shared" si="39"/>
        <v>#VALUE!</v>
      </c>
      <c r="AD99" s="9" t="e">
        <f t="shared" si="39"/>
        <v>#VALUE!</v>
      </c>
      <c r="AE99" s="9" t="e">
        <f t="shared" si="39"/>
        <v>#VALUE!</v>
      </c>
      <c r="AF99" s="9" t="e">
        <f t="shared" si="39"/>
        <v>#VALUE!</v>
      </c>
      <c r="AG99" s="9" t="e">
        <f t="shared" si="39"/>
        <v>#VALUE!</v>
      </c>
    </row>
    <row r="100" spans="2:33" ht="0.5" customHeight="1">
      <c r="B100" s="9" t="str">
        <f t="shared" si="26"/>
        <v>Panama</v>
      </c>
      <c r="C100" s="9" t="str">
        <f t="shared" si="35"/>
        <v>Panama36</v>
      </c>
      <c r="D100" s="392">
        <f t="shared" si="27"/>
        <v>36</v>
      </c>
      <c r="E100" s="9" t="str">
        <f t="shared" si="27"/>
        <v/>
      </c>
      <c r="F100" s="9" t="e">
        <f t="shared" si="36"/>
        <v>#VALUE!</v>
      </c>
      <c r="G100" s="9" t="e">
        <f t="shared" si="36"/>
        <v>#VALUE!</v>
      </c>
      <c r="H100" s="9" t="e">
        <f t="shared" si="36"/>
        <v>#VALUE!</v>
      </c>
      <c r="I100" s="9" t="e">
        <f t="shared" si="36"/>
        <v>#VALUE!</v>
      </c>
      <c r="J100" s="9" t="e">
        <f t="shared" si="36"/>
        <v>#VALUE!</v>
      </c>
      <c r="L100" s="9" t="str">
        <f t="shared" si="29"/>
        <v/>
      </c>
      <c r="M100" s="9" t="e">
        <f t="shared" si="37"/>
        <v>#VALUE!</v>
      </c>
      <c r="N100" s="9" t="e">
        <f t="shared" si="37"/>
        <v>#VALUE!</v>
      </c>
      <c r="O100" s="9" t="e">
        <f t="shared" si="37"/>
        <v>#VALUE!</v>
      </c>
      <c r="P100" s="9" t="e">
        <f t="shared" si="37"/>
        <v>#VALUE!</v>
      </c>
      <c r="Q100" s="9" t="e">
        <f t="shared" si="37"/>
        <v>#VALUE!</v>
      </c>
      <c r="T100" s="9" t="str">
        <f t="shared" si="31"/>
        <v/>
      </c>
      <c r="U100" s="9" t="e">
        <f t="shared" si="38"/>
        <v>#VALUE!</v>
      </c>
      <c r="V100" s="9" t="e">
        <f t="shared" si="38"/>
        <v>#VALUE!</v>
      </c>
      <c r="W100" s="9" t="e">
        <f t="shared" si="38"/>
        <v>#VALUE!</v>
      </c>
      <c r="X100" s="9" t="e">
        <f t="shared" si="38"/>
        <v>#VALUE!</v>
      </c>
      <c r="Y100" s="9" t="e">
        <f t="shared" si="38"/>
        <v>#VALUE!</v>
      </c>
      <c r="AB100" s="9" t="str">
        <f t="shared" si="33"/>
        <v/>
      </c>
      <c r="AC100" s="9" t="e">
        <f t="shared" si="39"/>
        <v>#VALUE!</v>
      </c>
      <c r="AD100" s="9" t="e">
        <f t="shared" si="39"/>
        <v>#VALUE!</v>
      </c>
      <c r="AE100" s="9" t="e">
        <f t="shared" si="39"/>
        <v>#VALUE!</v>
      </c>
      <c r="AF100" s="9" t="e">
        <f t="shared" si="39"/>
        <v>#VALUE!</v>
      </c>
      <c r="AG100" s="9" t="e">
        <f t="shared" si="39"/>
        <v>#VALUE!</v>
      </c>
    </row>
    <row r="101" spans="2:33" ht="0.5" customHeight="1">
      <c r="B101" s="9" t="str">
        <f t="shared" si="26"/>
        <v>Panama</v>
      </c>
      <c r="C101" s="9" t="str">
        <f t="shared" si="35"/>
        <v>Panama37</v>
      </c>
      <c r="D101" s="392">
        <f t="shared" si="27"/>
        <v>37</v>
      </c>
      <c r="E101" s="9" t="str">
        <f t="shared" si="27"/>
        <v/>
      </c>
      <c r="F101" s="9" t="e">
        <f t="shared" si="36"/>
        <v>#VALUE!</v>
      </c>
      <c r="G101" s="9" t="e">
        <f t="shared" si="36"/>
        <v>#VALUE!</v>
      </c>
      <c r="H101" s="9" t="e">
        <f t="shared" si="36"/>
        <v>#VALUE!</v>
      </c>
      <c r="I101" s="9" t="e">
        <f t="shared" si="36"/>
        <v>#VALUE!</v>
      </c>
      <c r="J101" s="9" t="e">
        <f t="shared" si="36"/>
        <v>#VALUE!</v>
      </c>
      <c r="L101" s="9" t="str">
        <f t="shared" si="29"/>
        <v/>
      </c>
      <c r="M101" s="9" t="e">
        <f t="shared" si="37"/>
        <v>#VALUE!</v>
      </c>
      <c r="N101" s="9" t="e">
        <f t="shared" si="37"/>
        <v>#VALUE!</v>
      </c>
      <c r="O101" s="9" t="e">
        <f t="shared" si="37"/>
        <v>#VALUE!</v>
      </c>
      <c r="P101" s="9" t="e">
        <f t="shared" si="37"/>
        <v>#VALUE!</v>
      </c>
      <c r="Q101" s="9" t="e">
        <f t="shared" si="37"/>
        <v>#VALUE!</v>
      </c>
      <c r="T101" s="9" t="str">
        <f t="shared" si="31"/>
        <v/>
      </c>
      <c r="U101" s="9" t="e">
        <f t="shared" si="38"/>
        <v>#VALUE!</v>
      </c>
      <c r="V101" s="9" t="e">
        <f t="shared" si="38"/>
        <v>#VALUE!</v>
      </c>
      <c r="W101" s="9" t="e">
        <f t="shared" si="38"/>
        <v>#VALUE!</v>
      </c>
      <c r="X101" s="9" t="e">
        <f t="shared" si="38"/>
        <v>#VALUE!</v>
      </c>
      <c r="Y101" s="9" t="e">
        <f t="shared" si="38"/>
        <v>#VALUE!</v>
      </c>
      <c r="AB101" s="9" t="str">
        <f t="shared" si="33"/>
        <v/>
      </c>
      <c r="AC101" s="9" t="e">
        <f t="shared" si="39"/>
        <v>#VALUE!</v>
      </c>
      <c r="AD101" s="9" t="e">
        <f t="shared" si="39"/>
        <v>#VALUE!</v>
      </c>
      <c r="AE101" s="9" t="e">
        <f t="shared" si="39"/>
        <v>#VALUE!</v>
      </c>
      <c r="AF101" s="9" t="e">
        <f t="shared" si="39"/>
        <v>#VALUE!</v>
      </c>
      <c r="AG101" s="9" t="e">
        <f t="shared" si="39"/>
        <v>#VALUE!</v>
      </c>
    </row>
    <row r="102" spans="2:33" ht="0.5" customHeight="1">
      <c r="B102" s="9" t="str">
        <f t="shared" si="26"/>
        <v>Panama</v>
      </c>
      <c r="C102" s="9" t="str">
        <f t="shared" si="35"/>
        <v>Panama38</v>
      </c>
      <c r="D102" s="392">
        <f t="shared" si="27"/>
        <v>38</v>
      </c>
      <c r="E102" s="9" t="str">
        <f t="shared" si="27"/>
        <v/>
      </c>
      <c r="F102" s="9" t="e">
        <f t="shared" si="36"/>
        <v>#VALUE!</v>
      </c>
      <c r="G102" s="9" t="e">
        <f t="shared" si="36"/>
        <v>#VALUE!</v>
      </c>
      <c r="H102" s="9" t="e">
        <f t="shared" si="36"/>
        <v>#VALUE!</v>
      </c>
      <c r="I102" s="9" t="e">
        <f t="shared" si="36"/>
        <v>#VALUE!</v>
      </c>
      <c r="J102" s="9" t="e">
        <f t="shared" si="36"/>
        <v>#VALUE!</v>
      </c>
      <c r="L102" s="9" t="str">
        <f t="shared" si="29"/>
        <v/>
      </c>
      <c r="M102" s="9" t="e">
        <f t="shared" si="37"/>
        <v>#VALUE!</v>
      </c>
      <c r="N102" s="9" t="e">
        <f t="shared" si="37"/>
        <v>#VALUE!</v>
      </c>
      <c r="O102" s="9" t="e">
        <f t="shared" si="37"/>
        <v>#VALUE!</v>
      </c>
      <c r="P102" s="9" t="e">
        <f t="shared" si="37"/>
        <v>#VALUE!</v>
      </c>
      <c r="Q102" s="9" t="e">
        <f t="shared" si="37"/>
        <v>#VALUE!</v>
      </c>
      <c r="T102" s="9" t="str">
        <f t="shared" si="31"/>
        <v/>
      </c>
      <c r="U102" s="9" t="e">
        <f t="shared" si="38"/>
        <v>#VALUE!</v>
      </c>
      <c r="V102" s="9" t="e">
        <f t="shared" si="38"/>
        <v>#VALUE!</v>
      </c>
      <c r="W102" s="9" t="e">
        <f t="shared" si="38"/>
        <v>#VALUE!</v>
      </c>
      <c r="X102" s="9" t="e">
        <f t="shared" si="38"/>
        <v>#VALUE!</v>
      </c>
      <c r="Y102" s="9" t="e">
        <f t="shared" si="38"/>
        <v>#VALUE!</v>
      </c>
      <c r="AB102" s="9" t="str">
        <f t="shared" si="33"/>
        <v/>
      </c>
      <c r="AC102" s="9" t="e">
        <f t="shared" si="39"/>
        <v>#VALUE!</v>
      </c>
      <c r="AD102" s="9" t="e">
        <f t="shared" si="39"/>
        <v>#VALUE!</v>
      </c>
      <c r="AE102" s="9" t="e">
        <f t="shared" si="39"/>
        <v>#VALUE!</v>
      </c>
      <c r="AF102" s="9" t="e">
        <f t="shared" si="39"/>
        <v>#VALUE!</v>
      </c>
      <c r="AG102" s="9" t="e">
        <f t="shared" si="39"/>
        <v>#VALUE!</v>
      </c>
    </row>
    <row r="103" spans="2:33" ht="0.5" customHeight="1">
      <c r="B103" s="9" t="str">
        <f t="shared" si="26"/>
        <v>Panama</v>
      </c>
      <c r="C103" s="9" t="str">
        <f t="shared" si="35"/>
        <v>Panama39</v>
      </c>
      <c r="D103" s="392">
        <f t="shared" si="27"/>
        <v>39</v>
      </c>
      <c r="E103" s="9" t="str">
        <f t="shared" si="27"/>
        <v/>
      </c>
      <c r="F103" s="9" t="e">
        <f t="shared" si="36"/>
        <v>#VALUE!</v>
      </c>
      <c r="G103" s="9" t="e">
        <f t="shared" si="36"/>
        <v>#VALUE!</v>
      </c>
      <c r="H103" s="9" t="e">
        <f t="shared" si="36"/>
        <v>#VALUE!</v>
      </c>
      <c r="I103" s="9" t="e">
        <f t="shared" si="36"/>
        <v>#VALUE!</v>
      </c>
      <c r="J103" s="9" t="e">
        <f t="shared" si="36"/>
        <v>#VALUE!</v>
      </c>
      <c r="L103" s="9" t="str">
        <f t="shared" si="29"/>
        <v/>
      </c>
      <c r="M103" s="9" t="e">
        <f t="shared" si="37"/>
        <v>#VALUE!</v>
      </c>
      <c r="N103" s="9" t="e">
        <f t="shared" si="37"/>
        <v>#VALUE!</v>
      </c>
      <c r="O103" s="9" t="e">
        <f t="shared" si="37"/>
        <v>#VALUE!</v>
      </c>
      <c r="P103" s="9" t="e">
        <f t="shared" si="37"/>
        <v>#VALUE!</v>
      </c>
      <c r="Q103" s="9" t="e">
        <f t="shared" si="37"/>
        <v>#VALUE!</v>
      </c>
      <c r="T103" s="9" t="str">
        <f t="shared" si="31"/>
        <v/>
      </c>
      <c r="U103" s="9" t="e">
        <f t="shared" si="38"/>
        <v>#VALUE!</v>
      </c>
      <c r="V103" s="9" t="e">
        <f t="shared" si="38"/>
        <v>#VALUE!</v>
      </c>
      <c r="W103" s="9" t="e">
        <f t="shared" si="38"/>
        <v>#VALUE!</v>
      </c>
      <c r="X103" s="9" t="e">
        <f t="shared" si="38"/>
        <v>#VALUE!</v>
      </c>
      <c r="Y103" s="9" t="e">
        <f t="shared" si="38"/>
        <v>#VALUE!</v>
      </c>
      <c r="AB103" s="9" t="str">
        <f t="shared" si="33"/>
        <v/>
      </c>
      <c r="AC103" s="9" t="e">
        <f t="shared" si="39"/>
        <v>#VALUE!</v>
      </c>
      <c r="AD103" s="9" t="e">
        <f t="shared" si="39"/>
        <v>#VALUE!</v>
      </c>
      <c r="AE103" s="9" t="e">
        <f t="shared" si="39"/>
        <v>#VALUE!</v>
      </c>
      <c r="AF103" s="9" t="e">
        <f t="shared" si="39"/>
        <v>#VALUE!</v>
      </c>
      <c r="AG103" s="9" t="e">
        <f t="shared" si="39"/>
        <v>#VALUE!</v>
      </c>
    </row>
    <row r="104" spans="2:33" ht="0.5" customHeight="1">
      <c r="B104" s="9" t="str">
        <f t="shared" si="26"/>
        <v>Panama</v>
      </c>
      <c r="C104" s="9" t="str">
        <f t="shared" si="35"/>
        <v>Panama40</v>
      </c>
      <c r="D104" s="392">
        <f t="shared" ref="D104:E117" si="40">+D66</f>
        <v>40</v>
      </c>
      <c r="E104" s="9" t="str">
        <f t="shared" si="40"/>
        <v/>
      </c>
      <c r="F104" s="9" t="e">
        <f t="shared" ref="F104:J113" si="41">+F66-E66</f>
        <v>#VALUE!</v>
      </c>
      <c r="G104" s="9" t="e">
        <f t="shared" si="41"/>
        <v>#VALUE!</v>
      </c>
      <c r="H104" s="9" t="e">
        <f t="shared" si="41"/>
        <v>#VALUE!</v>
      </c>
      <c r="I104" s="9" t="e">
        <f t="shared" si="41"/>
        <v>#VALUE!</v>
      </c>
      <c r="J104" s="9" t="e">
        <f t="shared" si="41"/>
        <v>#VALUE!</v>
      </c>
      <c r="L104" s="9" t="str">
        <f t="shared" si="29"/>
        <v/>
      </c>
      <c r="M104" s="9" t="e">
        <f t="shared" ref="M104:Q113" si="42">+M66-L66</f>
        <v>#VALUE!</v>
      </c>
      <c r="N104" s="9" t="e">
        <f t="shared" si="42"/>
        <v>#VALUE!</v>
      </c>
      <c r="O104" s="9" t="e">
        <f t="shared" si="42"/>
        <v>#VALUE!</v>
      </c>
      <c r="P104" s="9" t="e">
        <f t="shared" si="42"/>
        <v>#VALUE!</v>
      </c>
      <c r="Q104" s="9" t="e">
        <f t="shared" si="42"/>
        <v>#VALUE!</v>
      </c>
      <c r="T104" s="9" t="str">
        <f t="shared" si="31"/>
        <v/>
      </c>
      <c r="U104" s="9" t="e">
        <f t="shared" ref="U104:Y113" si="43">+U66-T66</f>
        <v>#VALUE!</v>
      </c>
      <c r="V104" s="9" t="e">
        <f t="shared" si="43"/>
        <v>#VALUE!</v>
      </c>
      <c r="W104" s="9" t="e">
        <f t="shared" si="43"/>
        <v>#VALUE!</v>
      </c>
      <c r="X104" s="9" t="e">
        <f t="shared" si="43"/>
        <v>#VALUE!</v>
      </c>
      <c r="Y104" s="9" t="e">
        <f t="shared" si="43"/>
        <v>#VALUE!</v>
      </c>
      <c r="AB104" s="9" t="str">
        <f t="shared" si="33"/>
        <v/>
      </c>
      <c r="AC104" s="9" t="e">
        <f t="shared" ref="AC104:AG113" si="44">+AC66-AB66</f>
        <v>#VALUE!</v>
      </c>
      <c r="AD104" s="9" t="e">
        <f t="shared" si="44"/>
        <v>#VALUE!</v>
      </c>
      <c r="AE104" s="9" t="e">
        <f t="shared" si="44"/>
        <v>#VALUE!</v>
      </c>
      <c r="AF104" s="9" t="e">
        <f t="shared" si="44"/>
        <v>#VALUE!</v>
      </c>
      <c r="AG104" s="9" t="e">
        <f t="shared" si="44"/>
        <v>#VALUE!</v>
      </c>
    </row>
    <row r="105" spans="2:33" ht="0.5" customHeight="1">
      <c r="B105" s="9" t="str">
        <f t="shared" si="26"/>
        <v>Panama</v>
      </c>
      <c r="C105" s="9" t="str">
        <f t="shared" si="35"/>
        <v>Panama41</v>
      </c>
      <c r="D105" s="392">
        <f t="shared" si="40"/>
        <v>41</v>
      </c>
      <c r="E105" s="9" t="str">
        <f t="shared" si="40"/>
        <v/>
      </c>
      <c r="F105" s="9" t="e">
        <f t="shared" si="41"/>
        <v>#VALUE!</v>
      </c>
      <c r="G105" s="9" t="e">
        <f t="shared" si="41"/>
        <v>#VALUE!</v>
      </c>
      <c r="H105" s="9" t="e">
        <f t="shared" si="41"/>
        <v>#VALUE!</v>
      </c>
      <c r="I105" s="9" t="e">
        <f t="shared" si="41"/>
        <v>#VALUE!</v>
      </c>
      <c r="J105" s="9" t="e">
        <f t="shared" si="41"/>
        <v>#VALUE!</v>
      </c>
      <c r="L105" s="9" t="str">
        <f t="shared" si="29"/>
        <v/>
      </c>
      <c r="M105" s="9" t="e">
        <f t="shared" si="42"/>
        <v>#VALUE!</v>
      </c>
      <c r="N105" s="9" t="e">
        <f t="shared" si="42"/>
        <v>#VALUE!</v>
      </c>
      <c r="O105" s="9" t="e">
        <f t="shared" si="42"/>
        <v>#VALUE!</v>
      </c>
      <c r="P105" s="9" t="e">
        <f t="shared" si="42"/>
        <v>#VALUE!</v>
      </c>
      <c r="Q105" s="9" t="e">
        <f t="shared" si="42"/>
        <v>#VALUE!</v>
      </c>
      <c r="T105" s="9" t="str">
        <f t="shared" si="31"/>
        <v/>
      </c>
      <c r="U105" s="9" t="e">
        <f t="shared" si="43"/>
        <v>#VALUE!</v>
      </c>
      <c r="V105" s="9" t="e">
        <f t="shared" si="43"/>
        <v>#VALUE!</v>
      </c>
      <c r="W105" s="9" t="e">
        <f t="shared" si="43"/>
        <v>#VALUE!</v>
      </c>
      <c r="X105" s="9" t="e">
        <f t="shared" si="43"/>
        <v>#VALUE!</v>
      </c>
      <c r="Y105" s="9" t="e">
        <f t="shared" si="43"/>
        <v>#VALUE!</v>
      </c>
      <c r="AB105" s="9" t="str">
        <f t="shared" si="33"/>
        <v/>
      </c>
      <c r="AC105" s="9" t="e">
        <f t="shared" si="44"/>
        <v>#VALUE!</v>
      </c>
      <c r="AD105" s="9" t="e">
        <f t="shared" si="44"/>
        <v>#VALUE!</v>
      </c>
      <c r="AE105" s="9" t="e">
        <f t="shared" si="44"/>
        <v>#VALUE!</v>
      </c>
      <c r="AF105" s="9" t="e">
        <f t="shared" si="44"/>
        <v>#VALUE!</v>
      </c>
      <c r="AG105" s="9" t="e">
        <f t="shared" si="44"/>
        <v>#VALUE!</v>
      </c>
    </row>
    <row r="106" spans="2:33" ht="0.5" customHeight="1">
      <c r="B106" s="9" t="str">
        <f t="shared" si="26"/>
        <v>Panama</v>
      </c>
      <c r="C106" s="9" t="str">
        <f t="shared" si="35"/>
        <v>Panama42</v>
      </c>
      <c r="D106" s="392">
        <f t="shared" si="40"/>
        <v>42</v>
      </c>
      <c r="E106" s="9" t="str">
        <f t="shared" si="40"/>
        <v/>
      </c>
      <c r="F106" s="9" t="e">
        <f t="shared" si="41"/>
        <v>#VALUE!</v>
      </c>
      <c r="G106" s="9" t="e">
        <f t="shared" si="41"/>
        <v>#VALUE!</v>
      </c>
      <c r="H106" s="9" t="e">
        <f t="shared" si="41"/>
        <v>#VALUE!</v>
      </c>
      <c r="I106" s="9" t="e">
        <f t="shared" si="41"/>
        <v>#VALUE!</v>
      </c>
      <c r="J106" s="9" t="e">
        <f t="shared" si="41"/>
        <v>#VALUE!</v>
      </c>
      <c r="L106" s="9" t="str">
        <f t="shared" si="29"/>
        <v/>
      </c>
      <c r="M106" s="9" t="e">
        <f t="shared" si="42"/>
        <v>#VALUE!</v>
      </c>
      <c r="N106" s="9" t="e">
        <f t="shared" si="42"/>
        <v>#VALUE!</v>
      </c>
      <c r="O106" s="9" t="e">
        <f t="shared" si="42"/>
        <v>#VALUE!</v>
      </c>
      <c r="P106" s="9" t="e">
        <f t="shared" si="42"/>
        <v>#VALUE!</v>
      </c>
      <c r="Q106" s="9" t="e">
        <f t="shared" si="42"/>
        <v>#VALUE!</v>
      </c>
      <c r="T106" s="9" t="str">
        <f t="shared" si="31"/>
        <v/>
      </c>
      <c r="U106" s="9" t="e">
        <f t="shared" si="43"/>
        <v>#VALUE!</v>
      </c>
      <c r="V106" s="9" t="e">
        <f t="shared" si="43"/>
        <v>#VALUE!</v>
      </c>
      <c r="W106" s="9" t="e">
        <f t="shared" si="43"/>
        <v>#VALUE!</v>
      </c>
      <c r="X106" s="9" t="e">
        <f t="shared" si="43"/>
        <v>#VALUE!</v>
      </c>
      <c r="Y106" s="9" t="e">
        <f t="shared" si="43"/>
        <v>#VALUE!</v>
      </c>
      <c r="AB106" s="9" t="str">
        <f t="shared" si="33"/>
        <v/>
      </c>
      <c r="AC106" s="9" t="e">
        <f t="shared" si="44"/>
        <v>#VALUE!</v>
      </c>
      <c r="AD106" s="9" t="e">
        <f t="shared" si="44"/>
        <v>#VALUE!</v>
      </c>
      <c r="AE106" s="9" t="e">
        <f t="shared" si="44"/>
        <v>#VALUE!</v>
      </c>
      <c r="AF106" s="9" t="e">
        <f t="shared" si="44"/>
        <v>#VALUE!</v>
      </c>
      <c r="AG106" s="9" t="e">
        <f t="shared" si="44"/>
        <v>#VALUE!</v>
      </c>
    </row>
    <row r="107" spans="2:33" ht="0.5" customHeight="1">
      <c r="B107" s="9" t="str">
        <f t="shared" si="26"/>
        <v>Panama</v>
      </c>
      <c r="C107" s="9" t="str">
        <f t="shared" si="35"/>
        <v>Panama43</v>
      </c>
      <c r="D107" s="392">
        <f t="shared" si="40"/>
        <v>43</v>
      </c>
      <c r="E107" s="9" t="str">
        <f t="shared" si="40"/>
        <v/>
      </c>
      <c r="F107" s="9" t="e">
        <f t="shared" si="41"/>
        <v>#VALUE!</v>
      </c>
      <c r="G107" s="9" t="e">
        <f t="shared" si="41"/>
        <v>#VALUE!</v>
      </c>
      <c r="H107" s="9" t="e">
        <f t="shared" si="41"/>
        <v>#VALUE!</v>
      </c>
      <c r="I107" s="9" t="e">
        <f t="shared" si="41"/>
        <v>#VALUE!</v>
      </c>
      <c r="J107" s="9" t="e">
        <f t="shared" si="41"/>
        <v>#VALUE!</v>
      </c>
      <c r="L107" s="9" t="str">
        <f t="shared" si="29"/>
        <v/>
      </c>
      <c r="M107" s="9" t="e">
        <f t="shared" si="42"/>
        <v>#VALUE!</v>
      </c>
      <c r="N107" s="9" t="e">
        <f t="shared" si="42"/>
        <v>#VALUE!</v>
      </c>
      <c r="O107" s="9" t="e">
        <f t="shared" si="42"/>
        <v>#VALUE!</v>
      </c>
      <c r="P107" s="9" t="e">
        <f t="shared" si="42"/>
        <v>#VALUE!</v>
      </c>
      <c r="Q107" s="9" t="e">
        <f t="shared" si="42"/>
        <v>#VALUE!</v>
      </c>
      <c r="T107" s="9" t="str">
        <f t="shared" si="31"/>
        <v/>
      </c>
      <c r="U107" s="9" t="e">
        <f t="shared" si="43"/>
        <v>#VALUE!</v>
      </c>
      <c r="V107" s="9" t="e">
        <f t="shared" si="43"/>
        <v>#VALUE!</v>
      </c>
      <c r="W107" s="9" t="e">
        <f t="shared" si="43"/>
        <v>#VALUE!</v>
      </c>
      <c r="X107" s="9" t="e">
        <f t="shared" si="43"/>
        <v>#VALUE!</v>
      </c>
      <c r="Y107" s="9" t="e">
        <f t="shared" si="43"/>
        <v>#VALUE!</v>
      </c>
      <c r="AB107" s="9" t="str">
        <f t="shared" si="33"/>
        <v/>
      </c>
      <c r="AC107" s="9" t="e">
        <f t="shared" si="44"/>
        <v>#VALUE!</v>
      </c>
      <c r="AD107" s="9" t="e">
        <f t="shared" si="44"/>
        <v>#VALUE!</v>
      </c>
      <c r="AE107" s="9" t="e">
        <f t="shared" si="44"/>
        <v>#VALUE!</v>
      </c>
      <c r="AF107" s="9" t="e">
        <f t="shared" si="44"/>
        <v>#VALUE!</v>
      </c>
      <c r="AG107" s="9" t="e">
        <f t="shared" si="44"/>
        <v>#VALUE!</v>
      </c>
    </row>
    <row r="108" spans="2:33" ht="0.5" customHeight="1">
      <c r="B108" s="9" t="str">
        <f t="shared" si="26"/>
        <v>Panama</v>
      </c>
      <c r="C108" s="9" t="str">
        <f t="shared" si="35"/>
        <v>Panama44</v>
      </c>
      <c r="D108" s="392">
        <f t="shared" si="40"/>
        <v>44</v>
      </c>
      <c r="E108" s="9" t="str">
        <f t="shared" si="40"/>
        <v/>
      </c>
      <c r="F108" s="9" t="e">
        <f t="shared" si="41"/>
        <v>#VALUE!</v>
      </c>
      <c r="G108" s="9" t="e">
        <f t="shared" si="41"/>
        <v>#VALUE!</v>
      </c>
      <c r="H108" s="9" t="e">
        <f t="shared" si="41"/>
        <v>#VALUE!</v>
      </c>
      <c r="I108" s="9" t="e">
        <f t="shared" si="41"/>
        <v>#VALUE!</v>
      </c>
      <c r="J108" s="9" t="e">
        <f t="shared" si="41"/>
        <v>#VALUE!</v>
      </c>
      <c r="L108" s="9" t="str">
        <f t="shared" si="29"/>
        <v/>
      </c>
      <c r="M108" s="9" t="e">
        <f t="shared" si="42"/>
        <v>#VALUE!</v>
      </c>
      <c r="N108" s="9" t="e">
        <f t="shared" si="42"/>
        <v>#VALUE!</v>
      </c>
      <c r="O108" s="9" t="e">
        <f t="shared" si="42"/>
        <v>#VALUE!</v>
      </c>
      <c r="P108" s="9" t="e">
        <f t="shared" si="42"/>
        <v>#VALUE!</v>
      </c>
      <c r="Q108" s="9" t="e">
        <f t="shared" si="42"/>
        <v>#VALUE!</v>
      </c>
      <c r="T108" s="9" t="str">
        <f t="shared" si="31"/>
        <v/>
      </c>
      <c r="U108" s="9" t="e">
        <f t="shared" si="43"/>
        <v>#VALUE!</v>
      </c>
      <c r="V108" s="9" t="e">
        <f t="shared" si="43"/>
        <v>#VALUE!</v>
      </c>
      <c r="W108" s="9" t="e">
        <f t="shared" si="43"/>
        <v>#VALUE!</v>
      </c>
      <c r="X108" s="9" t="e">
        <f t="shared" si="43"/>
        <v>#VALUE!</v>
      </c>
      <c r="Y108" s="9" t="e">
        <f t="shared" si="43"/>
        <v>#VALUE!</v>
      </c>
      <c r="AB108" s="9" t="str">
        <f t="shared" si="33"/>
        <v/>
      </c>
      <c r="AC108" s="9" t="e">
        <f t="shared" si="44"/>
        <v>#VALUE!</v>
      </c>
      <c r="AD108" s="9" t="e">
        <f t="shared" si="44"/>
        <v>#VALUE!</v>
      </c>
      <c r="AE108" s="9" t="e">
        <f t="shared" si="44"/>
        <v>#VALUE!</v>
      </c>
      <c r="AF108" s="9" t="e">
        <f t="shared" si="44"/>
        <v>#VALUE!</v>
      </c>
      <c r="AG108" s="9" t="e">
        <f t="shared" si="44"/>
        <v>#VALUE!</v>
      </c>
    </row>
    <row r="109" spans="2:33" ht="0.5" customHeight="1">
      <c r="B109" s="9" t="str">
        <f t="shared" si="26"/>
        <v>Panama</v>
      </c>
      <c r="C109" s="9" t="str">
        <f t="shared" si="35"/>
        <v>Panama45</v>
      </c>
      <c r="D109" s="392">
        <f t="shared" si="40"/>
        <v>45</v>
      </c>
      <c r="E109" s="9" t="str">
        <f t="shared" si="40"/>
        <v/>
      </c>
      <c r="F109" s="9" t="e">
        <f t="shared" si="41"/>
        <v>#VALUE!</v>
      </c>
      <c r="G109" s="9" t="e">
        <f t="shared" si="41"/>
        <v>#VALUE!</v>
      </c>
      <c r="H109" s="9" t="e">
        <f t="shared" si="41"/>
        <v>#VALUE!</v>
      </c>
      <c r="I109" s="9" t="e">
        <f t="shared" si="41"/>
        <v>#VALUE!</v>
      </c>
      <c r="J109" s="9" t="e">
        <f t="shared" si="41"/>
        <v>#VALUE!</v>
      </c>
      <c r="L109" s="9" t="str">
        <f t="shared" si="29"/>
        <v/>
      </c>
      <c r="M109" s="9" t="e">
        <f t="shared" si="42"/>
        <v>#VALUE!</v>
      </c>
      <c r="N109" s="9" t="e">
        <f t="shared" si="42"/>
        <v>#VALUE!</v>
      </c>
      <c r="O109" s="9" t="e">
        <f t="shared" si="42"/>
        <v>#VALUE!</v>
      </c>
      <c r="P109" s="9" t="e">
        <f t="shared" si="42"/>
        <v>#VALUE!</v>
      </c>
      <c r="Q109" s="9" t="e">
        <f t="shared" si="42"/>
        <v>#VALUE!</v>
      </c>
      <c r="T109" s="9" t="str">
        <f t="shared" si="31"/>
        <v/>
      </c>
      <c r="U109" s="9" t="e">
        <f t="shared" si="43"/>
        <v>#VALUE!</v>
      </c>
      <c r="V109" s="9" t="e">
        <f t="shared" si="43"/>
        <v>#VALUE!</v>
      </c>
      <c r="W109" s="9" t="e">
        <f t="shared" si="43"/>
        <v>#VALUE!</v>
      </c>
      <c r="X109" s="9" t="e">
        <f t="shared" si="43"/>
        <v>#VALUE!</v>
      </c>
      <c r="Y109" s="9" t="e">
        <f t="shared" si="43"/>
        <v>#VALUE!</v>
      </c>
      <c r="AB109" s="9" t="str">
        <f t="shared" si="33"/>
        <v/>
      </c>
      <c r="AC109" s="9" t="e">
        <f t="shared" si="44"/>
        <v>#VALUE!</v>
      </c>
      <c r="AD109" s="9" t="e">
        <f t="shared" si="44"/>
        <v>#VALUE!</v>
      </c>
      <c r="AE109" s="9" t="e">
        <f t="shared" si="44"/>
        <v>#VALUE!</v>
      </c>
      <c r="AF109" s="9" t="e">
        <f t="shared" si="44"/>
        <v>#VALUE!</v>
      </c>
      <c r="AG109" s="9" t="e">
        <f t="shared" si="44"/>
        <v>#VALUE!</v>
      </c>
    </row>
    <row r="110" spans="2:33" ht="0.5" customHeight="1">
      <c r="B110" s="9" t="str">
        <f t="shared" si="26"/>
        <v>Panama</v>
      </c>
      <c r="C110" s="9" t="str">
        <f t="shared" si="35"/>
        <v>Panama46</v>
      </c>
      <c r="D110" s="392">
        <f t="shared" si="40"/>
        <v>46</v>
      </c>
      <c r="E110" s="9" t="str">
        <f t="shared" si="40"/>
        <v/>
      </c>
      <c r="F110" s="9" t="e">
        <f t="shared" si="41"/>
        <v>#VALUE!</v>
      </c>
      <c r="G110" s="9" t="e">
        <f t="shared" si="41"/>
        <v>#VALUE!</v>
      </c>
      <c r="H110" s="9" t="e">
        <f t="shared" si="41"/>
        <v>#VALUE!</v>
      </c>
      <c r="I110" s="9" t="e">
        <f t="shared" si="41"/>
        <v>#VALUE!</v>
      </c>
      <c r="J110" s="9" t="e">
        <f t="shared" si="41"/>
        <v>#VALUE!</v>
      </c>
      <c r="L110" s="9" t="str">
        <f t="shared" si="29"/>
        <v/>
      </c>
      <c r="M110" s="9" t="e">
        <f t="shared" si="42"/>
        <v>#VALUE!</v>
      </c>
      <c r="N110" s="9" t="e">
        <f t="shared" si="42"/>
        <v>#VALUE!</v>
      </c>
      <c r="O110" s="9" t="e">
        <f t="shared" si="42"/>
        <v>#VALUE!</v>
      </c>
      <c r="P110" s="9" t="e">
        <f t="shared" si="42"/>
        <v>#VALUE!</v>
      </c>
      <c r="Q110" s="9" t="e">
        <f t="shared" si="42"/>
        <v>#VALUE!</v>
      </c>
      <c r="T110" s="9" t="str">
        <f t="shared" si="31"/>
        <v/>
      </c>
      <c r="U110" s="9" t="e">
        <f t="shared" si="43"/>
        <v>#VALUE!</v>
      </c>
      <c r="V110" s="9" t="e">
        <f t="shared" si="43"/>
        <v>#VALUE!</v>
      </c>
      <c r="W110" s="9" t="e">
        <f t="shared" si="43"/>
        <v>#VALUE!</v>
      </c>
      <c r="X110" s="9" t="e">
        <f t="shared" si="43"/>
        <v>#VALUE!</v>
      </c>
      <c r="Y110" s="9" t="e">
        <f t="shared" si="43"/>
        <v>#VALUE!</v>
      </c>
      <c r="AB110" s="9" t="str">
        <f t="shared" si="33"/>
        <v/>
      </c>
      <c r="AC110" s="9" t="e">
        <f t="shared" si="44"/>
        <v>#VALUE!</v>
      </c>
      <c r="AD110" s="9" t="e">
        <f t="shared" si="44"/>
        <v>#VALUE!</v>
      </c>
      <c r="AE110" s="9" t="e">
        <f t="shared" si="44"/>
        <v>#VALUE!</v>
      </c>
      <c r="AF110" s="9" t="e">
        <f t="shared" si="44"/>
        <v>#VALUE!</v>
      </c>
      <c r="AG110" s="9" t="e">
        <f t="shared" si="44"/>
        <v>#VALUE!</v>
      </c>
    </row>
    <row r="111" spans="2:33" ht="0.5" customHeight="1">
      <c r="B111" s="9" t="str">
        <f t="shared" si="26"/>
        <v>Panama</v>
      </c>
      <c r="C111" s="9" t="str">
        <f t="shared" si="35"/>
        <v>Panama47</v>
      </c>
      <c r="D111" s="392">
        <f t="shared" si="40"/>
        <v>47</v>
      </c>
      <c r="E111" s="9" t="str">
        <f t="shared" si="40"/>
        <v/>
      </c>
      <c r="F111" s="9" t="e">
        <f t="shared" si="41"/>
        <v>#VALUE!</v>
      </c>
      <c r="G111" s="9" t="e">
        <f t="shared" si="41"/>
        <v>#VALUE!</v>
      </c>
      <c r="H111" s="9" t="e">
        <f t="shared" si="41"/>
        <v>#VALUE!</v>
      </c>
      <c r="I111" s="9" t="e">
        <f t="shared" si="41"/>
        <v>#VALUE!</v>
      </c>
      <c r="J111" s="9" t="e">
        <f t="shared" si="41"/>
        <v>#VALUE!</v>
      </c>
      <c r="L111" s="9" t="str">
        <f t="shared" si="29"/>
        <v/>
      </c>
      <c r="M111" s="9" t="e">
        <f t="shared" si="42"/>
        <v>#VALUE!</v>
      </c>
      <c r="N111" s="9" t="e">
        <f t="shared" si="42"/>
        <v>#VALUE!</v>
      </c>
      <c r="O111" s="9" t="e">
        <f t="shared" si="42"/>
        <v>#VALUE!</v>
      </c>
      <c r="P111" s="9" t="e">
        <f t="shared" si="42"/>
        <v>#VALUE!</v>
      </c>
      <c r="Q111" s="9" t="e">
        <f t="shared" si="42"/>
        <v>#VALUE!</v>
      </c>
      <c r="T111" s="9" t="str">
        <f t="shared" si="31"/>
        <v/>
      </c>
      <c r="U111" s="9" t="e">
        <f t="shared" si="43"/>
        <v>#VALUE!</v>
      </c>
      <c r="V111" s="9" t="e">
        <f t="shared" si="43"/>
        <v>#VALUE!</v>
      </c>
      <c r="W111" s="9" t="e">
        <f t="shared" si="43"/>
        <v>#VALUE!</v>
      </c>
      <c r="X111" s="9" t="e">
        <f t="shared" si="43"/>
        <v>#VALUE!</v>
      </c>
      <c r="Y111" s="9" t="e">
        <f t="shared" si="43"/>
        <v>#VALUE!</v>
      </c>
      <c r="AB111" s="9" t="str">
        <f t="shared" si="33"/>
        <v/>
      </c>
      <c r="AC111" s="9" t="e">
        <f t="shared" si="44"/>
        <v>#VALUE!</v>
      </c>
      <c r="AD111" s="9" t="e">
        <f t="shared" si="44"/>
        <v>#VALUE!</v>
      </c>
      <c r="AE111" s="9" t="e">
        <f t="shared" si="44"/>
        <v>#VALUE!</v>
      </c>
      <c r="AF111" s="9" t="e">
        <f t="shared" si="44"/>
        <v>#VALUE!</v>
      </c>
      <c r="AG111" s="9" t="e">
        <f t="shared" si="44"/>
        <v>#VALUE!</v>
      </c>
    </row>
    <row r="112" spans="2:33" ht="0.5" customHeight="1">
      <c r="B112" s="9" t="str">
        <f t="shared" si="26"/>
        <v>Panama</v>
      </c>
      <c r="C112" s="9" t="str">
        <f t="shared" si="35"/>
        <v>Panama48</v>
      </c>
      <c r="D112" s="392">
        <f t="shared" si="40"/>
        <v>48</v>
      </c>
      <c r="E112" s="9" t="str">
        <f t="shared" si="40"/>
        <v/>
      </c>
      <c r="F112" s="9" t="e">
        <f t="shared" si="41"/>
        <v>#VALUE!</v>
      </c>
      <c r="G112" s="9" t="e">
        <f t="shared" si="41"/>
        <v>#VALUE!</v>
      </c>
      <c r="H112" s="9" t="e">
        <f t="shared" si="41"/>
        <v>#VALUE!</v>
      </c>
      <c r="I112" s="9" t="e">
        <f t="shared" si="41"/>
        <v>#VALUE!</v>
      </c>
      <c r="J112" s="9" t="e">
        <f t="shared" si="41"/>
        <v>#VALUE!</v>
      </c>
      <c r="L112" s="9" t="str">
        <f t="shared" si="29"/>
        <v/>
      </c>
      <c r="M112" s="9" t="e">
        <f t="shared" si="42"/>
        <v>#VALUE!</v>
      </c>
      <c r="N112" s="9" t="e">
        <f t="shared" si="42"/>
        <v>#VALUE!</v>
      </c>
      <c r="O112" s="9" t="e">
        <f t="shared" si="42"/>
        <v>#VALUE!</v>
      </c>
      <c r="P112" s="9" t="e">
        <f t="shared" si="42"/>
        <v>#VALUE!</v>
      </c>
      <c r="Q112" s="9" t="e">
        <f t="shared" si="42"/>
        <v>#VALUE!</v>
      </c>
      <c r="T112" s="9" t="str">
        <f t="shared" si="31"/>
        <v/>
      </c>
      <c r="U112" s="9" t="e">
        <f t="shared" si="43"/>
        <v>#VALUE!</v>
      </c>
      <c r="V112" s="9" t="e">
        <f t="shared" si="43"/>
        <v>#VALUE!</v>
      </c>
      <c r="W112" s="9" t="e">
        <f t="shared" si="43"/>
        <v>#VALUE!</v>
      </c>
      <c r="X112" s="9" t="e">
        <f t="shared" si="43"/>
        <v>#VALUE!</v>
      </c>
      <c r="Y112" s="9" t="e">
        <f t="shared" si="43"/>
        <v>#VALUE!</v>
      </c>
      <c r="AB112" s="9" t="str">
        <f t="shared" si="33"/>
        <v/>
      </c>
      <c r="AC112" s="9" t="e">
        <f t="shared" si="44"/>
        <v>#VALUE!</v>
      </c>
      <c r="AD112" s="9" t="e">
        <f t="shared" si="44"/>
        <v>#VALUE!</v>
      </c>
      <c r="AE112" s="9" t="e">
        <f t="shared" si="44"/>
        <v>#VALUE!</v>
      </c>
      <c r="AF112" s="9" t="e">
        <f t="shared" si="44"/>
        <v>#VALUE!</v>
      </c>
      <c r="AG112" s="9" t="e">
        <f t="shared" si="44"/>
        <v>#VALUE!</v>
      </c>
    </row>
    <row r="113" spans="2:33" ht="0.5" customHeight="1">
      <c r="B113" s="9" t="str">
        <f t="shared" si="26"/>
        <v>Panama</v>
      </c>
      <c r="C113" s="9" t="str">
        <f t="shared" si="35"/>
        <v>Panama49</v>
      </c>
      <c r="D113" s="392">
        <f t="shared" si="40"/>
        <v>49</v>
      </c>
      <c r="E113" s="9" t="str">
        <f t="shared" si="40"/>
        <v/>
      </c>
      <c r="F113" s="9" t="e">
        <f t="shared" si="41"/>
        <v>#VALUE!</v>
      </c>
      <c r="G113" s="9" t="e">
        <f t="shared" si="41"/>
        <v>#VALUE!</v>
      </c>
      <c r="H113" s="9" t="e">
        <f t="shared" si="41"/>
        <v>#VALUE!</v>
      </c>
      <c r="I113" s="9" t="e">
        <f t="shared" si="41"/>
        <v>#VALUE!</v>
      </c>
      <c r="J113" s="9" t="e">
        <f t="shared" si="41"/>
        <v>#VALUE!</v>
      </c>
      <c r="L113" s="9" t="str">
        <f t="shared" si="29"/>
        <v/>
      </c>
      <c r="M113" s="9" t="e">
        <f t="shared" si="42"/>
        <v>#VALUE!</v>
      </c>
      <c r="N113" s="9" t="e">
        <f t="shared" si="42"/>
        <v>#VALUE!</v>
      </c>
      <c r="O113" s="9" t="e">
        <f t="shared" si="42"/>
        <v>#VALUE!</v>
      </c>
      <c r="P113" s="9" t="e">
        <f t="shared" si="42"/>
        <v>#VALUE!</v>
      </c>
      <c r="Q113" s="9" t="e">
        <f t="shared" si="42"/>
        <v>#VALUE!</v>
      </c>
      <c r="T113" s="9" t="str">
        <f t="shared" si="31"/>
        <v/>
      </c>
      <c r="U113" s="9" t="e">
        <f t="shared" si="43"/>
        <v>#VALUE!</v>
      </c>
      <c r="V113" s="9" t="e">
        <f t="shared" si="43"/>
        <v>#VALUE!</v>
      </c>
      <c r="W113" s="9" t="e">
        <f t="shared" si="43"/>
        <v>#VALUE!</v>
      </c>
      <c r="X113" s="9" t="e">
        <f t="shared" si="43"/>
        <v>#VALUE!</v>
      </c>
      <c r="Y113" s="9" t="e">
        <f t="shared" si="43"/>
        <v>#VALUE!</v>
      </c>
      <c r="AB113" s="9" t="str">
        <f t="shared" si="33"/>
        <v/>
      </c>
      <c r="AC113" s="9" t="e">
        <f t="shared" si="44"/>
        <v>#VALUE!</v>
      </c>
      <c r="AD113" s="9" t="e">
        <f t="shared" si="44"/>
        <v>#VALUE!</v>
      </c>
      <c r="AE113" s="9" t="e">
        <f t="shared" si="44"/>
        <v>#VALUE!</v>
      </c>
      <c r="AF113" s="9" t="e">
        <f t="shared" si="44"/>
        <v>#VALUE!</v>
      </c>
      <c r="AG113" s="9" t="e">
        <f t="shared" si="44"/>
        <v>#VALUE!</v>
      </c>
    </row>
    <row r="114" spans="2:33" ht="0.5" customHeight="1">
      <c r="B114" s="9" t="str">
        <f t="shared" si="26"/>
        <v>Panama</v>
      </c>
      <c r="C114" s="9" t="str">
        <f t="shared" si="35"/>
        <v>Panama50</v>
      </c>
      <c r="D114" s="392">
        <f t="shared" si="40"/>
        <v>50</v>
      </c>
      <c r="E114" s="9" t="str">
        <f t="shared" si="40"/>
        <v/>
      </c>
      <c r="F114" s="9" t="e">
        <f t="shared" ref="F114:J117" si="45">+F76-E76</f>
        <v>#VALUE!</v>
      </c>
      <c r="G114" s="9" t="e">
        <f t="shared" si="45"/>
        <v>#VALUE!</v>
      </c>
      <c r="H114" s="9" t="e">
        <f t="shared" si="45"/>
        <v>#VALUE!</v>
      </c>
      <c r="I114" s="9" t="e">
        <f t="shared" si="45"/>
        <v>#VALUE!</v>
      </c>
      <c r="J114" s="9" t="e">
        <f t="shared" si="45"/>
        <v>#VALUE!</v>
      </c>
      <c r="L114" s="9" t="str">
        <f t="shared" si="29"/>
        <v/>
      </c>
      <c r="M114" s="9" t="e">
        <f t="shared" ref="M114:Q117" si="46">+M76-L76</f>
        <v>#VALUE!</v>
      </c>
      <c r="N114" s="9" t="e">
        <f t="shared" si="46"/>
        <v>#VALUE!</v>
      </c>
      <c r="O114" s="9" t="e">
        <f t="shared" si="46"/>
        <v>#VALUE!</v>
      </c>
      <c r="P114" s="9" t="e">
        <f t="shared" si="46"/>
        <v>#VALUE!</v>
      </c>
      <c r="Q114" s="9" t="e">
        <f t="shared" si="46"/>
        <v>#VALUE!</v>
      </c>
      <c r="T114" s="9" t="str">
        <f t="shared" si="31"/>
        <v/>
      </c>
      <c r="U114" s="9" t="e">
        <f t="shared" ref="U114:Y117" si="47">+U76-T76</f>
        <v>#VALUE!</v>
      </c>
      <c r="V114" s="9" t="e">
        <f t="shared" si="47"/>
        <v>#VALUE!</v>
      </c>
      <c r="W114" s="9" t="e">
        <f t="shared" si="47"/>
        <v>#VALUE!</v>
      </c>
      <c r="X114" s="9" t="e">
        <f t="shared" si="47"/>
        <v>#VALUE!</v>
      </c>
      <c r="Y114" s="9" t="e">
        <f t="shared" si="47"/>
        <v>#VALUE!</v>
      </c>
      <c r="AB114" s="9" t="str">
        <f t="shared" si="33"/>
        <v/>
      </c>
      <c r="AC114" s="9" t="e">
        <f t="shared" ref="AC114:AG117" si="48">+AC76-AB76</f>
        <v>#VALUE!</v>
      </c>
      <c r="AD114" s="9" t="e">
        <f t="shared" si="48"/>
        <v>#VALUE!</v>
      </c>
      <c r="AE114" s="9" t="e">
        <f t="shared" si="48"/>
        <v>#VALUE!</v>
      </c>
      <c r="AF114" s="9" t="e">
        <f t="shared" si="48"/>
        <v>#VALUE!</v>
      </c>
      <c r="AG114" s="9" t="e">
        <f t="shared" si="48"/>
        <v>#VALUE!</v>
      </c>
    </row>
    <row r="115" spans="2:33" ht="0.5" customHeight="1">
      <c r="B115" s="9" t="str">
        <f t="shared" si="26"/>
        <v>Panama</v>
      </c>
      <c r="C115" s="9" t="str">
        <f t="shared" si="35"/>
        <v>Panama51</v>
      </c>
      <c r="D115" s="392">
        <f t="shared" si="40"/>
        <v>51</v>
      </c>
      <c r="E115" s="9" t="str">
        <f t="shared" si="40"/>
        <v/>
      </c>
      <c r="F115" s="9" t="e">
        <f t="shared" si="45"/>
        <v>#VALUE!</v>
      </c>
      <c r="G115" s="9" t="e">
        <f t="shared" si="45"/>
        <v>#VALUE!</v>
      </c>
      <c r="H115" s="9" t="e">
        <f t="shared" si="45"/>
        <v>#VALUE!</v>
      </c>
      <c r="I115" s="9" t="e">
        <f t="shared" si="45"/>
        <v>#VALUE!</v>
      </c>
      <c r="J115" s="9" t="e">
        <f t="shared" si="45"/>
        <v>#VALUE!</v>
      </c>
      <c r="L115" s="9" t="str">
        <f t="shared" si="29"/>
        <v/>
      </c>
      <c r="M115" s="9" t="e">
        <f t="shared" si="46"/>
        <v>#VALUE!</v>
      </c>
      <c r="N115" s="9" t="e">
        <f t="shared" si="46"/>
        <v>#VALUE!</v>
      </c>
      <c r="O115" s="9" t="e">
        <f t="shared" si="46"/>
        <v>#VALUE!</v>
      </c>
      <c r="P115" s="9" t="e">
        <f t="shared" si="46"/>
        <v>#VALUE!</v>
      </c>
      <c r="Q115" s="9" t="e">
        <f t="shared" si="46"/>
        <v>#VALUE!</v>
      </c>
      <c r="T115" s="9" t="str">
        <f t="shared" si="31"/>
        <v/>
      </c>
      <c r="U115" s="9" t="e">
        <f t="shared" si="47"/>
        <v>#VALUE!</v>
      </c>
      <c r="V115" s="9" t="e">
        <f t="shared" si="47"/>
        <v>#VALUE!</v>
      </c>
      <c r="W115" s="9" t="e">
        <f t="shared" si="47"/>
        <v>#VALUE!</v>
      </c>
      <c r="X115" s="9" t="e">
        <f t="shared" si="47"/>
        <v>#VALUE!</v>
      </c>
      <c r="Y115" s="9" t="e">
        <f t="shared" si="47"/>
        <v>#VALUE!</v>
      </c>
      <c r="AB115" s="9" t="str">
        <f t="shared" si="33"/>
        <v/>
      </c>
      <c r="AC115" s="9" t="e">
        <f t="shared" si="48"/>
        <v>#VALUE!</v>
      </c>
      <c r="AD115" s="9" t="e">
        <f t="shared" si="48"/>
        <v>#VALUE!</v>
      </c>
      <c r="AE115" s="9" t="e">
        <f t="shared" si="48"/>
        <v>#VALUE!</v>
      </c>
      <c r="AF115" s="9" t="e">
        <f t="shared" si="48"/>
        <v>#VALUE!</v>
      </c>
      <c r="AG115" s="9" t="e">
        <f t="shared" si="48"/>
        <v>#VALUE!</v>
      </c>
    </row>
    <row r="116" spans="2:33" ht="0.5" customHeight="1">
      <c r="B116" s="9" t="str">
        <f t="shared" si="26"/>
        <v>Panama</v>
      </c>
      <c r="C116" s="9" t="str">
        <f t="shared" si="35"/>
        <v>Panama52</v>
      </c>
      <c r="D116" s="392">
        <f t="shared" si="40"/>
        <v>52</v>
      </c>
      <c r="E116" s="9" t="str">
        <f t="shared" si="40"/>
        <v/>
      </c>
      <c r="F116" s="9" t="e">
        <f t="shared" si="45"/>
        <v>#VALUE!</v>
      </c>
      <c r="G116" s="9" t="e">
        <f t="shared" si="45"/>
        <v>#VALUE!</v>
      </c>
      <c r="H116" s="9" t="e">
        <f t="shared" si="45"/>
        <v>#VALUE!</v>
      </c>
      <c r="I116" s="9" t="e">
        <f t="shared" si="45"/>
        <v>#VALUE!</v>
      </c>
      <c r="J116" s="9" t="e">
        <f t="shared" si="45"/>
        <v>#VALUE!</v>
      </c>
      <c r="L116" s="9" t="str">
        <f t="shared" si="29"/>
        <v/>
      </c>
      <c r="M116" s="9" t="e">
        <f t="shared" si="46"/>
        <v>#VALUE!</v>
      </c>
      <c r="N116" s="9" t="e">
        <f t="shared" si="46"/>
        <v>#VALUE!</v>
      </c>
      <c r="O116" s="9" t="e">
        <f t="shared" si="46"/>
        <v>#VALUE!</v>
      </c>
      <c r="P116" s="9" t="e">
        <f t="shared" si="46"/>
        <v>#VALUE!</v>
      </c>
      <c r="Q116" s="9" t="e">
        <f t="shared" si="46"/>
        <v>#VALUE!</v>
      </c>
      <c r="T116" s="9" t="str">
        <f t="shared" si="31"/>
        <v/>
      </c>
      <c r="U116" s="9" t="e">
        <f t="shared" si="47"/>
        <v>#VALUE!</v>
      </c>
      <c r="V116" s="9" t="e">
        <f t="shared" si="47"/>
        <v>#VALUE!</v>
      </c>
      <c r="W116" s="9" t="e">
        <f t="shared" si="47"/>
        <v>#VALUE!</v>
      </c>
      <c r="X116" s="9" t="e">
        <f t="shared" si="47"/>
        <v>#VALUE!</v>
      </c>
      <c r="Y116" s="9" t="e">
        <f t="shared" si="47"/>
        <v>#VALUE!</v>
      </c>
      <c r="AB116" s="9" t="str">
        <f t="shared" si="33"/>
        <v/>
      </c>
      <c r="AC116" s="9" t="e">
        <f t="shared" si="48"/>
        <v>#VALUE!</v>
      </c>
      <c r="AD116" s="9" t="e">
        <f t="shared" si="48"/>
        <v>#VALUE!</v>
      </c>
      <c r="AE116" s="9" t="e">
        <f t="shared" si="48"/>
        <v>#VALUE!</v>
      </c>
      <c r="AF116" s="9" t="e">
        <f t="shared" si="48"/>
        <v>#VALUE!</v>
      </c>
      <c r="AG116" s="9" t="e">
        <f t="shared" si="48"/>
        <v>#VALUE!</v>
      </c>
    </row>
    <row r="117" spans="2:33" ht="0.5" customHeight="1">
      <c r="B117" s="9" t="str">
        <f t="shared" si="26"/>
        <v>Panama</v>
      </c>
      <c r="C117" s="9" t="str">
        <f t="shared" si="35"/>
        <v>Panama53</v>
      </c>
      <c r="D117" s="392">
        <f t="shared" si="40"/>
        <v>53</v>
      </c>
      <c r="E117" s="9" t="str">
        <f t="shared" si="40"/>
        <v/>
      </c>
      <c r="F117" s="9" t="e">
        <f t="shared" si="45"/>
        <v>#VALUE!</v>
      </c>
      <c r="G117" s="9" t="e">
        <f t="shared" si="45"/>
        <v>#VALUE!</v>
      </c>
      <c r="H117" s="9" t="e">
        <f t="shared" si="45"/>
        <v>#VALUE!</v>
      </c>
      <c r="I117" s="9" t="e">
        <f t="shared" si="45"/>
        <v>#VALUE!</v>
      </c>
      <c r="J117" s="9" t="e">
        <f t="shared" si="45"/>
        <v>#VALUE!</v>
      </c>
      <c r="L117" s="9" t="str">
        <f t="shared" si="29"/>
        <v/>
      </c>
      <c r="M117" s="9" t="e">
        <f t="shared" si="46"/>
        <v>#VALUE!</v>
      </c>
      <c r="N117" s="9" t="e">
        <f t="shared" si="46"/>
        <v>#VALUE!</v>
      </c>
      <c r="O117" s="9" t="e">
        <f t="shared" si="46"/>
        <v>#VALUE!</v>
      </c>
      <c r="P117" s="9" t="e">
        <f t="shared" si="46"/>
        <v>#VALUE!</v>
      </c>
      <c r="Q117" s="9" t="e">
        <f t="shared" si="46"/>
        <v>#VALUE!</v>
      </c>
      <c r="T117" s="9" t="str">
        <f t="shared" si="31"/>
        <v/>
      </c>
      <c r="U117" s="9" t="e">
        <f t="shared" si="47"/>
        <v>#VALUE!</v>
      </c>
      <c r="V117" s="9" t="e">
        <f t="shared" si="47"/>
        <v>#VALUE!</v>
      </c>
      <c r="W117" s="9" t="e">
        <f t="shared" si="47"/>
        <v>#VALUE!</v>
      </c>
      <c r="X117" s="9" t="e">
        <f t="shared" si="47"/>
        <v>#VALUE!</v>
      </c>
      <c r="Y117" s="9" t="e">
        <f t="shared" si="47"/>
        <v>#VALUE!</v>
      </c>
      <c r="AB117" s="9" t="str">
        <f t="shared" si="33"/>
        <v/>
      </c>
      <c r="AC117" s="9" t="e">
        <f t="shared" si="48"/>
        <v>#VALUE!</v>
      </c>
      <c r="AD117" s="9" t="e">
        <f t="shared" si="48"/>
        <v>#VALUE!</v>
      </c>
      <c r="AE117" s="9" t="e">
        <f t="shared" si="48"/>
        <v>#VALUE!</v>
      </c>
      <c r="AF117" s="9" t="e">
        <f t="shared" si="48"/>
        <v>#VALUE!</v>
      </c>
      <c r="AG117" s="9" t="e">
        <f t="shared" si="48"/>
        <v>#VALUE!</v>
      </c>
    </row>
    <row r="118" spans="2:33" ht="0.5" customHeight="1">
      <c r="B118" s="9" t="str">
        <f t="shared" ref="B118:B119" si="49">B80</f>
        <v>Panama</v>
      </c>
      <c r="C118" s="9" t="str">
        <f t="shared" si="35"/>
        <v>Panama54</v>
      </c>
      <c r="D118" s="392">
        <f t="shared" ref="D118:E119" si="50">+D80</f>
        <v>54</v>
      </c>
      <c r="E118" s="9" t="str">
        <f t="shared" si="50"/>
        <v/>
      </c>
      <c r="F118" s="9" t="e">
        <f t="shared" ref="F118:J119" si="51">+F80-E80</f>
        <v>#VALUE!</v>
      </c>
      <c r="G118" s="9" t="e">
        <f t="shared" si="51"/>
        <v>#VALUE!</v>
      </c>
      <c r="H118" s="9" t="e">
        <f t="shared" si="51"/>
        <v>#VALUE!</v>
      </c>
      <c r="I118" s="9" t="e">
        <f t="shared" si="51"/>
        <v>#VALUE!</v>
      </c>
      <c r="J118" s="9" t="e">
        <f t="shared" si="51"/>
        <v>#VALUE!</v>
      </c>
      <c r="L118" s="9" t="str">
        <f t="shared" ref="L118:L119" si="52">+L80</f>
        <v/>
      </c>
      <c r="M118" s="9" t="e">
        <f t="shared" ref="M118:Q119" si="53">+M80-L80</f>
        <v>#VALUE!</v>
      </c>
      <c r="N118" s="9" t="e">
        <f t="shared" si="53"/>
        <v>#VALUE!</v>
      </c>
      <c r="O118" s="9" t="e">
        <f t="shared" si="53"/>
        <v>#VALUE!</v>
      </c>
      <c r="P118" s="9" t="e">
        <f t="shared" si="53"/>
        <v>#VALUE!</v>
      </c>
      <c r="Q118" s="9" t="e">
        <f t="shared" si="53"/>
        <v>#VALUE!</v>
      </c>
      <c r="T118" s="9" t="str">
        <f t="shared" ref="T118:T119" si="54">+T80</f>
        <v/>
      </c>
      <c r="U118" s="9" t="e">
        <f t="shared" ref="U118:Y119" si="55">+U80-T80</f>
        <v>#VALUE!</v>
      </c>
      <c r="V118" s="9" t="e">
        <f t="shared" si="55"/>
        <v>#VALUE!</v>
      </c>
      <c r="W118" s="9" t="e">
        <f t="shared" si="55"/>
        <v>#VALUE!</v>
      </c>
      <c r="X118" s="9" t="e">
        <f t="shared" si="55"/>
        <v>#VALUE!</v>
      </c>
      <c r="Y118" s="9" t="e">
        <f t="shared" si="55"/>
        <v>#VALUE!</v>
      </c>
      <c r="AB118" s="9" t="str">
        <f t="shared" ref="AB118:AB119" si="56">+AB80</f>
        <v/>
      </c>
      <c r="AC118" s="9" t="e">
        <f t="shared" ref="AC118:AG119" si="57">+AC80-AB80</f>
        <v>#VALUE!</v>
      </c>
      <c r="AD118" s="9" t="e">
        <f t="shared" si="57"/>
        <v>#VALUE!</v>
      </c>
      <c r="AE118" s="9" t="e">
        <f t="shared" si="57"/>
        <v>#VALUE!</v>
      </c>
      <c r="AF118" s="9" t="e">
        <f t="shared" si="57"/>
        <v>#VALUE!</v>
      </c>
      <c r="AG118" s="9" t="e">
        <f t="shared" si="57"/>
        <v>#VALUE!</v>
      </c>
    </row>
    <row r="119" spans="2:33" ht="0.5" customHeight="1">
      <c r="B119" s="9" t="str">
        <f t="shared" si="49"/>
        <v>Panama</v>
      </c>
      <c r="C119" s="9" t="str">
        <f t="shared" si="35"/>
        <v>Panama55</v>
      </c>
      <c r="D119" s="392">
        <f t="shared" si="50"/>
        <v>55</v>
      </c>
      <c r="E119" s="9" t="str">
        <f t="shared" si="50"/>
        <v/>
      </c>
      <c r="F119" s="9" t="e">
        <f t="shared" si="51"/>
        <v>#VALUE!</v>
      </c>
      <c r="G119" s="9" t="e">
        <f t="shared" si="51"/>
        <v>#VALUE!</v>
      </c>
      <c r="H119" s="9" t="e">
        <f t="shared" si="51"/>
        <v>#VALUE!</v>
      </c>
      <c r="I119" s="9" t="e">
        <f t="shared" si="51"/>
        <v>#VALUE!</v>
      </c>
      <c r="J119" s="9" t="e">
        <f t="shared" si="51"/>
        <v>#VALUE!</v>
      </c>
      <c r="L119" s="9" t="str">
        <f t="shared" si="52"/>
        <v/>
      </c>
      <c r="M119" s="9" t="e">
        <f t="shared" si="53"/>
        <v>#VALUE!</v>
      </c>
      <c r="N119" s="9" t="e">
        <f t="shared" si="53"/>
        <v>#VALUE!</v>
      </c>
      <c r="O119" s="9" t="e">
        <f t="shared" si="53"/>
        <v>#VALUE!</v>
      </c>
      <c r="P119" s="9" t="e">
        <f t="shared" si="53"/>
        <v>#VALUE!</v>
      </c>
      <c r="Q119" s="9" t="e">
        <f t="shared" si="53"/>
        <v>#VALUE!</v>
      </c>
      <c r="T119" s="9" t="str">
        <f t="shared" si="54"/>
        <v/>
      </c>
      <c r="U119" s="9" t="e">
        <f t="shared" si="55"/>
        <v>#VALUE!</v>
      </c>
      <c r="V119" s="9" t="e">
        <f t="shared" si="55"/>
        <v>#VALUE!</v>
      </c>
      <c r="W119" s="9" t="e">
        <f t="shared" si="55"/>
        <v>#VALUE!</v>
      </c>
      <c r="X119" s="9" t="e">
        <f t="shared" si="55"/>
        <v>#VALUE!</v>
      </c>
      <c r="Y119" s="9" t="e">
        <f t="shared" si="55"/>
        <v>#VALUE!</v>
      </c>
      <c r="AB119" s="9" t="str">
        <f t="shared" si="56"/>
        <v/>
      </c>
      <c r="AC119" s="9" t="e">
        <f t="shared" si="57"/>
        <v>#VALUE!</v>
      </c>
      <c r="AD119" s="9" t="e">
        <f t="shared" si="57"/>
        <v>#VALUE!</v>
      </c>
      <c r="AE119" s="9" t="e">
        <f t="shared" si="57"/>
        <v>#VALUE!</v>
      </c>
      <c r="AF119" s="9" t="e">
        <f t="shared" si="57"/>
        <v>#VALUE!</v>
      </c>
      <c r="AG119" s="9" t="e">
        <f t="shared" si="57"/>
        <v>#VALUE!</v>
      </c>
    </row>
    <row r="120" spans="2:33" ht="0.5" customHeight="1"/>
    <row r="121" spans="2:33" ht="0.5" customHeight="1"/>
    <row r="122" spans="2:33" ht="0.5" customHeight="1"/>
    <row r="123" spans="2:33" ht="0.5" customHeight="1"/>
    <row r="124" spans="2:33" ht="0.5" customHeight="1">
      <c r="D124" s="391" t="s">
        <v>976</v>
      </c>
    </row>
    <row r="125" spans="2:33" ht="0.5" customHeight="1"/>
    <row r="126" spans="2:33" ht="0.5" customHeight="1">
      <c r="D126" s="9" t="s">
        <v>1010</v>
      </c>
      <c r="K126" s="9" t="s">
        <v>1011</v>
      </c>
      <c r="Q126" s="9" t="s">
        <v>1012</v>
      </c>
      <c r="W126" s="9" t="s">
        <v>1013</v>
      </c>
    </row>
    <row r="127" spans="2:33" ht="0.5" customHeight="1"/>
    <row r="128" spans="2:33" ht="0.5" customHeight="1">
      <c r="B128" s="9" t="s">
        <v>31</v>
      </c>
      <c r="C128" s="9" t="s">
        <v>236</v>
      </c>
      <c r="D128" s="9" t="s">
        <v>4</v>
      </c>
      <c r="E128" s="9" t="s">
        <v>988</v>
      </c>
      <c r="F128" s="9" t="s">
        <v>989</v>
      </c>
      <c r="G128" s="9" t="s">
        <v>990</v>
      </c>
      <c r="H128" s="9" t="s">
        <v>1014</v>
      </c>
      <c r="I128" s="9" t="s">
        <v>1015</v>
      </c>
      <c r="J128" s="9" t="s">
        <v>1016</v>
      </c>
      <c r="K128" s="9" t="s">
        <v>988</v>
      </c>
      <c r="L128" s="9" t="s">
        <v>989</v>
      </c>
      <c r="M128" s="9" t="s">
        <v>990</v>
      </c>
      <c r="N128" s="9" t="s">
        <v>1014</v>
      </c>
      <c r="O128" s="9" t="s">
        <v>1015</v>
      </c>
      <c r="P128" s="9" t="s">
        <v>1016</v>
      </c>
      <c r="Q128" s="9" t="s">
        <v>988</v>
      </c>
      <c r="R128" s="9" t="s">
        <v>989</v>
      </c>
      <c r="S128" s="9" t="s">
        <v>990</v>
      </c>
      <c r="T128" s="9" t="s">
        <v>1014</v>
      </c>
      <c r="U128" s="9" t="s">
        <v>1015</v>
      </c>
      <c r="V128" s="9" t="s">
        <v>1016</v>
      </c>
      <c r="W128" s="9" t="s">
        <v>988</v>
      </c>
      <c r="X128" s="9" t="s">
        <v>989</v>
      </c>
      <c r="Y128" s="9" t="s">
        <v>990</v>
      </c>
      <c r="Z128" s="9" t="s">
        <v>1014</v>
      </c>
      <c r="AA128" s="9" t="s">
        <v>1015</v>
      </c>
      <c r="AB128" s="9" t="s">
        <v>1016</v>
      </c>
    </row>
    <row r="129" spans="2:28" ht="0.5" customHeight="1">
      <c r="B129" s="9" t="s">
        <v>20</v>
      </c>
      <c r="C129" s="9" t="str">
        <f>CONCATENATE(B129,D129)</f>
        <v>Latin America and the Caribbean20</v>
      </c>
      <c r="D129" s="392">
        <v>20</v>
      </c>
      <c r="E129" s="9">
        <v>0.15225179999999999</v>
      </c>
      <c r="F129" s="9">
        <v>0.50586249999999999</v>
      </c>
      <c r="G129" s="9">
        <v>0.63312579999999996</v>
      </c>
      <c r="H129" s="9">
        <v>0.63920129999999997</v>
      </c>
      <c r="I129" s="9">
        <v>0.76179799999999998</v>
      </c>
      <c r="J129" s="9">
        <v>1</v>
      </c>
      <c r="K129" s="9">
        <v>0.1747592</v>
      </c>
      <c r="L129" s="9">
        <v>0.37610979999999999</v>
      </c>
      <c r="M129" s="9">
        <v>0.43419200000000002</v>
      </c>
      <c r="N129" s="9">
        <v>0.4389593</v>
      </c>
      <c r="O129" s="9">
        <v>0.54310939999999996</v>
      </c>
      <c r="P129" s="9">
        <v>1</v>
      </c>
      <c r="Q129" s="9">
        <v>5.6074600000000002E-2</v>
      </c>
      <c r="R129" s="9">
        <v>0.23810439999999999</v>
      </c>
      <c r="S129" s="9">
        <v>0.29040769999999999</v>
      </c>
      <c r="T129" s="9">
        <v>0.29216160000000002</v>
      </c>
      <c r="U129" s="9">
        <v>0.37765470000000001</v>
      </c>
      <c r="V129" s="9">
        <v>1</v>
      </c>
      <c r="W129" s="9">
        <v>0.12785250000000001</v>
      </c>
      <c r="X129" s="9">
        <v>0.29239490000000001</v>
      </c>
      <c r="Y129" s="9">
        <v>0.32654850000000002</v>
      </c>
      <c r="Z129" s="9">
        <v>0.3285747</v>
      </c>
      <c r="AA129" s="9">
        <v>0.42861260000000001</v>
      </c>
      <c r="AB129" s="9">
        <v>1</v>
      </c>
    </row>
    <row r="130" spans="2:28" ht="0.5" customHeight="1">
      <c r="B130" s="9" t="s">
        <v>20</v>
      </c>
      <c r="C130" s="9" t="str">
        <f t="shared" ref="C130:C179" si="58">CONCATENATE(B130,D130)</f>
        <v>Latin America and the Caribbean21</v>
      </c>
      <c r="D130" s="392">
        <v>21</v>
      </c>
      <c r="E130" s="9">
        <v>0.1713973</v>
      </c>
      <c r="F130" s="9">
        <v>0.52877269999999998</v>
      </c>
      <c r="G130" s="9">
        <v>0.6691047</v>
      </c>
      <c r="H130" s="9">
        <v>0.67733379999999999</v>
      </c>
      <c r="I130" s="9">
        <v>0.79480700000000004</v>
      </c>
      <c r="J130" s="9">
        <v>1</v>
      </c>
      <c r="K130" s="9">
        <v>0.20823659999999999</v>
      </c>
      <c r="L130" s="9">
        <v>0.41659990000000002</v>
      </c>
      <c r="M130" s="9">
        <v>0.48215279999999999</v>
      </c>
      <c r="N130" s="9">
        <v>0.48921619999999999</v>
      </c>
      <c r="O130" s="9">
        <v>0.59047870000000002</v>
      </c>
      <c r="P130" s="9">
        <v>1</v>
      </c>
      <c r="Q130" s="9">
        <v>6.06972E-2</v>
      </c>
      <c r="R130" s="9">
        <v>0.24103340000000001</v>
      </c>
      <c r="S130" s="9">
        <v>0.30057590000000001</v>
      </c>
      <c r="T130" s="9">
        <v>0.30266949999999998</v>
      </c>
      <c r="U130" s="9">
        <v>0.38468950000000002</v>
      </c>
      <c r="V130" s="9">
        <v>1</v>
      </c>
      <c r="W130" s="9">
        <v>0.15348970000000001</v>
      </c>
      <c r="X130" s="9">
        <v>0.32308520000000002</v>
      </c>
      <c r="Y130" s="9">
        <v>0.36189749999999998</v>
      </c>
      <c r="Z130" s="9">
        <v>0.36472850000000001</v>
      </c>
      <c r="AA130" s="9">
        <v>0.46465519999999999</v>
      </c>
      <c r="AB130" s="9">
        <v>1</v>
      </c>
    </row>
    <row r="131" spans="2:28" ht="0.5" customHeight="1">
      <c r="B131" s="9" t="s">
        <v>20</v>
      </c>
      <c r="C131" s="9" t="str">
        <f t="shared" si="58"/>
        <v>Latin America and the Caribbean22</v>
      </c>
      <c r="D131" s="392">
        <v>22</v>
      </c>
      <c r="E131" s="9">
        <v>0.2036345</v>
      </c>
      <c r="F131" s="9">
        <v>0.56344570000000005</v>
      </c>
      <c r="G131" s="9">
        <v>0.72745680000000001</v>
      </c>
      <c r="H131" s="9">
        <v>0.74012089999999997</v>
      </c>
      <c r="I131" s="9">
        <v>0.84542090000000003</v>
      </c>
      <c r="J131" s="9">
        <v>1</v>
      </c>
      <c r="K131" s="9">
        <v>0.27499210000000002</v>
      </c>
      <c r="L131" s="9">
        <v>0.4919212</v>
      </c>
      <c r="M131" s="9">
        <v>0.57275350000000003</v>
      </c>
      <c r="N131" s="9">
        <v>0.58503369999999999</v>
      </c>
      <c r="O131" s="9">
        <v>0.68076769999999998</v>
      </c>
      <c r="P131" s="9">
        <v>1</v>
      </c>
      <c r="Q131" s="9">
        <v>6.8307199999999998E-2</v>
      </c>
      <c r="R131" s="9">
        <v>0.2441035</v>
      </c>
      <c r="S131" s="9">
        <v>0.31833470000000003</v>
      </c>
      <c r="T131" s="9">
        <v>0.32111489999999998</v>
      </c>
      <c r="U131" s="9">
        <v>0.39616590000000002</v>
      </c>
      <c r="V131" s="9">
        <v>1</v>
      </c>
      <c r="W131" s="9">
        <v>0.20695569999999999</v>
      </c>
      <c r="X131" s="9">
        <v>0.3828397</v>
      </c>
      <c r="Y131" s="9">
        <v>0.4323457</v>
      </c>
      <c r="Z131" s="9">
        <v>0.43713540000000001</v>
      </c>
      <c r="AA131" s="9">
        <v>0.5355396</v>
      </c>
      <c r="AB131" s="9">
        <v>1</v>
      </c>
    </row>
    <row r="132" spans="2:28" ht="0.5" customHeight="1">
      <c r="B132" s="9" t="s">
        <v>20</v>
      </c>
      <c r="C132" s="9" t="str">
        <f t="shared" si="58"/>
        <v>Latin America and the Caribbean23</v>
      </c>
      <c r="D132" s="392">
        <v>23</v>
      </c>
      <c r="E132" s="9">
        <v>0.2169268</v>
      </c>
      <c r="F132" s="9">
        <v>0.57549919999999999</v>
      </c>
      <c r="G132" s="9">
        <v>0.7502238</v>
      </c>
      <c r="H132" s="9">
        <v>0.76522179999999995</v>
      </c>
      <c r="I132" s="9">
        <v>0.86449790000000004</v>
      </c>
      <c r="J132" s="9">
        <v>1</v>
      </c>
      <c r="K132" s="9">
        <v>0.3083188</v>
      </c>
      <c r="L132" s="9">
        <v>0.52717099999999995</v>
      </c>
      <c r="M132" s="9">
        <v>0.61575599999999997</v>
      </c>
      <c r="N132" s="9">
        <v>0.63091609999999998</v>
      </c>
      <c r="O132" s="9">
        <v>0.72365000000000002</v>
      </c>
      <c r="P132" s="9">
        <v>1</v>
      </c>
      <c r="Q132" s="9">
        <v>7.1460599999999999E-2</v>
      </c>
      <c r="R132" s="9">
        <v>0.24482809999999999</v>
      </c>
      <c r="S132" s="9">
        <v>0.32628839999999998</v>
      </c>
      <c r="T132" s="9">
        <v>0.3294417</v>
      </c>
      <c r="U132" s="9">
        <v>0.4011805</v>
      </c>
      <c r="V132" s="9">
        <v>1</v>
      </c>
      <c r="W132" s="9">
        <v>0.23424900000000001</v>
      </c>
      <c r="X132" s="9">
        <v>0.41127380000000002</v>
      </c>
      <c r="Y132" s="9">
        <v>0.46671889999999999</v>
      </c>
      <c r="Z132" s="9">
        <v>0.47263529999999998</v>
      </c>
      <c r="AA132" s="9">
        <v>0.56942269999999995</v>
      </c>
      <c r="AB132" s="9">
        <v>1</v>
      </c>
    </row>
    <row r="133" spans="2:28" ht="0.5" customHeight="1">
      <c r="B133" s="9" t="s">
        <v>20</v>
      </c>
      <c r="C133" s="9" t="str">
        <f t="shared" si="58"/>
        <v>Latin America and the Caribbean24</v>
      </c>
      <c r="D133" s="392">
        <v>24</v>
      </c>
      <c r="E133" s="9">
        <v>0.23759839999999999</v>
      </c>
      <c r="F133" s="9">
        <v>0.58941710000000003</v>
      </c>
      <c r="G133" s="9">
        <v>0.78345450000000005</v>
      </c>
      <c r="H133" s="9">
        <v>0.80316180000000004</v>
      </c>
      <c r="I133" s="9">
        <v>0.89139570000000001</v>
      </c>
      <c r="J133" s="9">
        <v>1</v>
      </c>
      <c r="K133" s="9">
        <v>0.37139299999999997</v>
      </c>
      <c r="L133" s="9">
        <v>0.59013649999999995</v>
      </c>
      <c r="M133" s="9">
        <v>0.69413259999999999</v>
      </c>
      <c r="N133" s="9">
        <v>0.7155686</v>
      </c>
      <c r="O133" s="9">
        <v>0.80173709999999998</v>
      </c>
      <c r="P133" s="9">
        <v>1</v>
      </c>
      <c r="Q133" s="9">
        <v>7.6130900000000001E-2</v>
      </c>
      <c r="R133" s="9">
        <v>0.2447936</v>
      </c>
      <c r="S133" s="9">
        <v>0.34034950000000003</v>
      </c>
      <c r="T133" s="9">
        <v>0.3443099</v>
      </c>
      <c r="U133" s="9">
        <v>0.40992190000000001</v>
      </c>
      <c r="V133" s="9">
        <v>1</v>
      </c>
      <c r="W133" s="9">
        <v>0.28547719999999999</v>
      </c>
      <c r="X133" s="9">
        <v>0.46160859999999998</v>
      </c>
      <c r="Y133" s="9">
        <v>0.52935180000000004</v>
      </c>
      <c r="Z133" s="9">
        <v>0.53779410000000005</v>
      </c>
      <c r="AA133" s="9">
        <v>0.62969169999999997</v>
      </c>
      <c r="AB133" s="9">
        <v>1</v>
      </c>
    </row>
    <row r="134" spans="2:28" ht="0.5" customHeight="1">
      <c r="B134" s="9" t="s">
        <v>20</v>
      </c>
      <c r="C134" s="9" t="str">
        <f t="shared" si="58"/>
        <v>Latin America and the Caribbean25</v>
      </c>
      <c r="D134" s="392">
        <v>25</v>
      </c>
      <c r="E134" s="9">
        <v>0.2453893</v>
      </c>
      <c r="F134" s="9">
        <v>0.59228170000000002</v>
      </c>
      <c r="G134" s="9">
        <v>0.79478780000000004</v>
      </c>
      <c r="H134" s="9">
        <v>0.8168166</v>
      </c>
      <c r="I134" s="9">
        <v>0.90020250000000002</v>
      </c>
      <c r="J134" s="9">
        <v>1</v>
      </c>
      <c r="K134" s="9">
        <v>0.3983083</v>
      </c>
      <c r="L134" s="9">
        <v>0.6149057</v>
      </c>
      <c r="M134" s="9">
        <v>0.72638159999999996</v>
      </c>
      <c r="N134" s="9">
        <v>0.75121680000000002</v>
      </c>
      <c r="O134" s="9">
        <v>0.83351690000000001</v>
      </c>
      <c r="P134" s="9">
        <v>1</v>
      </c>
      <c r="Q134" s="9">
        <v>7.7894500000000005E-2</v>
      </c>
      <c r="R134" s="9">
        <v>0.24424499999999999</v>
      </c>
      <c r="S134" s="9">
        <v>0.3469353</v>
      </c>
      <c r="T134" s="9">
        <v>0.35133370000000003</v>
      </c>
      <c r="U134" s="9">
        <v>0.4142402</v>
      </c>
      <c r="V134" s="9">
        <v>1</v>
      </c>
      <c r="W134" s="9">
        <v>0.30712260000000002</v>
      </c>
      <c r="X134" s="9">
        <v>0.48111209999999999</v>
      </c>
      <c r="Y134" s="9">
        <v>0.55492450000000004</v>
      </c>
      <c r="Z134" s="9">
        <v>0.56477250000000001</v>
      </c>
      <c r="AA134" s="9">
        <v>0.65350839999999999</v>
      </c>
      <c r="AB134" s="9">
        <v>1</v>
      </c>
    </row>
    <row r="135" spans="2:28" ht="0.5" customHeight="1">
      <c r="B135" s="9" t="s">
        <v>20</v>
      </c>
      <c r="C135" s="9" t="str">
        <f t="shared" si="58"/>
        <v>Latin America and the Caribbean26</v>
      </c>
      <c r="D135" s="392">
        <v>26</v>
      </c>
      <c r="E135" s="9">
        <v>0.25141249999999998</v>
      </c>
      <c r="F135" s="9">
        <v>0.59301649999999995</v>
      </c>
      <c r="G135" s="9">
        <v>0.80348030000000004</v>
      </c>
      <c r="H135" s="9">
        <v>0.8277525</v>
      </c>
      <c r="I135" s="9">
        <v>0.90667359999999997</v>
      </c>
      <c r="J135" s="9">
        <v>1</v>
      </c>
      <c r="K135" s="9">
        <v>0.4219328</v>
      </c>
      <c r="L135" s="9">
        <v>0.63543539999999998</v>
      </c>
      <c r="M135" s="9">
        <v>0.75408580000000003</v>
      </c>
      <c r="N135" s="9">
        <v>0.78248110000000004</v>
      </c>
      <c r="O135" s="9">
        <v>0.86058040000000002</v>
      </c>
      <c r="P135" s="9">
        <v>1</v>
      </c>
      <c r="Q135" s="9">
        <v>7.9353599999999996E-2</v>
      </c>
      <c r="R135" s="9">
        <v>0.24366679999999999</v>
      </c>
      <c r="S135" s="9">
        <v>0.35343590000000003</v>
      </c>
      <c r="T135" s="9">
        <v>0.35828900000000002</v>
      </c>
      <c r="U135" s="9">
        <v>0.41878310000000002</v>
      </c>
      <c r="V135" s="9">
        <v>1</v>
      </c>
      <c r="W135" s="9">
        <v>0.32483479999999998</v>
      </c>
      <c r="X135" s="9">
        <v>0.49577870000000002</v>
      </c>
      <c r="Y135" s="9">
        <v>0.5756095</v>
      </c>
      <c r="Z135" s="9">
        <v>0.58690140000000002</v>
      </c>
      <c r="AA135" s="9">
        <v>0.67208820000000002</v>
      </c>
      <c r="AB135" s="9">
        <v>1</v>
      </c>
    </row>
    <row r="136" spans="2:28" ht="0.5" customHeight="1">
      <c r="B136" s="9" t="s">
        <v>20</v>
      </c>
      <c r="C136" s="9" t="str">
        <f t="shared" si="58"/>
        <v>Latin America and the Caribbean27</v>
      </c>
      <c r="D136" s="392">
        <v>27</v>
      </c>
      <c r="E136" s="9">
        <v>0.26011279999999998</v>
      </c>
      <c r="F136" s="9">
        <v>0.59043100000000004</v>
      </c>
      <c r="G136" s="9">
        <v>0.81514169999999997</v>
      </c>
      <c r="H136" s="9">
        <v>0.84406329999999996</v>
      </c>
      <c r="I136" s="9">
        <v>0.91578570000000004</v>
      </c>
      <c r="J136" s="9">
        <v>1</v>
      </c>
      <c r="K136" s="9">
        <v>0.45972030000000003</v>
      </c>
      <c r="L136" s="9">
        <v>0.66419110000000003</v>
      </c>
      <c r="M136" s="9">
        <v>0.79608290000000004</v>
      </c>
      <c r="N136" s="9">
        <v>0.83191689999999996</v>
      </c>
      <c r="O136" s="9">
        <v>0.90129269999999995</v>
      </c>
      <c r="P136" s="9">
        <v>1</v>
      </c>
      <c r="Q136" s="9">
        <v>8.1715899999999994E-2</v>
      </c>
      <c r="R136" s="9">
        <v>0.2430117</v>
      </c>
      <c r="S136" s="9">
        <v>0.36673489999999997</v>
      </c>
      <c r="T136" s="9">
        <v>0.37252580000000002</v>
      </c>
      <c r="U136" s="9">
        <v>0.42894270000000001</v>
      </c>
      <c r="V136" s="9">
        <v>1</v>
      </c>
      <c r="W136" s="9">
        <v>0.35195710000000002</v>
      </c>
      <c r="X136" s="9">
        <v>0.51444140000000005</v>
      </c>
      <c r="Y136" s="9">
        <v>0.60570809999999997</v>
      </c>
      <c r="Z136" s="9">
        <v>0.61996580000000001</v>
      </c>
      <c r="AA136" s="9">
        <v>0.69755509999999998</v>
      </c>
      <c r="AB136" s="9">
        <v>1</v>
      </c>
    </row>
    <row r="137" spans="2:28" ht="0.5" customHeight="1">
      <c r="B137" s="9" t="s">
        <v>20</v>
      </c>
      <c r="C137" s="9" t="str">
        <f t="shared" si="58"/>
        <v>Latin America and the Caribbean28</v>
      </c>
      <c r="D137" s="392">
        <v>28</v>
      </c>
      <c r="E137" s="9">
        <v>0.26256210000000002</v>
      </c>
      <c r="F137" s="9">
        <v>0.58685540000000003</v>
      </c>
      <c r="G137" s="9">
        <v>0.81794909999999998</v>
      </c>
      <c r="H137" s="9">
        <v>0.84924809999999995</v>
      </c>
      <c r="I137" s="9">
        <v>0.91777540000000002</v>
      </c>
      <c r="J137" s="9">
        <v>1</v>
      </c>
      <c r="K137" s="9">
        <v>0.4750857</v>
      </c>
      <c r="L137" s="9">
        <v>0.67449060000000005</v>
      </c>
      <c r="M137" s="9">
        <v>0.81231120000000001</v>
      </c>
      <c r="N137" s="9">
        <v>0.85196689999999997</v>
      </c>
      <c r="O137" s="9">
        <v>0.91697839999999997</v>
      </c>
      <c r="P137" s="9">
        <v>1</v>
      </c>
      <c r="Q137" s="9">
        <v>8.2733299999999996E-2</v>
      </c>
      <c r="R137" s="9">
        <v>0.2431567</v>
      </c>
      <c r="S137" s="9">
        <v>0.37389749999999999</v>
      </c>
      <c r="T137" s="9">
        <v>0.38017669999999998</v>
      </c>
      <c r="U137" s="9">
        <v>0.43489050000000001</v>
      </c>
      <c r="V137" s="9">
        <v>1</v>
      </c>
      <c r="W137" s="9">
        <v>0.36172080000000001</v>
      </c>
      <c r="X137" s="9">
        <v>0.51922109999999999</v>
      </c>
      <c r="Y137" s="9">
        <v>0.6156507</v>
      </c>
      <c r="Z137" s="9">
        <v>0.63141159999999996</v>
      </c>
      <c r="AA137" s="9">
        <v>0.70529160000000002</v>
      </c>
      <c r="AB137" s="9">
        <v>1</v>
      </c>
    </row>
    <row r="138" spans="2:28" ht="0.5" customHeight="1">
      <c r="B138" s="9" t="s">
        <v>20</v>
      </c>
      <c r="C138" s="9" t="str">
        <f t="shared" si="58"/>
        <v>Latin America and the Caribbean29</v>
      </c>
      <c r="D138" s="392">
        <v>29</v>
      </c>
      <c r="E138" s="9">
        <v>0.26778170000000001</v>
      </c>
      <c r="F138" s="9">
        <v>0.58051280000000005</v>
      </c>
      <c r="G138" s="9">
        <v>0.82396990000000003</v>
      </c>
      <c r="H138" s="9">
        <v>0.85991910000000005</v>
      </c>
      <c r="I138" s="9">
        <v>0.92242310000000005</v>
      </c>
      <c r="J138" s="9">
        <v>1</v>
      </c>
      <c r="K138" s="9">
        <v>0.4975581</v>
      </c>
      <c r="L138" s="9">
        <v>0.68607070000000003</v>
      </c>
      <c r="M138" s="9">
        <v>0.83523550000000002</v>
      </c>
      <c r="N138" s="9">
        <v>0.88261299999999998</v>
      </c>
      <c r="O138" s="9">
        <v>0.93942400000000004</v>
      </c>
      <c r="P138" s="9">
        <v>1</v>
      </c>
      <c r="Q138" s="9">
        <v>8.4680400000000003E-2</v>
      </c>
      <c r="R138" s="9">
        <v>0.24360490000000001</v>
      </c>
      <c r="S138" s="9">
        <v>0.38852690000000001</v>
      </c>
      <c r="T138" s="9">
        <v>0.39579310000000001</v>
      </c>
      <c r="U138" s="9">
        <v>0.44742910000000002</v>
      </c>
      <c r="V138" s="9">
        <v>1</v>
      </c>
      <c r="W138" s="9">
        <v>0.37775750000000002</v>
      </c>
      <c r="X138" s="9">
        <v>0.52438929999999995</v>
      </c>
      <c r="Y138" s="9">
        <v>0.63015549999999998</v>
      </c>
      <c r="Z138" s="9">
        <v>0.64896120000000002</v>
      </c>
      <c r="AA138" s="9">
        <v>0.71623840000000005</v>
      </c>
      <c r="AB138" s="9">
        <v>1</v>
      </c>
    </row>
    <row r="139" spans="2:28" ht="0.5" customHeight="1">
      <c r="B139" s="9" t="s">
        <v>20</v>
      </c>
      <c r="C139" s="9" t="str">
        <f t="shared" si="58"/>
        <v>Latin America and the Caribbean30</v>
      </c>
      <c r="D139" s="392">
        <v>30</v>
      </c>
      <c r="E139" s="9">
        <v>0.27044020000000002</v>
      </c>
      <c r="F139" s="9">
        <v>0.57726230000000001</v>
      </c>
      <c r="G139" s="9">
        <v>0.82715669999999997</v>
      </c>
      <c r="H139" s="9">
        <v>0.86531530000000001</v>
      </c>
      <c r="I139" s="9">
        <v>0.92532199999999998</v>
      </c>
      <c r="J139" s="9">
        <v>1</v>
      </c>
      <c r="K139" s="9">
        <v>0.5057256</v>
      </c>
      <c r="L139" s="9">
        <v>0.68848759999999998</v>
      </c>
      <c r="M139" s="9">
        <v>0.84273339999999997</v>
      </c>
      <c r="N139" s="9">
        <v>0.89391019999999999</v>
      </c>
      <c r="O139" s="9">
        <v>0.9472756</v>
      </c>
      <c r="P139" s="9">
        <v>1</v>
      </c>
      <c r="Q139" s="9">
        <v>8.5706599999999994E-2</v>
      </c>
      <c r="R139" s="9">
        <v>0.2444421</v>
      </c>
      <c r="S139" s="9">
        <v>0.39599990000000002</v>
      </c>
      <c r="T139" s="9">
        <v>0.40376459999999997</v>
      </c>
      <c r="U139" s="9">
        <v>0.4539261</v>
      </c>
      <c r="V139" s="9">
        <v>1</v>
      </c>
      <c r="W139" s="9">
        <v>0.3840075</v>
      </c>
      <c r="X139" s="9">
        <v>0.52567070000000005</v>
      </c>
      <c r="Y139" s="9">
        <v>0.63576310000000003</v>
      </c>
      <c r="Z139" s="9">
        <v>0.65597810000000001</v>
      </c>
      <c r="AA139" s="9">
        <v>0.72023789999999999</v>
      </c>
      <c r="AB139" s="9">
        <v>1</v>
      </c>
    </row>
    <row r="140" spans="2:28" ht="0.5" customHeight="1">
      <c r="B140" s="9" t="s">
        <v>20</v>
      </c>
      <c r="C140" s="9" t="str">
        <f t="shared" si="58"/>
        <v>Latin America and the Caribbean31</v>
      </c>
      <c r="D140" s="392">
        <v>31</v>
      </c>
      <c r="E140" s="9">
        <v>0.27284849999999999</v>
      </c>
      <c r="F140" s="9">
        <v>0.57395459999999998</v>
      </c>
      <c r="G140" s="9">
        <v>0.82989270000000004</v>
      </c>
      <c r="H140" s="9">
        <v>0.87021890000000002</v>
      </c>
      <c r="I140" s="9">
        <v>0.92810669999999995</v>
      </c>
      <c r="J140" s="9">
        <v>1</v>
      </c>
      <c r="K140" s="9">
        <v>0.51073279999999999</v>
      </c>
      <c r="L140" s="9">
        <v>0.6875483</v>
      </c>
      <c r="M140" s="9">
        <v>0.84638449999999998</v>
      </c>
      <c r="N140" s="9">
        <v>0.90132760000000001</v>
      </c>
      <c r="O140" s="9">
        <v>0.95156589999999996</v>
      </c>
      <c r="P140" s="9">
        <v>1</v>
      </c>
      <c r="Q140" s="9">
        <v>8.6791699999999999E-2</v>
      </c>
      <c r="R140" s="9">
        <v>0.245473</v>
      </c>
      <c r="S140" s="9">
        <v>0.4033813</v>
      </c>
      <c r="T140" s="9">
        <v>0.41165839999999998</v>
      </c>
      <c r="U140" s="9">
        <v>0.46038750000000001</v>
      </c>
      <c r="V140" s="9">
        <v>1</v>
      </c>
      <c r="W140" s="9">
        <v>0.38954899999999998</v>
      </c>
      <c r="X140" s="9">
        <v>0.52633019999999997</v>
      </c>
      <c r="Y140" s="9">
        <v>0.64054290000000003</v>
      </c>
      <c r="Z140" s="9">
        <v>0.66208800000000001</v>
      </c>
      <c r="AA140" s="9">
        <v>0.72348559999999995</v>
      </c>
      <c r="AB140" s="9">
        <v>1</v>
      </c>
    </row>
    <row r="141" spans="2:28" ht="0.5" customHeight="1">
      <c r="B141" s="9" t="s">
        <v>20</v>
      </c>
      <c r="C141" s="9" t="str">
        <f t="shared" si="58"/>
        <v>Latin America and the Caribbean32</v>
      </c>
      <c r="D141" s="392">
        <v>32</v>
      </c>
      <c r="E141" s="9">
        <v>0.27572350000000001</v>
      </c>
      <c r="F141" s="9">
        <v>0.5648801</v>
      </c>
      <c r="G141" s="9">
        <v>0.83203819999999995</v>
      </c>
      <c r="H141" s="9">
        <v>0.87663610000000003</v>
      </c>
      <c r="I141" s="9">
        <v>0.93158580000000002</v>
      </c>
      <c r="J141" s="9">
        <v>1</v>
      </c>
      <c r="K141" s="9">
        <v>0.51864330000000003</v>
      </c>
      <c r="L141" s="9">
        <v>0.68476020000000004</v>
      </c>
      <c r="M141" s="9">
        <v>0.85170900000000005</v>
      </c>
      <c r="N141" s="9">
        <v>0.91377010000000003</v>
      </c>
      <c r="O141" s="9">
        <v>0.95889559999999996</v>
      </c>
      <c r="P141" s="9">
        <v>1</v>
      </c>
      <c r="Q141" s="9">
        <v>8.9223800000000006E-2</v>
      </c>
      <c r="R141" s="9">
        <v>0.24785219999999999</v>
      </c>
      <c r="S141" s="9">
        <v>0.41765940000000001</v>
      </c>
      <c r="T141" s="9">
        <v>0.42701349999999999</v>
      </c>
      <c r="U141" s="9">
        <v>0.47311439999999999</v>
      </c>
      <c r="V141" s="9">
        <v>1</v>
      </c>
      <c r="W141" s="9">
        <v>0.39681260000000002</v>
      </c>
      <c r="X141" s="9">
        <v>0.5253196</v>
      </c>
      <c r="Y141" s="9">
        <v>0.64734650000000005</v>
      </c>
      <c r="Z141" s="9">
        <v>0.67139079999999995</v>
      </c>
      <c r="AA141" s="9">
        <v>0.72781209999999996</v>
      </c>
      <c r="AB141" s="9">
        <v>1</v>
      </c>
    </row>
    <row r="142" spans="2:28" ht="0.5" customHeight="1">
      <c r="B142" s="9" t="s">
        <v>20</v>
      </c>
      <c r="C142" s="9" t="str">
        <f t="shared" si="58"/>
        <v>Latin America and the Caribbean33</v>
      </c>
      <c r="D142" s="392">
        <v>33</v>
      </c>
      <c r="E142" s="9">
        <v>0.27669090000000002</v>
      </c>
      <c r="F142" s="9">
        <v>0.55992949999999997</v>
      </c>
      <c r="G142" s="9">
        <v>0.83224529999999997</v>
      </c>
      <c r="H142" s="9">
        <v>0.87897309999999995</v>
      </c>
      <c r="I142" s="9">
        <v>0.93290569999999995</v>
      </c>
      <c r="J142" s="9">
        <v>1</v>
      </c>
      <c r="K142" s="9">
        <v>0.52064860000000002</v>
      </c>
      <c r="L142" s="9">
        <v>0.68166269999999995</v>
      </c>
      <c r="M142" s="9">
        <v>0.85244509999999996</v>
      </c>
      <c r="N142" s="9">
        <v>0.91787229999999997</v>
      </c>
      <c r="O142" s="9">
        <v>0.96076669999999997</v>
      </c>
      <c r="P142" s="9">
        <v>1</v>
      </c>
      <c r="Q142" s="9">
        <v>9.0452299999999999E-2</v>
      </c>
      <c r="R142" s="9">
        <v>0.24910479999999999</v>
      </c>
      <c r="S142" s="9">
        <v>0.42461490000000002</v>
      </c>
      <c r="T142" s="9">
        <v>0.43446879999999999</v>
      </c>
      <c r="U142" s="9">
        <v>0.47934399999999999</v>
      </c>
      <c r="V142" s="9">
        <v>1</v>
      </c>
      <c r="W142" s="9">
        <v>0.40031430000000001</v>
      </c>
      <c r="X142" s="9">
        <v>0.52533949999999996</v>
      </c>
      <c r="Y142" s="9">
        <v>0.65089830000000004</v>
      </c>
      <c r="Z142" s="9">
        <v>0.67611829999999995</v>
      </c>
      <c r="AA142" s="9">
        <v>0.73021930000000002</v>
      </c>
      <c r="AB142" s="9">
        <v>1</v>
      </c>
    </row>
    <row r="143" spans="2:28" ht="0.5" customHeight="1">
      <c r="B143" s="9" t="s">
        <v>20</v>
      </c>
      <c r="C143" s="9" t="str">
        <f t="shared" si="58"/>
        <v>Latin America and the Caribbean34</v>
      </c>
      <c r="D143" s="392">
        <v>34</v>
      </c>
      <c r="E143" s="9">
        <v>0.27695500000000001</v>
      </c>
      <c r="F143" s="9">
        <v>0.54920789999999997</v>
      </c>
      <c r="G143" s="9">
        <v>0.83088320000000004</v>
      </c>
      <c r="H143" s="9">
        <v>0.88179350000000001</v>
      </c>
      <c r="I143" s="9">
        <v>0.93373170000000005</v>
      </c>
      <c r="J143" s="9">
        <v>1</v>
      </c>
      <c r="K143" s="9">
        <v>0.52534270000000005</v>
      </c>
      <c r="L143" s="9">
        <v>0.67700249999999995</v>
      </c>
      <c r="M143" s="9">
        <v>0.85488410000000004</v>
      </c>
      <c r="N143" s="9">
        <v>0.92657290000000003</v>
      </c>
      <c r="O143" s="9">
        <v>0.96595470000000005</v>
      </c>
      <c r="P143" s="9">
        <v>1</v>
      </c>
      <c r="Q143" s="9">
        <v>9.2288700000000001E-2</v>
      </c>
      <c r="R143" s="9">
        <v>0.25049470000000001</v>
      </c>
      <c r="S143" s="9">
        <v>0.43609560000000003</v>
      </c>
      <c r="T143" s="9">
        <v>0.44688990000000001</v>
      </c>
      <c r="U143" s="9">
        <v>0.48963390000000001</v>
      </c>
      <c r="V143" s="9">
        <v>1</v>
      </c>
      <c r="W143" s="9">
        <v>0.40628219999999998</v>
      </c>
      <c r="X143" s="9">
        <v>0.52568329999999996</v>
      </c>
      <c r="Y143" s="9">
        <v>0.65763269999999996</v>
      </c>
      <c r="Z143" s="9">
        <v>0.68533739999999999</v>
      </c>
      <c r="AA143" s="9">
        <v>0.73530450000000003</v>
      </c>
      <c r="AB143" s="9">
        <v>1</v>
      </c>
    </row>
    <row r="144" spans="2:28" ht="0.5" customHeight="1">
      <c r="B144" s="9" t="s">
        <v>20</v>
      </c>
      <c r="C144" s="9" t="str">
        <f t="shared" si="58"/>
        <v>Latin America and the Caribbean35</v>
      </c>
      <c r="D144" s="392">
        <v>35</v>
      </c>
      <c r="E144" s="9">
        <v>0.2771728</v>
      </c>
      <c r="F144" s="9">
        <v>0.54455129999999996</v>
      </c>
      <c r="G144" s="9">
        <v>0.83049919999999999</v>
      </c>
      <c r="H144" s="9">
        <v>0.88351950000000001</v>
      </c>
      <c r="I144" s="9">
        <v>0.9345156</v>
      </c>
      <c r="J144" s="9">
        <v>1</v>
      </c>
      <c r="K144" s="9">
        <v>0.52621960000000001</v>
      </c>
      <c r="L144" s="9">
        <v>0.67384549999999999</v>
      </c>
      <c r="M144" s="9">
        <v>0.85492409999999996</v>
      </c>
      <c r="N144" s="9">
        <v>0.92958620000000003</v>
      </c>
      <c r="O144" s="9">
        <v>0.96748829999999997</v>
      </c>
      <c r="P144" s="9">
        <v>1</v>
      </c>
      <c r="Q144" s="9">
        <v>9.3226400000000001E-2</v>
      </c>
      <c r="R144" s="9">
        <v>0.25082080000000001</v>
      </c>
      <c r="S144" s="9">
        <v>0.44072489999999998</v>
      </c>
      <c r="T144" s="9">
        <v>0.45195600000000002</v>
      </c>
      <c r="U144" s="9">
        <v>0.49383749999999998</v>
      </c>
      <c r="V144" s="9">
        <v>1</v>
      </c>
      <c r="W144" s="9">
        <v>0.40931149999999999</v>
      </c>
      <c r="X144" s="9">
        <v>0.52562779999999998</v>
      </c>
      <c r="Y144" s="9">
        <v>0.66055660000000005</v>
      </c>
      <c r="Z144" s="9">
        <v>0.68936509999999995</v>
      </c>
      <c r="AA144" s="9">
        <v>0.73753579999999996</v>
      </c>
      <c r="AB144" s="9">
        <v>1</v>
      </c>
    </row>
    <row r="145" spans="2:28" ht="0.5" customHeight="1">
      <c r="B145" s="9" t="s">
        <v>20</v>
      </c>
      <c r="C145" s="9" t="str">
        <f t="shared" si="58"/>
        <v>Latin America and the Caribbean36</v>
      </c>
      <c r="D145" s="392">
        <v>36</v>
      </c>
      <c r="E145" s="9">
        <v>0.27726699999999999</v>
      </c>
      <c r="F145" s="9">
        <v>0.539775</v>
      </c>
      <c r="G145" s="9">
        <v>0.83000910000000006</v>
      </c>
      <c r="H145" s="9">
        <v>0.88506660000000004</v>
      </c>
      <c r="I145" s="9">
        <v>0.93512479999999998</v>
      </c>
      <c r="J145" s="9">
        <v>1</v>
      </c>
      <c r="K145" s="9">
        <v>0.52688140000000006</v>
      </c>
      <c r="L145" s="9">
        <v>0.67125679999999999</v>
      </c>
      <c r="M145" s="9">
        <v>0.85516300000000001</v>
      </c>
      <c r="N145" s="9">
        <v>0.93254530000000002</v>
      </c>
      <c r="O145" s="9">
        <v>0.96926469999999998</v>
      </c>
      <c r="P145" s="9">
        <v>1</v>
      </c>
      <c r="Q145" s="9">
        <v>9.4030900000000001E-2</v>
      </c>
      <c r="R145" s="9">
        <v>0.25098290000000001</v>
      </c>
      <c r="S145" s="9">
        <v>0.44491770000000003</v>
      </c>
      <c r="T145" s="9">
        <v>0.45656859999999999</v>
      </c>
      <c r="U145" s="9">
        <v>0.49763550000000001</v>
      </c>
      <c r="V145" s="9">
        <v>1</v>
      </c>
      <c r="W145" s="9">
        <v>0.41144229999999998</v>
      </c>
      <c r="X145" s="9">
        <v>0.5251017</v>
      </c>
      <c r="Y145" s="9">
        <v>0.66262560000000004</v>
      </c>
      <c r="Z145" s="9">
        <v>0.692334</v>
      </c>
      <c r="AA145" s="9">
        <v>0.73897599999999997</v>
      </c>
      <c r="AB145" s="9">
        <v>1</v>
      </c>
    </row>
    <row r="146" spans="2:28" ht="0.5" customHeight="1">
      <c r="B146" s="9" t="s">
        <v>20</v>
      </c>
      <c r="C146" s="9" t="str">
        <f t="shared" si="58"/>
        <v>Latin America and the Caribbean37</v>
      </c>
      <c r="D146" s="392">
        <v>37</v>
      </c>
      <c r="E146" s="9">
        <v>0.2769336</v>
      </c>
      <c r="F146" s="9">
        <v>0.53055580000000002</v>
      </c>
      <c r="G146" s="9">
        <v>0.82837380000000005</v>
      </c>
      <c r="H146" s="9">
        <v>0.88724789999999998</v>
      </c>
      <c r="I146" s="9">
        <v>0.93551390000000001</v>
      </c>
      <c r="J146" s="9">
        <v>1</v>
      </c>
      <c r="K146" s="9">
        <v>0.52719400000000005</v>
      </c>
      <c r="L146" s="9">
        <v>0.66560169999999996</v>
      </c>
      <c r="M146" s="9">
        <v>0.85466540000000002</v>
      </c>
      <c r="N146" s="9">
        <v>0.93721100000000002</v>
      </c>
      <c r="O146" s="9">
        <v>0.97231109999999998</v>
      </c>
      <c r="P146" s="9">
        <v>1</v>
      </c>
      <c r="Q146" s="9">
        <v>9.5392599999999994E-2</v>
      </c>
      <c r="R146" s="9">
        <v>0.25055650000000002</v>
      </c>
      <c r="S146" s="9">
        <v>0.4515247</v>
      </c>
      <c r="T146" s="9">
        <v>0.4640089</v>
      </c>
      <c r="U146" s="9">
        <v>0.50320019999999999</v>
      </c>
      <c r="V146" s="9">
        <v>1</v>
      </c>
      <c r="W146" s="9">
        <v>0.41831069999999998</v>
      </c>
      <c r="X146" s="9">
        <v>0.52729870000000001</v>
      </c>
      <c r="Y146" s="9">
        <v>0.66885399999999995</v>
      </c>
      <c r="Z146" s="9">
        <v>0.70033409999999996</v>
      </c>
      <c r="AA146" s="9">
        <v>0.74403330000000001</v>
      </c>
      <c r="AB146" s="9">
        <v>1</v>
      </c>
    </row>
    <row r="147" spans="2:28" ht="0.5" customHeight="1">
      <c r="B147" s="9" t="s">
        <v>20</v>
      </c>
      <c r="C147" s="9" t="str">
        <f t="shared" si="58"/>
        <v>Latin America and the Caribbean38</v>
      </c>
      <c r="D147" s="392">
        <v>38</v>
      </c>
      <c r="E147" s="9">
        <v>0.27629809999999999</v>
      </c>
      <c r="F147" s="9">
        <v>0.52554080000000003</v>
      </c>
      <c r="G147" s="9">
        <v>0.82681000000000004</v>
      </c>
      <c r="H147" s="9">
        <v>0.88743499999999997</v>
      </c>
      <c r="I147" s="9">
        <v>0.93488870000000002</v>
      </c>
      <c r="J147" s="9">
        <v>1</v>
      </c>
      <c r="K147" s="9">
        <v>0.52747699999999997</v>
      </c>
      <c r="L147" s="9">
        <v>0.66290979999999999</v>
      </c>
      <c r="M147" s="9">
        <v>0.85426530000000001</v>
      </c>
      <c r="N147" s="9">
        <v>0.93925199999999998</v>
      </c>
      <c r="O147" s="9">
        <v>0.97368410000000005</v>
      </c>
      <c r="P147" s="9">
        <v>1</v>
      </c>
      <c r="Q147" s="9">
        <v>9.6172599999999997E-2</v>
      </c>
      <c r="R147" s="9">
        <v>0.25029180000000001</v>
      </c>
      <c r="S147" s="9">
        <v>0.45440209999999998</v>
      </c>
      <c r="T147" s="9">
        <v>0.46729229999999999</v>
      </c>
      <c r="U147" s="9">
        <v>0.50546029999999997</v>
      </c>
      <c r="V147" s="9">
        <v>1</v>
      </c>
      <c r="W147" s="9">
        <v>0.42254819999999998</v>
      </c>
      <c r="X147" s="9">
        <v>0.5292251</v>
      </c>
      <c r="Y147" s="9">
        <v>0.67237579999999997</v>
      </c>
      <c r="Z147" s="9">
        <v>0.70462910000000001</v>
      </c>
      <c r="AA147" s="9">
        <v>0.74698140000000002</v>
      </c>
      <c r="AB147" s="9">
        <v>1</v>
      </c>
    </row>
    <row r="148" spans="2:28" ht="0.5" customHeight="1">
      <c r="B148" s="9" t="s">
        <v>20</v>
      </c>
      <c r="C148" s="9" t="str">
        <f t="shared" si="58"/>
        <v>Latin America and the Caribbean39</v>
      </c>
      <c r="D148" s="392">
        <v>39</v>
      </c>
      <c r="E148" s="9">
        <v>0.27430139999999997</v>
      </c>
      <c r="F148" s="9">
        <v>0.51540410000000003</v>
      </c>
      <c r="G148" s="9">
        <v>0.82359579999999999</v>
      </c>
      <c r="H148" s="9">
        <v>0.88719219999999999</v>
      </c>
      <c r="I148" s="9">
        <v>0.93349709999999997</v>
      </c>
      <c r="J148" s="9">
        <v>1</v>
      </c>
      <c r="K148" s="9">
        <v>0.52377430000000003</v>
      </c>
      <c r="L148" s="9">
        <v>0.65404370000000001</v>
      </c>
      <c r="M148" s="9">
        <v>0.8496418</v>
      </c>
      <c r="N148" s="9">
        <v>0.9393705</v>
      </c>
      <c r="O148" s="9">
        <v>0.9726108</v>
      </c>
      <c r="P148" s="9">
        <v>1</v>
      </c>
      <c r="Q148" s="9">
        <v>9.7213400000000005E-2</v>
      </c>
      <c r="R148" s="9">
        <v>0.24828420000000001</v>
      </c>
      <c r="S148" s="9">
        <v>0.45726090000000003</v>
      </c>
      <c r="T148" s="9">
        <v>0.47097509999999998</v>
      </c>
      <c r="U148" s="9">
        <v>0.50724499999999995</v>
      </c>
      <c r="V148" s="9">
        <v>1</v>
      </c>
      <c r="W148" s="9">
        <v>0.43334519999999999</v>
      </c>
      <c r="X148" s="9">
        <v>0.53631189999999995</v>
      </c>
      <c r="Y148" s="9">
        <v>0.68198610000000004</v>
      </c>
      <c r="Z148" s="9">
        <v>0.71554229999999996</v>
      </c>
      <c r="AA148" s="9">
        <v>0.75545320000000005</v>
      </c>
      <c r="AB148" s="9">
        <v>1</v>
      </c>
    </row>
    <row r="149" spans="2:28" ht="0.5" customHeight="1">
      <c r="B149" s="9" t="s">
        <v>20</v>
      </c>
      <c r="C149" s="9" t="str">
        <f t="shared" si="58"/>
        <v>Latin America and the Caribbean40</v>
      </c>
      <c r="D149" s="392">
        <v>40</v>
      </c>
      <c r="E149" s="9">
        <v>0.27307229999999999</v>
      </c>
      <c r="F149" s="9">
        <v>0.51014959999999998</v>
      </c>
      <c r="G149" s="9">
        <v>0.82166220000000001</v>
      </c>
      <c r="H149" s="9">
        <v>0.8864881</v>
      </c>
      <c r="I149" s="9">
        <v>0.93254599999999999</v>
      </c>
      <c r="J149" s="9">
        <v>1</v>
      </c>
      <c r="K149" s="9">
        <v>0.52166970000000001</v>
      </c>
      <c r="L149" s="9">
        <v>0.64951680000000001</v>
      </c>
      <c r="M149" s="9">
        <v>0.84707670000000002</v>
      </c>
      <c r="N149" s="9">
        <v>0.9391661</v>
      </c>
      <c r="O149" s="9">
        <v>0.97201539999999997</v>
      </c>
      <c r="P149" s="9">
        <v>1</v>
      </c>
      <c r="Q149" s="9">
        <v>9.73884E-2</v>
      </c>
      <c r="R149" s="9">
        <v>0.24658389999999999</v>
      </c>
      <c r="S149" s="9">
        <v>0.45767619999999998</v>
      </c>
      <c r="T149" s="9">
        <v>0.47177140000000001</v>
      </c>
      <c r="U149" s="9">
        <v>0.50705310000000003</v>
      </c>
      <c r="V149" s="9">
        <v>1</v>
      </c>
      <c r="W149" s="9">
        <v>0.4367045</v>
      </c>
      <c r="X149" s="9">
        <v>0.53822080000000005</v>
      </c>
      <c r="Y149" s="9">
        <v>0.68466519999999997</v>
      </c>
      <c r="Z149" s="9">
        <v>0.71875829999999996</v>
      </c>
      <c r="AA149" s="9">
        <v>0.75750059999999997</v>
      </c>
      <c r="AB149" s="9">
        <v>1</v>
      </c>
    </row>
    <row r="150" spans="2:28" ht="0.5" customHeight="1">
      <c r="B150" s="9" t="s">
        <v>20</v>
      </c>
      <c r="C150" s="9" t="str">
        <f t="shared" si="58"/>
        <v>Latin America and the Caribbean41</v>
      </c>
      <c r="D150" s="392">
        <v>41</v>
      </c>
      <c r="E150" s="9">
        <v>0.27183960000000001</v>
      </c>
      <c r="F150" s="9">
        <v>0.50501790000000002</v>
      </c>
      <c r="G150" s="9">
        <v>0.81985149999999996</v>
      </c>
      <c r="H150" s="9">
        <v>0.8859127</v>
      </c>
      <c r="I150" s="9">
        <v>0.93176809999999999</v>
      </c>
      <c r="J150" s="9">
        <v>1</v>
      </c>
      <c r="K150" s="9">
        <v>0.52010330000000005</v>
      </c>
      <c r="L150" s="9">
        <v>0.64519709999999997</v>
      </c>
      <c r="M150" s="9">
        <v>0.84441299999999997</v>
      </c>
      <c r="N150" s="9">
        <v>0.93877319999999997</v>
      </c>
      <c r="O150" s="9">
        <v>0.97121219999999997</v>
      </c>
      <c r="P150" s="9">
        <v>1</v>
      </c>
      <c r="Q150" s="9">
        <v>9.7304500000000002E-2</v>
      </c>
      <c r="R150" s="9">
        <v>0.24442120000000001</v>
      </c>
      <c r="S150" s="9">
        <v>0.45729890000000001</v>
      </c>
      <c r="T150" s="9">
        <v>0.47174509999999997</v>
      </c>
      <c r="U150" s="9">
        <v>0.50600469999999997</v>
      </c>
      <c r="V150" s="9">
        <v>1</v>
      </c>
      <c r="W150" s="9">
        <v>0.43933660000000002</v>
      </c>
      <c r="X150" s="9">
        <v>0.53962209999999999</v>
      </c>
      <c r="Y150" s="9">
        <v>0.68656300000000003</v>
      </c>
      <c r="Z150" s="9">
        <v>0.72107909999999997</v>
      </c>
      <c r="AA150" s="9">
        <v>0.75867010000000001</v>
      </c>
      <c r="AB150" s="9">
        <v>1</v>
      </c>
    </row>
    <row r="151" spans="2:28" ht="0.5" customHeight="1">
      <c r="B151" s="9" t="s">
        <v>20</v>
      </c>
      <c r="C151" s="9" t="str">
        <f t="shared" si="58"/>
        <v>Latin America and the Caribbean42</v>
      </c>
      <c r="D151" s="392">
        <v>42</v>
      </c>
      <c r="E151" s="9">
        <v>0.2692523</v>
      </c>
      <c r="F151" s="9">
        <v>0.49550329999999998</v>
      </c>
      <c r="G151" s="9">
        <v>0.81624680000000005</v>
      </c>
      <c r="H151" s="9">
        <v>0.88428669999999998</v>
      </c>
      <c r="I151" s="9">
        <v>0.93025769999999997</v>
      </c>
      <c r="J151" s="9">
        <v>1</v>
      </c>
      <c r="K151" s="9">
        <v>0.51749350000000005</v>
      </c>
      <c r="L151" s="9">
        <v>0.63776529999999998</v>
      </c>
      <c r="M151" s="9">
        <v>0.8396342</v>
      </c>
      <c r="N151" s="9">
        <v>0.93845020000000001</v>
      </c>
      <c r="O151" s="9">
        <v>0.9699084</v>
      </c>
      <c r="P151" s="9">
        <v>1</v>
      </c>
      <c r="Q151" s="9">
        <v>9.6796900000000005E-2</v>
      </c>
      <c r="R151" s="9">
        <v>0.2396392</v>
      </c>
      <c r="S151" s="9">
        <v>0.45456819999999998</v>
      </c>
      <c r="T151" s="9">
        <v>0.4696341</v>
      </c>
      <c r="U151" s="9">
        <v>0.50203160000000002</v>
      </c>
      <c r="V151" s="9">
        <v>1</v>
      </c>
      <c r="W151" s="9">
        <v>0.44100479999999997</v>
      </c>
      <c r="X151" s="9">
        <v>0.53882229999999998</v>
      </c>
      <c r="Y151" s="9">
        <v>0.68652219999999997</v>
      </c>
      <c r="Z151" s="9">
        <v>0.72149560000000001</v>
      </c>
      <c r="AA151" s="9">
        <v>0.75734009999999996</v>
      </c>
      <c r="AB151" s="9">
        <v>1</v>
      </c>
    </row>
    <row r="152" spans="2:28" ht="0.5" customHeight="1">
      <c r="B152" s="9" t="s">
        <v>20</v>
      </c>
      <c r="C152" s="9" t="str">
        <f t="shared" si="58"/>
        <v>Latin America and the Caribbean43</v>
      </c>
      <c r="D152" s="392">
        <v>43</v>
      </c>
      <c r="E152" s="9">
        <v>0.26771040000000002</v>
      </c>
      <c r="F152" s="9">
        <v>0.49085450000000003</v>
      </c>
      <c r="G152" s="9">
        <v>0.8141465</v>
      </c>
      <c r="H152" s="9">
        <v>0.88295449999999998</v>
      </c>
      <c r="I152" s="9">
        <v>0.92904330000000002</v>
      </c>
      <c r="J152" s="9">
        <v>1</v>
      </c>
      <c r="K152" s="9">
        <v>0.51594770000000001</v>
      </c>
      <c r="L152" s="9">
        <v>0.6338859</v>
      </c>
      <c r="M152" s="9">
        <v>0.83719390000000005</v>
      </c>
      <c r="N152" s="9">
        <v>0.93798029999999999</v>
      </c>
      <c r="O152" s="9">
        <v>0.96898810000000002</v>
      </c>
      <c r="P152" s="9">
        <v>1</v>
      </c>
      <c r="Q152" s="9">
        <v>9.6440100000000001E-2</v>
      </c>
      <c r="R152" s="9">
        <v>0.23695840000000001</v>
      </c>
      <c r="S152" s="9">
        <v>0.45250560000000001</v>
      </c>
      <c r="T152" s="9">
        <v>0.46782499999999999</v>
      </c>
      <c r="U152" s="9">
        <v>0.49932569999999998</v>
      </c>
      <c r="V152" s="9">
        <v>1</v>
      </c>
      <c r="W152" s="9">
        <v>0.44165559999999998</v>
      </c>
      <c r="X152" s="9">
        <v>0.53764489999999998</v>
      </c>
      <c r="Y152" s="9">
        <v>0.68584319999999999</v>
      </c>
      <c r="Z152" s="9">
        <v>0.72094409999999998</v>
      </c>
      <c r="AA152" s="9">
        <v>0.7560732</v>
      </c>
      <c r="AB152" s="9">
        <v>1</v>
      </c>
    </row>
    <row r="153" spans="2:28" ht="0.5" customHeight="1">
      <c r="B153" s="9" t="s">
        <v>20</v>
      </c>
      <c r="C153" s="9" t="str">
        <f t="shared" si="58"/>
        <v>Latin America and the Caribbean44</v>
      </c>
      <c r="D153" s="392">
        <v>44</v>
      </c>
      <c r="E153" s="9">
        <v>0.26329459999999999</v>
      </c>
      <c r="F153" s="9">
        <v>0.47983239999999999</v>
      </c>
      <c r="G153" s="9">
        <v>0.80740049999999997</v>
      </c>
      <c r="H153" s="9">
        <v>0.87736539999999996</v>
      </c>
      <c r="I153" s="9">
        <v>0.92365240000000004</v>
      </c>
      <c r="J153" s="9">
        <v>1</v>
      </c>
      <c r="K153" s="9">
        <v>0.51249560000000005</v>
      </c>
      <c r="L153" s="9">
        <v>0.62580199999999997</v>
      </c>
      <c r="M153" s="9">
        <v>0.83173589999999997</v>
      </c>
      <c r="N153" s="9">
        <v>0.93570980000000004</v>
      </c>
      <c r="O153" s="9">
        <v>0.96610720000000005</v>
      </c>
      <c r="P153" s="9">
        <v>1</v>
      </c>
      <c r="Q153" s="9">
        <v>9.5175099999999999E-2</v>
      </c>
      <c r="R153" s="9">
        <v>0.2307968</v>
      </c>
      <c r="S153" s="9">
        <v>0.44780370000000003</v>
      </c>
      <c r="T153" s="9">
        <v>0.46344760000000002</v>
      </c>
      <c r="U153" s="9">
        <v>0.49315639999999999</v>
      </c>
      <c r="V153" s="9">
        <v>1</v>
      </c>
      <c r="W153" s="9">
        <v>0.44014130000000001</v>
      </c>
      <c r="X153" s="9">
        <v>0.53279359999999998</v>
      </c>
      <c r="Y153" s="9">
        <v>0.68186990000000003</v>
      </c>
      <c r="Z153" s="9">
        <v>0.71733049999999998</v>
      </c>
      <c r="AA153" s="9">
        <v>0.75097740000000002</v>
      </c>
      <c r="AB153" s="9">
        <v>1</v>
      </c>
    </row>
    <row r="154" spans="2:28" ht="0.5" customHeight="1">
      <c r="B154" s="9" t="s">
        <v>20</v>
      </c>
      <c r="C154" s="9" t="str">
        <f t="shared" si="58"/>
        <v>Latin America and the Caribbean45</v>
      </c>
      <c r="D154" s="392">
        <v>45</v>
      </c>
      <c r="E154" s="9">
        <v>0.26088149999999999</v>
      </c>
      <c r="F154" s="9">
        <v>0.47411750000000003</v>
      </c>
      <c r="G154" s="9">
        <v>0.80394480000000001</v>
      </c>
      <c r="H154" s="9">
        <v>0.87439630000000002</v>
      </c>
      <c r="I154" s="9">
        <v>0.92079279999999997</v>
      </c>
      <c r="J154" s="9">
        <v>1</v>
      </c>
      <c r="K154" s="9">
        <v>0.51040010000000002</v>
      </c>
      <c r="L154" s="9">
        <v>0.62167419999999995</v>
      </c>
      <c r="M154" s="9">
        <v>0.82947550000000003</v>
      </c>
      <c r="N154" s="9">
        <v>0.93477149999999998</v>
      </c>
      <c r="O154" s="9">
        <v>0.96503150000000004</v>
      </c>
      <c r="P154" s="9">
        <v>1</v>
      </c>
      <c r="Q154" s="9">
        <v>9.4094399999999995E-2</v>
      </c>
      <c r="R154" s="9">
        <v>0.22675210000000001</v>
      </c>
      <c r="S154" s="9">
        <v>0.44463829999999999</v>
      </c>
      <c r="T154" s="9">
        <v>0.46039029999999997</v>
      </c>
      <c r="U154" s="9">
        <v>0.48918919999999999</v>
      </c>
      <c r="V154" s="9">
        <v>1</v>
      </c>
      <c r="W154" s="9">
        <v>0.43794899999999998</v>
      </c>
      <c r="X154" s="9">
        <v>0.52887629999999997</v>
      </c>
      <c r="Y154" s="9">
        <v>0.67827479999999996</v>
      </c>
      <c r="Z154" s="9">
        <v>0.71402920000000003</v>
      </c>
      <c r="AA154" s="9">
        <v>0.74687250000000005</v>
      </c>
      <c r="AB154" s="9">
        <v>1</v>
      </c>
    </row>
    <row r="155" spans="2:28" ht="0.5" customHeight="1">
      <c r="B155" s="9" t="s">
        <v>20</v>
      </c>
      <c r="C155" s="9" t="str">
        <f t="shared" si="58"/>
        <v>Latin America and the Caribbean46</v>
      </c>
      <c r="D155" s="392">
        <v>46</v>
      </c>
      <c r="E155" s="9">
        <v>0.25876739999999998</v>
      </c>
      <c r="F155" s="9">
        <v>0.46871869999999999</v>
      </c>
      <c r="G155" s="9">
        <v>0.80064080000000004</v>
      </c>
      <c r="H155" s="9">
        <v>0.87152739999999995</v>
      </c>
      <c r="I155" s="9">
        <v>0.91813029999999995</v>
      </c>
      <c r="J155" s="9">
        <v>1</v>
      </c>
      <c r="K155" s="9">
        <v>0.50667269999999998</v>
      </c>
      <c r="L155" s="9">
        <v>0.61591240000000003</v>
      </c>
      <c r="M155" s="9">
        <v>0.82560160000000005</v>
      </c>
      <c r="N155" s="9">
        <v>0.93213469999999998</v>
      </c>
      <c r="O155" s="9">
        <v>0.96255089999999999</v>
      </c>
      <c r="P155" s="9">
        <v>1</v>
      </c>
      <c r="Q155" s="9">
        <v>9.2945E-2</v>
      </c>
      <c r="R155" s="9">
        <v>0.22252179999999999</v>
      </c>
      <c r="S155" s="9">
        <v>0.44125120000000001</v>
      </c>
      <c r="T155" s="9">
        <v>0.45709100000000003</v>
      </c>
      <c r="U155" s="9">
        <v>0.48500310000000002</v>
      </c>
      <c r="V155" s="9">
        <v>1</v>
      </c>
      <c r="W155" s="9">
        <v>0.43504189999999998</v>
      </c>
      <c r="X155" s="9">
        <v>0.5237309</v>
      </c>
      <c r="Y155" s="9">
        <v>0.6731859</v>
      </c>
      <c r="Z155" s="9">
        <v>0.70927410000000002</v>
      </c>
      <c r="AA155" s="9">
        <v>0.74140669999999997</v>
      </c>
      <c r="AB155" s="9">
        <v>1</v>
      </c>
    </row>
    <row r="156" spans="2:28" ht="0.5" customHeight="1">
      <c r="B156" s="9" t="s">
        <v>20</v>
      </c>
      <c r="C156" s="9" t="str">
        <f t="shared" si="58"/>
        <v>Latin America and the Caribbean47</v>
      </c>
      <c r="D156" s="392">
        <v>47</v>
      </c>
      <c r="E156" s="9">
        <v>0.25498310000000002</v>
      </c>
      <c r="F156" s="9">
        <v>0.4582463</v>
      </c>
      <c r="G156" s="9">
        <v>0.79443359999999996</v>
      </c>
      <c r="H156" s="9">
        <v>0.86604179999999997</v>
      </c>
      <c r="I156" s="9">
        <v>0.91294770000000003</v>
      </c>
      <c r="J156" s="9">
        <v>1</v>
      </c>
      <c r="K156" s="9">
        <v>0.4989809</v>
      </c>
      <c r="L156" s="9">
        <v>0.60459390000000002</v>
      </c>
      <c r="M156" s="9">
        <v>0.81720409999999999</v>
      </c>
      <c r="N156" s="9">
        <v>0.92569639999999997</v>
      </c>
      <c r="O156" s="9">
        <v>0.95708199999999999</v>
      </c>
      <c r="P156" s="9">
        <v>1</v>
      </c>
      <c r="Q156" s="9">
        <v>9.0314900000000004E-2</v>
      </c>
      <c r="R156" s="9">
        <v>0.21358949999999999</v>
      </c>
      <c r="S156" s="9">
        <v>0.43339040000000001</v>
      </c>
      <c r="T156" s="9">
        <v>0.44936150000000002</v>
      </c>
      <c r="U156" s="9">
        <v>0.47560079999999999</v>
      </c>
      <c r="V156" s="9">
        <v>1</v>
      </c>
      <c r="W156" s="9">
        <v>0.4282572</v>
      </c>
      <c r="X156" s="9">
        <v>0.51236590000000004</v>
      </c>
      <c r="Y156" s="9">
        <v>0.66158410000000001</v>
      </c>
      <c r="Z156" s="9">
        <v>0.69842959999999998</v>
      </c>
      <c r="AA156" s="9">
        <v>0.72865310000000005</v>
      </c>
      <c r="AB156" s="9">
        <v>1</v>
      </c>
    </row>
    <row r="157" spans="2:28" ht="0.5" customHeight="1">
      <c r="B157" s="9" t="s">
        <v>20</v>
      </c>
      <c r="C157" s="9" t="str">
        <f t="shared" si="58"/>
        <v>Latin America and the Caribbean48</v>
      </c>
      <c r="D157" s="392">
        <v>48</v>
      </c>
      <c r="E157" s="9">
        <v>0.25282110000000002</v>
      </c>
      <c r="F157" s="9">
        <v>0.45251079999999999</v>
      </c>
      <c r="G157" s="9">
        <v>0.79078660000000001</v>
      </c>
      <c r="H157" s="9">
        <v>0.86265979999999998</v>
      </c>
      <c r="I157" s="9">
        <v>0.90974319999999997</v>
      </c>
      <c r="J157" s="9">
        <v>1</v>
      </c>
      <c r="K157" s="9">
        <v>0.49506299999999998</v>
      </c>
      <c r="L157" s="9">
        <v>0.59954569999999996</v>
      </c>
      <c r="M157" s="9">
        <v>0.8131777</v>
      </c>
      <c r="N157" s="9">
        <v>0.92227219999999999</v>
      </c>
      <c r="O157" s="9">
        <v>0.95425420000000005</v>
      </c>
      <c r="P157" s="9">
        <v>1</v>
      </c>
      <c r="Q157" s="9">
        <v>8.8651099999999997E-2</v>
      </c>
      <c r="R157" s="9">
        <v>0.208537</v>
      </c>
      <c r="S157" s="9">
        <v>0.42852679999999999</v>
      </c>
      <c r="T157" s="9">
        <v>0.4445634</v>
      </c>
      <c r="U157" s="9">
        <v>0.46994190000000002</v>
      </c>
      <c r="V157" s="9">
        <v>1</v>
      </c>
      <c r="W157" s="9">
        <v>0.42395080000000002</v>
      </c>
      <c r="X157" s="9">
        <v>0.50593969999999999</v>
      </c>
      <c r="Y157" s="9">
        <v>0.65496759999999998</v>
      </c>
      <c r="Z157" s="9">
        <v>0.69224509999999995</v>
      </c>
      <c r="AA157" s="9">
        <v>0.72140130000000002</v>
      </c>
      <c r="AB157" s="9">
        <v>1</v>
      </c>
    </row>
    <row r="158" spans="2:28" ht="0.5" customHeight="1">
      <c r="B158" s="9" t="s">
        <v>20</v>
      </c>
      <c r="C158" s="9" t="str">
        <f t="shared" si="58"/>
        <v>Latin America and the Caribbean49</v>
      </c>
      <c r="D158" s="392">
        <v>49</v>
      </c>
      <c r="E158" s="9">
        <v>0.2472171</v>
      </c>
      <c r="F158" s="9">
        <v>0.43927119999999997</v>
      </c>
      <c r="G158" s="9">
        <v>0.78031790000000001</v>
      </c>
      <c r="H158" s="9">
        <v>0.85220720000000005</v>
      </c>
      <c r="I158" s="9">
        <v>0.89988599999999996</v>
      </c>
      <c r="J158" s="9">
        <v>1</v>
      </c>
      <c r="K158" s="9">
        <v>0.48422270000000001</v>
      </c>
      <c r="L158" s="9">
        <v>0.58582449999999997</v>
      </c>
      <c r="M158" s="9">
        <v>0.80167679999999997</v>
      </c>
      <c r="N158" s="9">
        <v>0.91174440000000001</v>
      </c>
      <c r="O158" s="9">
        <v>0.94501690000000005</v>
      </c>
      <c r="P158" s="9">
        <v>1</v>
      </c>
      <c r="Q158" s="9">
        <v>8.5087300000000005E-2</v>
      </c>
      <c r="R158" s="9">
        <v>0.19819200000000001</v>
      </c>
      <c r="S158" s="9">
        <v>0.41717270000000001</v>
      </c>
      <c r="T158" s="9">
        <v>0.4332377</v>
      </c>
      <c r="U158" s="9">
        <v>0.4567967</v>
      </c>
      <c r="V158" s="9">
        <v>1</v>
      </c>
      <c r="W158" s="9">
        <v>0.41332469999999999</v>
      </c>
      <c r="X158" s="9">
        <v>0.49077169999999998</v>
      </c>
      <c r="Y158" s="9">
        <v>0.63881650000000001</v>
      </c>
      <c r="Z158" s="9">
        <v>0.67693630000000005</v>
      </c>
      <c r="AA158" s="9">
        <v>0.70367979999999997</v>
      </c>
      <c r="AB158" s="9">
        <v>1</v>
      </c>
    </row>
    <row r="159" spans="2:28" ht="0.5" customHeight="1">
      <c r="B159" s="9" t="s">
        <v>20</v>
      </c>
      <c r="C159" s="9" t="str">
        <f t="shared" si="58"/>
        <v>Latin America and the Caribbean50</v>
      </c>
      <c r="D159" s="392">
        <v>50</v>
      </c>
      <c r="E159" s="9">
        <v>0.24417320000000001</v>
      </c>
      <c r="F159" s="9">
        <v>0.4322801</v>
      </c>
      <c r="G159" s="9">
        <v>0.77379609999999999</v>
      </c>
      <c r="H159" s="9">
        <v>0.84554600000000002</v>
      </c>
      <c r="I159" s="9">
        <v>0.89356259999999998</v>
      </c>
      <c r="J159" s="9">
        <v>1</v>
      </c>
      <c r="K159" s="9">
        <v>0.47795919999999997</v>
      </c>
      <c r="L159" s="9">
        <v>0.5782079</v>
      </c>
      <c r="M159" s="9">
        <v>0.79527429999999999</v>
      </c>
      <c r="N159" s="9">
        <v>0.90585260000000001</v>
      </c>
      <c r="O159" s="9">
        <v>0.93957950000000001</v>
      </c>
      <c r="P159" s="9">
        <v>1</v>
      </c>
      <c r="Q159" s="9">
        <v>8.3215999999999998E-2</v>
      </c>
      <c r="R159" s="9">
        <v>0.1928675</v>
      </c>
      <c r="S159" s="9">
        <v>0.41070600000000002</v>
      </c>
      <c r="T159" s="9">
        <v>0.42675760000000001</v>
      </c>
      <c r="U159" s="9">
        <v>0.4493935</v>
      </c>
      <c r="V159" s="9">
        <v>1</v>
      </c>
      <c r="W159" s="9">
        <v>0.40649000000000002</v>
      </c>
      <c r="X159" s="9">
        <v>0.4822475</v>
      </c>
      <c r="Y159" s="9">
        <v>0.62963380000000002</v>
      </c>
      <c r="Z159" s="9">
        <v>0.66812450000000001</v>
      </c>
      <c r="AA159" s="9">
        <v>0.69352250000000004</v>
      </c>
      <c r="AB159" s="9">
        <v>1</v>
      </c>
    </row>
    <row r="160" spans="2:28" ht="0.5" customHeight="1">
      <c r="B160" s="9" t="s">
        <v>20</v>
      </c>
      <c r="C160" s="9" t="str">
        <f t="shared" si="58"/>
        <v>Latin America and the Caribbean51</v>
      </c>
      <c r="D160" s="392">
        <v>51</v>
      </c>
      <c r="E160" s="9">
        <v>0.2412002</v>
      </c>
      <c r="F160" s="9">
        <v>0.42551860000000002</v>
      </c>
      <c r="G160" s="9">
        <v>0.76711839999999998</v>
      </c>
      <c r="H160" s="9">
        <v>0.83874439999999995</v>
      </c>
      <c r="I160" s="9">
        <v>0.88705679999999998</v>
      </c>
      <c r="J160" s="9">
        <v>1</v>
      </c>
      <c r="K160" s="9">
        <v>0.47126449999999998</v>
      </c>
      <c r="L160" s="9">
        <v>0.56998689999999996</v>
      </c>
      <c r="M160" s="9">
        <v>0.78843700000000005</v>
      </c>
      <c r="N160" s="9">
        <v>0.8996902</v>
      </c>
      <c r="O160" s="9">
        <v>0.9338573</v>
      </c>
      <c r="P160" s="9">
        <v>1</v>
      </c>
      <c r="Q160" s="9">
        <v>8.1210099999999993E-2</v>
      </c>
      <c r="R160" s="9">
        <v>0.1874267</v>
      </c>
      <c r="S160" s="9">
        <v>0.40385779999999999</v>
      </c>
      <c r="T160" s="9">
        <v>0.41985749999999999</v>
      </c>
      <c r="U160" s="9">
        <v>0.44158249999999999</v>
      </c>
      <c r="V160" s="9">
        <v>1</v>
      </c>
      <c r="W160" s="9">
        <v>0.3991575</v>
      </c>
      <c r="X160" s="9">
        <v>0.47307519999999997</v>
      </c>
      <c r="Y160" s="9">
        <v>0.61948239999999999</v>
      </c>
      <c r="Z160" s="9">
        <v>0.65832590000000002</v>
      </c>
      <c r="AA160" s="9">
        <v>0.68248560000000003</v>
      </c>
      <c r="AB160" s="9">
        <v>1</v>
      </c>
    </row>
    <row r="161" spans="2:28" ht="0.5" customHeight="1">
      <c r="B161" s="9" t="s">
        <v>20</v>
      </c>
      <c r="C161" s="9" t="str">
        <f t="shared" si="58"/>
        <v>Latin America and the Caribbean52</v>
      </c>
      <c r="D161" s="392">
        <v>52</v>
      </c>
      <c r="E161" s="9">
        <v>0.2358719</v>
      </c>
      <c r="F161" s="9">
        <v>0.41268569999999999</v>
      </c>
      <c r="G161" s="9">
        <v>0.75336380000000003</v>
      </c>
      <c r="H161" s="9">
        <v>0.82442249999999995</v>
      </c>
      <c r="I161" s="9">
        <v>0.87355439999999995</v>
      </c>
      <c r="J161" s="9">
        <v>1</v>
      </c>
      <c r="K161" s="9">
        <v>0.45577649999999997</v>
      </c>
      <c r="L161" s="9">
        <v>0.55163839999999997</v>
      </c>
      <c r="M161" s="9">
        <v>0.77171040000000002</v>
      </c>
      <c r="N161" s="9">
        <v>0.88475749999999997</v>
      </c>
      <c r="O161" s="9">
        <v>0.91965160000000001</v>
      </c>
      <c r="P161" s="9">
        <v>1</v>
      </c>
      <c r="Q161" s="9">
        <v>7.7033500000000005E-2</v>
      </c>
      <c r="R161" s="9">
        <v>0.17617630000000001</v>
      </c>
      <c r="S161" s="9">
        <v>0.38869530000000002</v>
      </c>
      <c r="T161" s="9">
        <v>0.40447850000000002</v>
      </c>
      <c r="U161" s="9">
        <v>0.42441210000000001</v>
      </c>
      <c r="V161" s="9">
        <v>1</v>
      </c>
      <c r="W161" s="9">
        <v>0.3834359</v>
      </c>
      <c r="X161" s="9">
        <v>0.45367160000000001</v>
      </c>
      <c r="Y161" s="9">
        <v>0.59724670000000002</v>
      </c>
      <c r="Z161" s="9">
        <v>0.6366832</v>
      </c>
      <c r="AA161" s="9">
        <v>0.65896969999999999</v>
      </c>
      <c r="AB161" s="9">
        <v>1</v>
      </c>
    </row>
    <row r="162" spans="2:28" ht="0.5" customHeight="1">
      <c r="B162" s="9" t="s">
        <v>20</v>
      </c>
      <c r="C162" s="9" t="str">
        <f t="shared" si="58"/>
        <v>Latin America and the Caribbean53</v>
      </c>
      <c r="D162" s="392">
        <v>53</v>
      </c>
      <c r="E162" s="9">
        <v>0.2326473</v>
      </c>
      <c r="F162" s="9">
        <v>0.4060646</v>
      </c>
      <c r="G162" s="9">
        <v>0.74580210000000002</v>
      </c>
      <c r="H162" s="9">
        <v>0.8165386</v>
      </c>
      <c r="I162" s="9">
        <v>0.86605480000000001</v>
      </c>
      <c r="J162" s="9">
        <v>1</v>
      </c>
      <c r="K162" s="9">
        <v>0.44750509999999999</v>
      </c>
      <c r="L162" s="9">
        <v>0.5415027</v>
      </c>
      <c r="M162" s="9">
        <v>0.76192470000000001</v>
      </c>
      <c r="N162" s="9">
        <v>0.87605949999999999</v>
      </c>
      <c r="O162" s="9">
        <v>0.91136090000000003</v>
      </c>
      <c r="P162" s="9">
        <v>1</v>
      </c>
      <c r="Q162" s="9">
        <v>7.5076500000000004E-2</v>
      </c>
      <c r="R162" s="9">
        <v>0.17045879999999999</v>
      </c>
      <c r="S162" s="9">
        <v>0.38048720000000003</v>
      </c>
      <c r="T162" s="9">
        <v>0.3961385</v>
      </c>
      <c r="U162" s="9">
        <v>0.4151765</v>
      </c>
      <c r="V162" s="9">
        <v>1</v>
      </c>
      <c r="W162" s="9">
        <v>0.37502469999999999</v>
      </c>
      <c r="X162" s="9">
        <v>0.44319839999999999</v>
      </c>
      <c r="Y162" s="9">
        <v>0.58518630000000005</v>
      </c>
      <c r="Z162" s="9">
        <v>0.62489059999999996</v>
      </c>
      <c r="AA162" s="9">
        <v>0.64643530000000005</v>
      </c>
      <c r="AB162" s="9">
        <v>1</v>
      </c>
    </row>
    <row r="163" spans="2:28" ht="0.5" customHeight="1">
      <c r="B163" s="9" t="s">
        <v>20</v>
      </c>
      <c r="C163" s="9" t="str">
        <f t="shared" si="58"/>
        <v>Latin America and the Caribbean54</v>
      </c>
      <c r="D163" s="392">
        <v>54</v>
      </c>
      <c r="E163" s="9">
        <v>0.2244815</v>
      </c>
      <c r="F163" s="9">
        <v>0.39254990000000001</v>
      </c>
      <c r="G163" s="9">
        <v>0.72964700000000005</v>
      </c>
      <c r="H163" s="9">
        <v>0.79984120000000003</v>
      </c>
      <c r="I163" s="9">
        <v>0.84956690000000001</v>
      </c>
      <c r="J163" s="9">
        <v>1</v>
      </c>
      <c r="K163" s="9">
        <v>0.43447459999999999</v>
      </c>
      <c r="L163" s="9">
        <v>0.52522259999999998</v>
      </c>
      <c r="M163" s="9">
        <v>0.74575899999999995</v>
      </c>
      <c r="N163" s="9">
        <v>0.86241199999999996</v>
      </c>
      <c r="O163" s="9">
        <v>0.89779109999999995</v>
      </c>
      <c r="P163" s="9">
        <v>1</v>
      </c>
      <c r="Q163" s="9">
        <v>7.0960499999999996E-2</v>
      </c>
      <c r="R163" s="9">
        <v>0.1583581</v>
      </c>
      <c r="S163" s="9">
        <v>0.36249350000000002</v>
      </c>
      <c r="T163" s="9">
        <v>0.3777085</v>
      </c>
      <c r="U163" s="9">
        <v>0.39483570000000001</v>
      </c>
      <c r="V163" s="9">
        <v>1</v>
      </c>
      <c r="W163" s="9">
        <v>0.35744540000000002</v>
      </c>
      <c r="X163" s="9">
        <v>0.4216529</v>
      </c>
      <c r="Y163" s="9">
        <v>0.55815760000000003</v>
      </c>
      <c r="Z163" s="9">
        <v>0.59854419999999997</v>
      </c>
      <c r="AA163" s="9">
        <v>0.61856599999999995</v>
      </c>
      <c r="AB163" s="9">
        <v>1</v>
      </c>
    </row>
    <row r="164" spans="2:28" ht="0.5" customHeight="1">
      <c r="B164" s="9" t="s">
        <v>20</v>
      </c>
      <c r="C164" s="9" t="str">
        <f t="shared" si="58"/>
        <v>Latin America and the Caribbean55</v>
      </c>
      <c r="D164" s="392">
        <v>55</v>
      </c>
      <c r="E164" s="9">
        <v>0.21917900000000001</v>
      </c>
      <c r="F164" s="9">
        <v>0.3849514</v>
      </c>
      <c r="G164" s="9">
        <v>0.72088459999999999</v>
      </c>
      <c r="H164" s="9">
        <v>0.79084239999999995</v>
      </c>
      <c r="I164" s="9">
        <v>0.84007719999999997</v>
      </c>
      <c r="J164" s="9">
        <v>1</v>
      </c>
      <c r="K164" s="9">
        <v>0.4321702</v>
      </c>
      <c r="L164" s="9">
        <v>0.52023509999999995</v>
      </c>
      <c r="M164" s="9">
        <v>0.74030669999999998</v>
      </c>
      <c r="N164" s="9">
        <v>0.85865619999999998</v>
      </c>
      <c r="O164" s="9">
        <v>0.89363009999999998</v>
      </c>
      <c r="P164" s="9">
        <v>1</v>
      </c>
      <c r="Q164" s="9">
        <v>6.8344500000000002E-2</v>
      </c>
      <c r="R164" s="9">
        <v>0.15140809999999999</v>
      </c>
      <c r="S164" s="9">
        <v>0.35165269999999998</v>
      </c>
      <c r="T164" s="9">
        <v>0.36645280000000002</v>
      </c>
      <c r="U164" s="9">
        <v>0.38241259999999999</v>
      </c>
      <c r="V164" s="9">
        <v>1</v>
      </c>
      <c r="W164" s="9">
        <v>0.34771940000000001</v>
      </c>
      <c r="X164" s="9">
        <v>0.40959950000000001</v>
      </c>
      <c r="Y164" s="9">
        <v>0.54127499999999995</v>
      </c>
      <c r="Z164" s="9">
        <v>0.58190140000000001</v>
      </c>
      <c r="AA164" s="9">
        <v>0.60169269999999997</v>
      </c>
      <c r="AB164" s="9">
        <v>1</v>
      </c>
    </row>
    <row r="165" spans="2:28" ht="0.5" customHeight="1">
      <c r="B165" s="9" t="s">
        <v>36</v>
      </c>
      <c r="C165" s="9" t="str">
        <f t="shared" si="58"/>
        <v>Argentina20</v>
      </c>
      <c r="D165" s="9">
        <v>20</v>
      </c>
      <c r="E165" s="36">
        <v>0.13289970000000001</v>
      </c>
      <c r="F165" s="36">
        <v>0.44754529999999998</v>
      </c>
      <c r="G165" s="36">
        <v>0.52636099999999997</v>
      </c>
      <c r="H165" s="36">
        <v>0.52962629999999999</v>
      </c>
      <c r="I165" s="36">
        <v>0.7012389</v>
      </c>
      <c r="J165" s="393">
        <v>1</v>
      </c>
      <c r="K165" s="36">
        <v>0.129964</v>
      </c>
      <c r="L165" s="36">
        <v>0.28804960000000002</v>
      </c>
      <c r="M165" s="36">
        <v>0.31962859999999998</v>
      </c>
      <c r="N165" s="36">
        <v>0.32306750000000001</v>
      </c>
      <c r="O165" s="36">
        <v>0.43569910000000001</v>
      </c>
      <c r="P165" s="393">
        <v>1</v>
      </c>
      <c r="Q165" s="36">
        <v>3.9522300000000003E-2</v>
      </c>
      <c r="R165" s="36">
        <v>0.22753090000000001</v>
      </c>
      <c r="S165" s="36">
        <v>0.24920519999999999</v>
      </c>
      <c r="T165" s="36">
        <v>0.25022179999999999</v>
      </c>
      <c r="U165" s="36">
        <v>0.37138500000000002</v>
      </c>
      <c r="V165" s="393">
        <v>1</v>
      </c>
      <c r="W165" s="36">
        <v>8.1207500000000002E-2</v>
      </c>
      <c r="X165" s="36">
        <v>0.2045767</v>
      </c>
      <c r="Y165" s="36">
        <v>0.2195443</v>
      </c>
      <c r="Z165" s="36">
        <v>0.22079309999999999</v>
      </c>
      <c r="AA165" s="36">
        <v>0.3292273</v>
      </c>
      <c r="AB165" s="393">
        <v>1</v>
      </c>
    </row>
    <row r="166" spans="2:28" ht="0.5" customHeight="1">
      <c r="B166" s="9" t="s">
        <v>36</v>
      </c>
      <c r="C166" s="9" t="str">
        <f t="shared" si="58"/>
        <v>Argentina21</v>
      </c>
      <c r="D166" s="9">
        <v>21</v>
      </c>
      <c r="E166" s="36">
        <v>0.1659785</v>
      </c>
      <c r="F166" s="36">
        <v>0.491508</v>
      </c>
      <c r="G166" s="36">
        <v>0.57874110000000001</v>
      </c>
      <c r="H166" s="36">
        <v>0.58278770000000002</v>
      </c>
      <c r="I166" s="36">
        <v>0.75025679999999995</v>
      </c>
      <c r="J166" s="393">
        <v>1</v>
      </c>
      <c r="K166" s="36">
        <v>0.17318059999999999</v>
      </c>
      <c r="L166" s="36">
        <v>0.34019050000000001</v>
      </c>
      <c r="M166" s="36">
        <v>0.3779923</v>
      </c>
      <c r="N166" s="36">
        <v>0.38258140000000002</v>
      </c>
      <c r="O166" s="36">
        <v>0.49346820000000002</v>
      </c>
      <c r="P166" s="393">
        <v>1</v>
      </c>
      <c r="Q166" s="36">
        <v>4.8081400000000003E-2</v>
      </c>
      <c r="R166" s="36">
        <v>0.2446999</v>
      </c>
      <c r="S166" s="36">
        <v>0.2694204</v>
      </c>
      <c r="T166" s="36">
        <v>0.27061730000000001</v>
      </c>
      <c r="U166" s="36">
        <v>0.3890286</v>
      </c>
      <c r="V166" s="393">
        <v>1</v>
      </c>
      <c r="W166" s="36">
        <v>0.10847279999999999</v>
      </c>
      <c r="X166" s="36">
        <v>0.2447925</v>
      </c>
      <c r="Y166" s="36">
        <v>0.26364080000000001</v>
      </c>
      <c r="Z166" s="36">
        <v>0.2655285</v>
      </c>
      <c r="AA166" s="36">
        <v>0.37492500000000001</v>
      </c>
      <c r="AB166" s="393">
        <v>1</v>
      </c>
    </row>
    <row r="167" spans="2:28" ht="0.5" customHeight="1">
      <c r="B167" s="9" t="s">
        <v>36</v>
      </c>
      <c r="C167" s="9" t="str">
        <f t="shared" si="58"/>
        <v>Argentina22</v>
      </c>
      <c r="D167" s="9">
        <v>22</v>
      </c>
      <c r="E167" s="36">
        <v>0.22478609999999999</v>
      </c>
      <c r="F167" s="36">
        <v>0.56650509999999998</v>
      </c>
      <c r="G167" s="36">
        <v>0.66944090000000001</v>
      </c>
      <c r="H167" s="36">
        <v>0.67556749999999999</v>
      </c>
      <c r="I167" s="36">
        <v>0.82992100000000002</v>
      </c>
      <c r="J167" s="393">
        <v>1</v>
      </c>
      <c r="K167" s="36">
        <v>0.25746580000000002</v>
      </c>
      <c r="L167" s="36">
        <v>0.43778499999999998</v>
      </c>
      <c r="M167" s="36">
        <v>0.48847499999999999</v>
      </c>
      <c r="N167" s="36">
        <v>0.49640060000000003</v>
      </c>
      <c r="O167" s="36">
        <v>0.60134540000000003</v>
      </c>
      <c r="P167" s="393">
        <v>1</v>
      </c>
      <c r="Q167" s="36">
        <v>6.2359100000000001E-2</v>
      </c>
      <c r="R167" s="36">
        <v>0.27099990000000002</v>
      </c>
      <c r="S167" s="36">
        <v>0.3014888</v>
      </c>
      <c r="T167" s="36">
        <v>0.30292960000000002</v>
      </c>
      <c r="U167" s="36">
        <v>0.41222550000000002</v>
      </c>
      <c r="V167" s="393">
        <v>1</v>
      </c>
      <c r="W167" s="36">
        <v>0.16585720000000001</v>
      </c>
      <c r="X167" s="36">
        <v>0.32504040000000001</v>
      </c>
      <c r="Y167" s="36">
        <v>0.35230810000000001</v>
      </c>
      <c r="Z167" s="36">
        <v>0.35562090000000002</v>
      </c>
      <c r="AA167" s="36">
        <v>0.46334760000000003</v>
      </c>
      <c r="AB167" s="393">
        <v>1</v>
      </c>
    </row>
    <row r="168" spans="2:28" ht="0.5" customHeight="1">
      <c r="B168" s="9" t="s">
        <v>36</v>
      </c>
      <c r="C168" s="9" t="str">
        <f t="shared" si="58"/>
        <v>Argentina23</v>
      </c>
      <c r="D168" s="9">
        <v>23</v>
      </c>
      <c r="E168" s="36">
        <v>0.24972150000000001</v>
      </c>
      <c r="F168" s="36">
        <v>0.59464700000000004</v>
      </c>
      <c r="G168" s="36">
        <v>0.70522130000000005</v>
      </c>
      <c r="H168" s="36">
        <v>0.71242479999999997</v>
      </c>
      <c r="I168" s="36">
        <v>0.85940609999999995</v>
      </c>
      <c r="J168" s="393">
        <v>1</v>
      </c>
      <c r="K168" s="36">
        <v>0.29730970000000001</v>
      </c>
      <c r="L168" s="36">
        <v>0.48234939999999998</v>
      </c>
      <c r="M168" s="36">
        <v>0.53994109999999995</v>
      </c>
      <c r="N168" s="36">
        <v>0.54983510000000002</v>
      </c>
      <c r="O168" s="36">
        <v>0.65111620000000003</v>
      </c>
      <c r="P168" s="393">
        <v>1</v>
      </c>
      <c r="Q168" s="36">
        <v>6.8494200000000005E-2</v>
      </c>
      <c r="R168" s="36">
        <v>0.28112120000000002</v>
      </c>
      <c r="S168" s="36">
        <v>0.31422050000000001</v>
      </c>
      <c r="T168" s="36">
        <v>0.31573760000000001</v>
      </c>
      <c r="U168" s="36">
        <v>0.4198171</v>
      </c>
      <c r="V168" s="393">
        <v>1</v>
      </c>
      <c r="W168" s="36">
        <v>0.1953693</v>
      </c>
      <c r="X168" s="36">
        <v>0.36271910000000002</v>
      </c>
      <c r="Y168" s="36">
        <v>0.3945921</v>
      </c>
      <c r="Z168" s="36">
        <v>0.39872800000000003</v>
      </c>
      <c r="AA168" s="36">
        <v>0.50430830000000004</v>
      </c>
      <c r="AB168" s="393">
        <v>1</v>
      </c>
    </row>
    <row r="169" spans="2:28" ht="0.5" customHeight="1">
      <c r="B169" s="9" t="s">
        <v>36</v>
      </c>
      <c r="C169" s="9" t="str">
        <f t="shared" si="58"/>
        <v>Argentina24</v>
      </c>
      <c r="D169" s="9">
        <v>24</v>
      </c>
      <c r="E169" s="36">
        <v>0.2930912</v>
      </c>
      <c r="F169" s="36">
        <v>0.63078670000000003</v>
      </c>
      <c r="G169" s="36">
        <v>0.75630779999999997</v>
      </c>
      <c r="H169" s="36">
        <v>0.76586650000000001</v>
      </c>
      <c r="I169" s="36">
        <v>0.89753769999999999</v>
      </c>
      <c r="J169" s="393">
        <v>1</v>
      </c>
      <c r="K169" s="36">
        <v>0.37299880000000002</v>
      </c>
      <c r="L169" s="36">
        <v>0.56357259999999998</v>
      </c>
      <c r="M169" s="36">
        <v>0.63575150000000002</v>
      </c>
      <c r="N169" s="36">
        <v>0.65011799999999997</v>
      </c>
      <c r="O169" s="36">
        <v>0.74267720000000004</v>
      </c>
      <c r="P169" s="393">
        <v>1</v>
      </c>
      <c r="Q169" s="36">
        <v>7.9516500000000004E-2</v>
      </c>
      <c r="R169" s="36">
        <v>0.2970545</v>
      </c>
      <c r="S169" s="36">
        <v>0.33535589999999998</v>
      </c>
      <c r="T169" s="36">
        <v>0.33701890000000001</v>
      </c>
      <c r="U169" s="36">
        <v>0.43037609999999998</v>
      </c>
      <c r="V169" s="393">
        <v>1</v>
      </c>
      <c r="W169" s="36">
        <v>0.25770599999999999</v>
      </c>
      <c r="X169" s="36">
        <v>0.43268800000000002</v>
      </c>
      <c r="Y169" s="36">
        <v>0.47426269999999998</v>
      </c>
      <c r="Z169" s="36">
        <v>0.4802264</v>
      </c>
      <c r="AA169" s="36">
        <v>0.57969870000000001</v>
      </c>
      <c r="AB169" s="393">
        <v>1</v>
      </c>
    </row>
    <row r="170" spans="2:28" ht="0.5" customHeight="1">
      <c r="B170" s="9" t="s">
        <v>36</v>
      </c>
      <c r="C170" s="9" t="str">
        <f t="shared" si="58"/>
        <v>Argentina25</v>
      </c>
      <c r="D170" s="9">
        <v>25</v>
      </c>
      <c r="E170" s="36">
        <v>0.31095650000000002</v>
      </c>
      <c r="F170" s="36">
        <v>0.64126459999999996</v>
      </c>
      <c r="G170" s="36">
        <v>0.77372830000000004</v>
      </c>
      <c r="H170" s="36">
        <v>0.78460779999999997</v>
      </c>
      <c r="I170" s="36">
        <v>0.90913869999999997</v>
      </c>
      <c r="J170" s="393">
        <v>1</v>
      </c>
      <c r="K170" s="36">
        <v>0.4094042</v>
      </c>
      <c r="L170" s="36">
        <v>0.59893260000000004</v>
      </c>
      <c r="M170" s="36">
        <v>0.6789482</v>
      </c>
      <c r="N170" s="36">
        <v>0.69588419999999995</v>
      </c>
      <c r="O170" s="36">
        <v>0.78348720000000005</v>
      </c>
      <c r="P170" s="393">
        <v>1</v>
      </c>
      <c r="Q170" s="36">
        <v>8.3769399999999994E-2</v>
      </c>
      <c r="R170" s="36">
        <v>0.3018961</v>
      </c>
      <c r="S170" s="36">
        <v>0.34321239999999997</v>
      </c>
      <c r="T170" s="36">
        <v>0.34497339999999999</v>
      </c>
      <c r="U170" s="36">
        <v>0.43365320000000002</v>
      </c>
      <c r="V170" s="393">
        <v>1</v>
      </c>
      <c r="W170" s="36">
        <v>0.28887740000000001</v>
      </c>
      <c r="X170" s="36">
        <v>0.46314280000000002</v>
      </c>
      <c r="Y170" s="36">
        <v>0.50960589999999995</v>
      </c>
      <c r="Z170" s="36">
        <v>0.51648479999999997</v>
      </c>
      <c r="AA170" s="36">
        <v>0.61176900000000001</v>
      </c>
      <c r="AB170" s="393">
        <v>1</v>
      </c>
    </row>
    <row r="171" spans="2:28" ht="0.5" customHeight="1">
      <c r="B171" s="9" t="s">
        <v>36</v>
      </c>
      <c r="C171" s="9" t="str">
        <f t="shared" si="58"/>
        <v>Argentina26</v>
      </c>
      <c r="D171" s="9">
        <v>26</v>
      </c>
      <c r="E171" s="36">
        <v>0.32681460000000001</v>
      </c>
      <c r="F171" s="36">
        <v>0.64818620000000005</v>
      </c>
      <c r="G171" s="36">
        <v>0.78802749999999999</v>
      </c>
      <c r="H171" s="36">
        <v>0.80026079999999999</v>
      </c>
      <c r="I171" s="36">
        <v>0.91826200000000002</v>
      </c>
      <c r="J171" s="393">
        <v>1</v>
      </c>
      <c r="K171" s="36">
        <v>0.44437559999999998</v>
      </c>
      <c r="L171" s="36">
        <v>0.63077059999999996</v>
      </c>
      <c r="M171" s="36">
        <v>0.71865270000000003</v>
      </c>
      <c r="N171" s="36">
        <v>0.73831670000000005</v>
      </c>
      <c r="O171" s="36">
        <v>0.82087619999999994</v>
      </c>
      <c r="P171" s="393">
        <v>1</v>
      </c>
      <c r="Q171" s="36">
        <v>8.7315599999999993E-2</v>
      </c>
      <c r="R171" s="36">
        <v>0.30512590000000001</v>
      </c>
      <c r="S171" s="36">
        <v>0.34950759999999997</v>
      </c>
      <c r="T171" s="36">
        <v>0.35140080000000001</v>
      </c>
      <c r="U171" s="36">
        <v>0.43601770000000001</v>
      </c>
      <c r="V171" s="393">
        <v>1</v>
      </c>
      <c r="W171" s="36">
        <v>0.31637029999999999</v>
      </c>
      <c r="X171" s="36">
        <v>0.48921490000000001</v>
      </c>
      <c r="Y171" s="36">
        <v>0.54048439999999998</v>
      </c>
      <c r="Z171" s="36">
        <v>0.5482958</v>
      </c>
      <c r="AA171" s="36">
        <v>0.63913169999999997</v>
      </c>
      <c r="AB171" s="393">
        <v>1</v>
      </c>
    </row>
    <row r="172" spans="2:28" ht="0.5" customHeight="1">
      <c r="B172" s="9" t="s">
        <v>36</v>
      </c>
      <c r="C172" s="9" t="str">
        <f t="shared" si="58"/>
        <v>Argentina27</v>
      </c>
      <c r="D172" s="9">
        <v>27</v>
      </c>
      <c r="E172" s="36">
        <v>0.34897280000000003</v>
      </c>
      <c r="F172" s="36">
        <v>0.65440509999999996</v>
      </c>
      <c r="G172" s="36">
        <v>0.80867080000000002</v>
      </c>
      <c r="H172" s="36">
        <v>0.82356810000000003</v>
      </c>
      <c r="I172" s="36">
        <v>0.93008449999999998</v>
      </c>
      <c r="J172" s="393">
        <v>1</v>
      </c>
      <c r="K172" s="36">
        <v>0.50309380000000004</v>
      </c>
      <c r="L172" s="36">
        <v>0.67801120000000004</v>
      </c>
      <c r="M172" s="36">
        <v>0.78167949999999997</v>
      </c>
      <c r="N172" s="36">
        <v>0.80690569999999995</v>
      </c>
      <c r="O172" s="36">
        <v>0.87915620000000005</v>
      </c>
      <c r="P172" s="393">
        <v>1</v>
      </c>
      <c r="Q172" s="36">
        <v>9.2708100000000002E-2</v>
      </c>
      <c r="R172" s="36">
        <v>0.30845260000000002</v>
      </c>
      <c r="S172" s="36">
        <v>0.35868359999999999</v>
      </c>
      <c r="T172" s="36">
        <v>0.36092049999999998</v>
      </c>
      <c r="U172" s="36">
        <v>0.43943290000000002</v>
      </c>
      <c r="V172" s="393">
        <v>1</v>
      </c>
      <c r="W172" s="36">
        <v>0.36199520000000002</v>
      </c>
      <c r="X172" s="36">
        <v>0.52730449999999995</v>
      </c>
      <c r="Y172" s="36">
        <v>0.58741410000000005</v>
      </c>
      <c r="Z172" s="36">
        <v>0.59733159999999996</v>
      </c>
      <c r="AA172" s="36">
        <v>0.67879560000000005</v>
      </c>
      <c r="AB172" s="393">
        <v>1</v>
      </c>
    </row>
    <row r="173" spans="2:28" ht="0.5" customHeight="1">
      <c r="B173" s="9" t="s">
        <v>36</v>
      </c>
      <c r="C173" s="9" t="str">
        <f t="shared" si="58"/>
        <v>Argentina28</v>
      </c>
      <c r="D173" s="9">
        <v>28</v>
      </c>
      <c r="E173" s="36">
        <v>0.35675099999999998</v>
      </c>
      <c r="F173" s="36">
        <v>0.65433819999999998</v>
      </c>
      <c r="G173" s="36">
        <v>0.81529510000000005</v>
      </c>
      <c r="H173" s="36">
        <v>0.83159139999999998</v>
      </c>
      <c r="I173" s="36">
        <v>0.93317939999999999</v>
      </c>
      <c r="J173" s="393">
        <v>1</v>
      </c>
      <c r="K173" s="36">
        <v>0.52546360000000003</v>
      </c>
      <c r="L173" s="36">
        <v>0.69413210000000003</v>
      </c>
      <c r="M173" s="36">
        <v>0.80524589999999996</v>
      </c>
      <c r="N173" s="36">
        <v>0.83347340000000003</v>
      </c>
      <c r="O173" s="36">
        <v>0.9006864</v>
      </c>
      <c r="P173" s="393">
        <v>1</v>
      </c>
      <c r="Q173" s="36">
        <v>9.5058799999999999E-2</v>
      </c>
      <c r="R173" s="36">
        <v>0.30988890000000002</v>
      </c>
      <c r="S173" s="36">
        <v>0.36306119999999997</v>
      </c>
      <c r="T173" s="36">
        <v>0.36550250000000001</v>
      </c>
      <c r="U173" s="36">
        <v>0.44159229999999999</v>
      </c>
      <c r="V173" s="393">
        <v>1</v>
      </c>
      <c r="W173" s="36">
        <v>0.37926260000000001</v>
      </c>
      <c r="X173" s="36">
        <v>0.53968729999999998</v>
      </c>
      <c r="Y173" s="36">
        <v>0.60374209999999995</v>
      </c>
      <c r="Z173" s="36">
        <v>0.61479530000000004</v>
      </c>
      <c r="AA173" s="36">
        <v>0.69183410000000001</v>
      </c>
      <c r="AB173" s="393">
        <v>1</v>
      </c>
    </row>
    <row r="174" spans="2:28" ht="0.5" customHeight="1">
      <c r="B174" s="9" t="s">
        <v>36</v>
      </c>
      <c r="C174" s="9" t="str">
        <f t="shared" si="58"/>
        <v>Argentina29</v>
      </c>
      <c r="D174" s="9">
        <v>29</v>
      </c>
      <c r="E174" s="36">
        <v>0.37483559999999999</v>
      </c>
      <c r="F174" s="36">
        <v>0.65545030000000004</v>
      </c>
      <c r="G174" s="36">
        <v>0.82938599999999996</v>
      </c>
      <c r="H174" s="36">
        <v>0.84806879999999996</v>
      </c>
      <c r="I174" s="36">
        <v>0.94049479999999996</v>
      </c>
      <c r="J174" s="393">
        <v>1</v>
      </c>
      <c r="K174" s="36">
        <v>0.55464760000000002</v>
      </c>
      <c r="L174" s="36">
        <v>0.71201239999999999</v>
      </c>
      <c r="M174" s="36">
        <v>0.83610850000000003</v>
      </c>
      <c r="N174" s="36">
        <v>0.87055930000000004</v>
      </c>
      <c r="O174" s="36">
        <v>0.92907379999999995</v>
      </c>
      <c r="P174" s="393">
        <v>1</v>
      </c>
      <c r="Q174" s="36">
        <v>9.9016300000000002E-2</v>
      </c>
      <c r="R174" s="36">
        <v>0.31228149999999999</v>
      </c>
      <c r="S174" s="36">
        <v>0.37186530000000001</v>
      </c>
      <c r="T174" s="36">
        <v>0.37484139999999999</v>
      </c>
      <c r="U174" s="36">
        <v>0.4463879</v>
      </c>
      <c r="V174" s="393">
        <v>1</v>
      </c>
      <c r="W174" s="36">
        <v>0.40541579999999999</v>
      </c>
      <c r="X174" s="36">
        <v>0.55427099999999996</v>
      </c>
      <c r="Y174" s="36">
        <v>0.62523340000000005</v>
      </c>
      <c r="Z174" s="36">
        <v>0.63869120000000001</v>
      </c>
      <c r="AA174" s="36">
        <v>0.70760590000000001</v>
      </c>
      <c r="AB174" s="393">
        <v>1</v>
      </c>
    </row>
    <row r="175" spans="2:28" ht="0.5" customHeight="1">
      <c r="B175" s="9" t="s">
        <v>36</v>
      </c>
      <c r="C175" s="9" t="str">
        <f t="shared" si="58"/>
        <v>Argentina30</v>
      </c>
      <c r="D175" s="9">
        <v>30</v>
      </c>
      <c r="E175" s="36">
        <v>0.38393880000000002</v>
      </c>
      <c r="F175" s="36">
        <v>0.65507329999999997</v>
      </c>
      <c r="G175" s="36">
        <v>0.83523800000000004</v>
      </c>
      <c r="H175" s="36">
        <v>0.85483439999999999</v>
      </c>
      <c r="I175" s="36">
        <v>0.94357760000000002</v>
      </c>
      <c r="J175" s="393">
        <v>1</v>
      </c>
      <c r="K175" s="36">
        <v>0.56610689999999997</v>
      </c>
      <c r="L175" s="36">
        <v>0.71675469999999997</v>
      </c>
      <c r="M175" s="36">
        <v>0.84602390000000005</v>
      </c>
      <c r="N175" s="36">
        <v>0.88382419999999995</v>
      </c>
      <c r="O175" s="36">
        <v>0.93866720000000003</v>
      </c>
      <c r="P175" s="393">
        <v>1</v>
      </c>
      <c r="Q175" s="36">
        <v>0.1009837</v>
      </c>
      <c r="R175" s="36">
        <v>0.31403360000000002</v>
      </c>
      <c r="S175" s="36">
        <v>0.37689139999999999</v>
      </c>
      <c r="T175" s="36">
        <v>0.38016450000000002</v>
      </c>
      <c r="U175" s="36">
        <v>0.44926709999999997</v>
      </c>
      <c r="V175" s="393">
        <v>1</v>
      </c>
      <c r="W175" s="36">
        <v>0.41428470000000001</v>
      </c>
      <c r="X175" s="36">
        <v>0.55812070000000003</v>
      </c>
      <c r="Y175" s="36">
        <v>0.63205160000000005</v>
      </c>
      <c r="Z175" s="36">
        <v>0.64666069999999998</v>
      </c>
      <c r="AA175" s="36">
        <v>0.71188370000000001</v>
      </c>
      <c r="AB175" s="393">
        <v>1</v>
      </c>
    </row>
    <row r="176" spans="2:28" ht="0.5" customHeight="1">
      <c r="B176" s="9" t="s">
        <v>36</v>
      </c>
      <c r="C176" s="9" t="str">
        <f t="shared" si="58"/>
        <v>Argentina31</v>
      </c>
      <c r="D176" s="9">
        <v>31</v>
      </c>
      <c r="E176" s="36">
        <v>0.39259369999999999</v>
      </c>
      <c r="F176" s="36">
        <v>0.65469659999999996</v>
      </c>
      <c r="G176" s="36">
        <v>0.8410552</v>
      </c>
      <c r="H176" s="36">
        <v>0.86125810000000003</v>
      </c>
      <c r="I176" s="36">
        <v>0.94656180000000001</v>
      </c>
      <c r="J176" s="393">
        <v>1</v>
      </c>
      <c r="K176" s="36">
        <v>0.57584789999999997</v>
      </c>
      <c r="L176" s="36">
        <v>0.71917969999999998</v>
      </c>
      <c r="M176" s="36">
        <v>0.85309539999999995</v>
      </c>
      <c r="N176" s="36">
        <v>0.89427710000000005</v>
      </c>
      <c r="O176" s="36">
        <v>0.94576899999999997</v>
      </c>
      <c r="P176" s="393">
        <v>1</v>
      </c>
      <c r="Q176" s="36">
        <v>0.103323</v>
      </c>
      <c r="R176" s="36">
        <v>0.31607629999999998</v>
      </c>
      <c r="S176" s="36">
        <v>0.38211319999999999</v>
      </c>
      <c r="T176" s="36">
        <v>0.38567590000000002</v>
      </c>
      <c r="U176" s="36">
        <v>0.45232040000000001</v>
      </c>
      <c r="V176" s="393">
        <v>1</v>
      </c>
      <c r="W176" s="36">
        <v>0.42175099999999999</v>
      </c>
      <c r="X176" s="36">
        <v>0.56037400000000004</v>
      </c>
      <c r="Y176" s="36">
        <v>0.63717760000000001</v>
      </c>
      <c r="Z176" s="36">
        <v>0.65288840000000004</v>
      </c>
      <c r="AA176" s="36">
        <v>0.71468509999999996</v>
      </c>
      <c r="AB176" s="393">
        <v>1</v>
      </c>
    </row>
    <row r="177" spans="2:28" ht="0.5" customHeight="1">
      <c r="B177" s="9" t="s">
        <v>36</v>
      </c>
      <c r="C177" s="9" t="str">
        <f t="shared" si="58"/>
        <v>Argentina32</v>
      </c>
      <c r="D177" s="9">
        <v>32</v>
      </c>
      <c r="E177" s="36">
        <v>0.4031304</v>
      </c>
      <c r="F177" s="36">
        <v>0.64822539999999995</v>
      </c>
      <c r="G177" s="36">
        <v>0.84589230000000004</v>
      </c>
      <c r="H177" s="36">
        <v>0.86731950000000002</v>
      </c>
      <c r="I177" s="36">
        <v>0.94829960000000002</v>
      </c>
      <c r="J177" s="393">
        <v>1</v>
      </c>
      <c r="K177" s="36">
        <v>0.59468460000000001</v>
      </c>
      <c r="L177" s="36">
        <v>0.72543219999999997</v>
      </c>
      <c r="M177" s="36">
        <v>0.8681721</v>
      </c>
      <c r="N177" s="36">
        <v>0.91609779999999996</v>
      </c>
      <c r="O177" s="36">
        <v>0.96244790000000002</v>
      </c>
      <c r="P177" s="393">
        <v>1</v>
      </c>
      <c r="Q177" s="36">
        <v>0.1094653</v>
      </c>
      <c r="R177" s="36">
        <v>0.32234309999999999</v>
      </c>
      <c r="S177" s="36">
        <v>0.39407219999999998</v>
      </c>
      <c r="T177" s="36">
        <v>0.39819650000000001</v>
      </c>
      <c r="U177" s="36">
        <v>0.46112690000000001</v>
      </c>
      <c r="V177" s="393">
        <v>1</v>
      </c>
      <c r="W177" s="36">
        <v>0.43772060000000002</v>
      </c>
      <c r="X177" s="36">
        <v>0.56520060000000005</v>
      </c>
      <c r="Y177" s="36">
        <v>0.64753470000000002</v>
      </c>
      <c r="Z177" s="36">
        <v>0.66525599999999996</v>
      </c>
      <c r="AA177" s="36">
        <v>0.72136520000000004</v>
      </c>
      <c r="AB177" s="393">
        <v>1</v>
      </c>
    </row>
    <row r="178" spans="2:28" ht="0.5" customHeight="1">
      <c r="B178" s="9" t="s">
        <v>36</v>
      </c>
      <c r="C178" s="9" t="str">
        <f t="shared" si="58"/>
        <v>Argentina33</v>
      </c>
      <c r="D178" s="9">
        <v>33</v>
      </c>
      <c r="E178" s="36">
        <v>0.40728370000000003</v>
      </c>
      <c r="F178" s="36">
        <v>0.64385440000000005</v>
      </c>
      <c r="G178" s="36">
        <v>0.84657269999999996</v>
      </c>
      <c r="H178" s="36">
        <v>0.86854260000000005</v>
      </c>
      <c r="I178" s="36">
        <v>0.94772060000000002</v>
      </c>
      <c r="J178" s="393">
        <v>1</v>
      </c>
      <c r="K178" s="36">
        <v>0.59956379999999998</v>
      </c>
      <c r="L178" s="36">
        <v>0.72503439999999997</v>
      </c>
      <c r="M178" s="36">
        <v>0.87221329999999997</v>
      </c>
      <c r="N178" s="36">
        <v>0.9234561</v>
      </c>
      <c r="O178" s="36">
        <v>0.96795920000000002</v>
      </c>
      <c r="P178" s="393">
        <v>1</v>
      </c>
      <c r="Q178" s="36">
        <v>0.1129569</v>
      </c>
      <c r="R178" s="36">
        <v>0.32640530000000001</v>
      </c>
      <c r="S178" s="36">
        <v>0.40052280000000001</v>
      </c>
      <c r="T178" s="36">
        <v>0.40490690000000001</v>
      </c>
      <c r="U178" s="36">
        <v>0.46659879999999998</v>
      </c>
      <c r="V178" s="393">
        <v>1</v>
      </c>
      <c r="W178" s="36">
        <v>0.44815870000000002</v>
      </c>
      <c r="X178" s="36">
        <v>0.56875690000000001</v>
      </c>
      <c r="Y178" s="36">
        <v>0.65334959999999997</v>
      </c>
      <c r="Z178" s="36">
        <v>0.67204960000000002</v>
      </c>
      <c r="AA178" s="36">
        <v>0.72597860000000003</v>
      </c>
      <c r="AB178" s="393">
        <v>1</v>
      </c>
    </row>
    <row r="179" spans="2:28" ht="0.5" customHeight="1">
      <c r="B179" s="9" t="s">
        <v>36</v>
      </c>
      <c r="C179" s="9" t="str">
        <f t="shared" si="58"/>
        <v>Argentina34</v>
      </c>
      <c r="D179" s="9">
        <v>34</v>
      </c>
      <c r="E179" s="36">
        <v>0.41496529999999998</v>
      </c>
      <c r="F179" s="36">
        <v>0.63777070000000002</v>
      </c>
      <c r="G179" s="36">
        <v>0.85047980000000001</v>
      </c>
      <c r="H179" s="36">
        <v>0.87374110000000005</v>
      </c>
      <c r="I179" s="36">
        <v>0.95011089999999998</v>
      </c>
      <c r="J179" s="393">
        <v>1</v>
      </c>
      <c r="K179" s="36">
        <v>0.60327299999999995</v>
      </c>
      <c r="L179" s="36">
        <v>0.71837059999999997</v>
      </c>
      <c r="M179" s="36">
        <v>0.87316890000000003</v>
      </c>
      <c r="N179" s="36">
        <v>0.93068960000000001</v>
      </c>
      <c r="O179" s="36">
        <v>0.97180699999999998</v>
      </c>
      <c r="P179" s="393">
        <v>1</v>
      </c>
      <c r="Q179" s="36">
        <v>0.11996130000000001</v>
      </c>
      <c r="R179" s="36">
        <v>0.33475310000000003</v>
      </c>
      <c r="S179" s="36">
        <v>0.41342060000000003</v>
      </c>
      <c r="T179" s="36">
        <v>0.41816170000000003</v>
      </c>
      <c r="U179" s="36">
        <v>0.47843550000000001</v>
      </c>
      <c r="V179" s="393">
        <v>1</v>
      </c>
      <c r="W179" s="36">
        <v>0.45998430000000001</v>
      </c>
      <c r="X179" s="36">
        <v>0.57059740000000003</v>
      </c>
      <c r="Y179" s="36">
        <v>0.65870740000000005</v>
      </c>
      <c r="Z179" s="36">
        <v>0.67935590000000001</v>
      </c>
      <c r="AA179" s="36">
        <v>0.72989519999999997</v>
      </c>
      <c r="AB179" s="393">
        <v>1</v>
      </c>
    </row>
    <row r="180" spans="2:28" ht="0.5" customHeight="1">
      <c r="B180" s="9" t="s">
        <v>36</v>
      </c>
      <c r="C180" s="9" t="str">
        <f t="shared" ref="C180:C243" si="59">CONCATENATE(B180,D180)</f>
        <v>Argentina35</v>
      </c>
      <c r="D180" s="9">
        <v>35</v>
      </c>
      <c r="E180" s="36">
        <v>0.41764099999999998</v>
      </c>
      <c r="F180" s="36">
        <v>0.63411220000000001</v>
      </c>
      <c r="G180" s="36">
        <v>0.85149059999999999</v>
      </c>
      <c r="H180" s="36">
        <v>0.87548009999999998</v>
      </c>
      <c r="I180" s="36">
        <v>0.95056689999999999</v>
      </c>
      <c r="J180" s="393">
        <v>1</v>
      </c>
      <c r="K180" s="36">
        <v>0.60385880000000003</v>
      </c>
      <c r="L180" s="36">
        <v>0.71458440000000001</v>
      </c>
      <c r="M180" s="36">
        <v>0.87288220000000005</v>
      </c>
      <c r="N180" s="36">
        <v>0.93317459999999997</v>
      </c>
      <c r="O180" s="36">
        <v>0.97270480000000004</v>
      </c>
      <c r="P180" s="393">
        <v>1</v>
      </c>
      <c r="Q180" s="36">
        <v>0.1235743</v>
      </c>
      <c r="R180" s="36">
        <v>0.33908179999999999</v>
      </c>
      <c r="S180" s="36">
        <v>0.41997950000000001</v>
      </c>
      <c r="T180" s="36">
        <v>0.4249754</v>
      </c>
      <c r="U180" s="36">
        <v>0.4852186</v>
      </c>
      <c r="V180" s="393">
        <v>1</v>
      </c>
      <c r="W180" s="36">
        <v>0.46362920000000002</v>
      </c>
      <c r="X180" s="36">
        <v>0.57075580000000004</v>
      </c>
      <c r="Y180" s="36">
        <v>0.66075600000000001</v>
      </c>
      <c r="Z180" s="36">
        <v>0.68211330000000003</v>
      </c>
      <c r="AA180" s="36">
        <v>0.7314638</v>
      </c>
      <c r="AB180" s="393">
        <v>1</v>
      </c>
    </row>
    <row r="181" spans="2:28" ht="0.5" customHeight="1">
      <c r="B181" s="9" t="s">
        <v>36</v>
      </c>
      <c r="C181" s="9" t="str">
        <f t="shared" si="59"/>
        <v>Argentina36</v>
      </c>
      <c r="D181" s="9">
        <v>36</v>
      </c>
      <c r="E181" s="36">
        <v>0.41957220000000001</v>
      </c>
      <c r="F181" s="36">
        <v>0.63016380000000005</v>
      </c>
      <c r="G181" s="36">
        <v>0.85169859999999997</v>
      </c>
      <c r="H181" s="36">
        <v>0.87673900000000005</v>
      </c>
      <c r="I181" s="36">
        <v>0.95030009999999998</v>
      </c>
      <c r="J181" s="393">
        <v>1</v>
      </c>
      <c r="K181" s="36">
        <v>0.60422100000000001</v>
      </c>
      <c r="L181" s="36">
        <v>0.7113005</v>
      </c>
      <c r="M181" s="36">
        <v>0.87336939999999996</v>
      </c>
      <c r="N181" s="36">
        <v>0.93618990000000002</v>
      </c>
      <c r="O181" s="36">
        <v>0.97424509999999998</v>
      </c>
      <c r="P181" s="393">
        <v>1</v>
      </c>
      <c r="Q181" s="36">
        <v>0.12721730000000001</v>
      </c>
      <c r="R181" s="36">
        <v>0.34354479999999998</v>
      </c>
      <c r="S181" s="36">
        <v>0.42648900000000001</v>
      </c>
      <c r="T181" s="36">
        <v>0.43182160000000003</v>
      </c>
      <c r="U181" s="36">
        <v>0.49205399999999999</v>
      </c>
      <c r="V181" s="393">
        <v>1</v>
      </c>
      <c r="W181" s="36">
        <v>0.46439439999999998</v>
      </c>
      <c r="X181" s="36">
        <v>0.56934510000000005</v>
      </c>
      <c r="Y181" s="36">
        <v>0.66125710000000004</v>
      </c>
      <c r="Z181" s="36">
        <v>0.68312470000000003</v>
      </c>
      <c r="AA181" s="36">
        <v>0.73144770000000003</v>
      </c>
      <c r="AB181" s="393">
        <v>1</v>
      </c>
    </row>
    <row r="182" spans="2:28" ht="0.5" customHeight="1">
      <c r="B182" s="9" t="s">
        <v>36</v>
      </c>
      <c r="C182" s="9" t="str">
        <f t="shared" si="59"/>
        <v>Argentina37</v>
      </c>
      <c r="D182" s="9">
        <v>37</v>
      </c>
      <c r="E182" s="36">
        <v>0.4234135</v>
      </c>
      <c r="F182" s="36">
        <v>0.62490520000000005</v>
      </c>
      <c r="G182" s="36">
        <v>0.85487020000000002</v>
      </c>
      <c r="H182" s="36">
        <v>0.88209110000000002</v>
      </c>
      <c r="I182" s="36">
        <v>0.95216129999999999</v>
      </c>
      <c r="J182" s="393">
        <v>1</v>
      </c>
      <c r="K182" s="36">
        <v>0.60695840000000001</v>
      </c>
      <c r="L182" s="36">
        <v>0.70844689999999999</v>
      </c>
      <c r="M182" s="36">
        <v>0.87916289999999997</v>
      </c>
      <c r="N182" s="36">
        <v>0.94594089999999997</v>
      </c>
      <c r="O182" s="36">
        <v>0.98132960000000002</v>
      </c>
      <c r="P182" s="393">
        <v>1</v>
      </c>
      <c r="Q182" s="36">
        <v>0.1335519</v>
      </c>
      <c r="R182" s="36">
        <v>0.3515297</v>
      </c>
      <c r="S182" s="36">
        <v>0.43736770000000003</v>
      </c>
      <c r="T182" s="36">
        <v>0.44361499999999998</v>
      </c>
      <c r="U182" s="36">
        <v>0.50276949999999998</v>
      </c>
      <c r="V182" s="393">
        <v>1</v>
      </c>
      <c r="W182" s="36">
        <v>0.46870200000000001</v>
      </c>
      <c r="X182" s="36">
        <v>0.57028369999999995</v>
      </c>
      <c r="Y182" s="36">
        <v>0.66549700000000001</v>
      </c>
      <c r="Z182" s="36">
        <v>0.68805119999999997</v>
      </c>
      <c r="AA182" s="36">
        <v>0.73439469999999996</v>
      </c>
      <c r="AB182" s="393">
        <v>1</v>
      </c>
    </row>
    <row r="183" spans="2:28" ht="0.5" customHeight="1">
      <c r="B183" s="9" t="s">
        <v>36</v>
      </c>
      <c r="C183" s="9" t="str">
        <f t="shared" si="59"/>
        <v>Argentina38</v>
      </c>
      <c r="D183" s="9">
        <v>38</v>
      </c>
      <c r="E183" s="36">
        <v>0.42608689999999999</v>
      </c>
      <c r="F183" s="36">
        <v>0.62250380000000005</v>
      </c>
      <c r="G183" s="36">
        <v>0.85630490000000004</v>
      </c>
      <c r="H183" s="36">
        <v>0.88460019999999995</v>
      </c>
      <c r="I183" s="36">
        <v>0.95355809999999996</v>
      </c>
      <c r="J183" s="393">
        <v>1</v>
      </c>
      <c r="K183" s="36">
        <v>0.60626400000000003</v>
      </c>
      <c r="L183" s="36">
        <v>0.7054376</v>
      </c>
      <c r="M183" s="36">
        <v>0.87961599999999995</v>
      </c>
      <c r="N183" s="36">
        <v>0.94871870000000003</v>
      </c>
      <c r="O183" s="36">
        <v>0.9830622</v>
      </c>
      <c r="P183" s="393">
        <v>1</v>
      </c>
      <c r="Q183" s="36">
        <v>0.13615530000000001</v>
      </c>
      <c r="R183" s="36">
        <v>0.35421999999999998</v>
      </c>
      <c r="S183" s="36">
        <v>0.44113210000000003</v>
      </c>
      <c r="T183" s="36">
        <v>0.44789430000000002</v>
      </c>
      <c r="U183" s="36">
        <v>0.50631919999999997</v>
      </c>
      <c r="V183" s="393">
        <v>1</v>
      </c>
      <c r="W183" s="36">
        <v>0.47125410000000001</v>
      </c>
      <c r="X183" s="36">
        <v>0.57178220000000002</v>
      </c>
      <c r="Y183" s="36">
        <v>0.66824320000000004</v>
      </c>
      <c r="Z183" s="36">
        <v>0.69103270000000006</v>
      </c>
      <c r="AA183" s="36">
        <v>0.73638840000000005</v>
      </c>
      <c r="AB183" s="393">
        <v>1</v>
      </c>
    </row>
    <row r="184" spans="2:28" ht="0.5" customHeight="1">
      <c r="B184" s="9" t="s">
        <v>36</v>
      </c>
      <c r="C184" s="9" t="str">
        <f t="shared" si="59"/>
        <v>Argentina39</v>
      </c>
      <c r="D184" s="9">
        <v>39</v>
      </c>
      <c r="E184" s="36">
        <v>0.42561860000000001</v>
      </c>
      <c r="F184" s="36">
        <v>0.61246409999999996</v>
      </c>
      <c r="G184" s="36">
        <v>0.85332450000000004</v>
      </c>
      <c r="H184" s="36">
        <v>0.88457620000000003</v>
      </c>
      <c r="I184" s="36">
        <v>0.95283569999999995</v>
      </c>
      <c r="J184" s="393">
        <v>1</v>
      </c>
      <c r="K184" s="36">
        <v>0.59737720000000005</v>
      </c>
      <c r="L184" s="36">
        <v>0.6901661</v>
      </c>
      <c r="M184" s="36">
        <v>0.86995560000000005</v>
      </c>
      <c r="N184" s="36">
        <v>0.94439309999999999</v>
      </c>
      <c r="O184" s="36">
        <v>0.97784729999999997</v>
      </c>
      <c r="P184" s="393">
        <v>1</v>
      </c>
      <c r="Q184" s="36">
        <v>0.14008670000000001</v>
      </c>
      <c r="R184" s="36">
        <v>0.3571203</v>
      </c>
      <c r="S184" s="36">
        <v>0.44599080000000002</v>
      </c>
      <c r="T184" s="36">
        <v>0.45388010000000001</v>
      </c>
      <c r="U184" s="36">
        <v>0.51088659999999997</v>
      </c>
      <c r="V184" s="393">
        <v>1</v>
      </c>
      <c r="W184" s="36">
        <v>0.4830586</v>
      </c>
      <c r="X184" s="36">
        <v>0.57856540000000001</v>
      </c>
      <c r="Y184" s="36">
        <v>0.67677240000000005</v>
      </c>
      <c r="Z184" s="36">
        <v>0.70029949999999996</v>
      </c>
      <c r="AA184" s="36">
        <v>0.74361180000000004</v>
      </c>
      <c r="AB184" s="393">
        <v>1</v>
      </c>
    </row>
    <row r="185" spans="2:28" ht="0.5" customHeight="1">
      <c r="B185" s="9" t="s">
        <v>36</v>
      </c>
      <c r="C185" s="9" t="str">
        <f t="shared" si="59"/>
        <v>Argentina40</v>
      </c>
      <c r="D185" s="9">
        <v>40</v>
      </c>
      <c r="E185" s="36">
        <v>0.42166510000000001</v>
      </c>
      <c r="F185" s="36">
        <v>0.60436679999999998</v>
      </c>
      <c r="G185" s="36">
        <v>0.84796240000000001</v>
      </c>
      <c r="H185" s="36">
        <v>0.88100270000000003</v>
      </c>
      <c r="I185" s="36">
        <v>0.94952689999999995</v>
      </c>
      <c r="J185" s="393">
        <v>1</v>
      </c>
      <c r="K185" s="36">
        <v>0.59090469999999995</v>
      </c>
      <c r="L185" s="36">
        <v>0.68122459999999996</v>
      </c>
      <c r="M185" s="36">
        <v>0.86404349999999996</v>
      </c>
      <c r="N185" s="36">
        <v>0.94138770000000005</v>
      </c>
      <c r="O185" s="36">
        <v>0.97514389999999995</v>
      </c>
      <c r="P185" s="393">
        <v>1</v>
      </c>
      <c r="Q185" s="36">
        <v>0.1418266</v>
      </c>
      <c r="R185" s="36">
        <v>0.3584156</v>
      </c>
      <c r="S185" s="36">
        <v>0.44840560000000002</v>
      </c>
      <c r="T185" s="36">
        <v>0.45676709999999998</v>
      </c>
      <c r="U185" s="36">
        <v>0.51276219999999995</v>
      </c>
      <c r="V185" s="393">
        <v>1</v>
      </c>
      <c r="W185" s="36">
        <v>0.48827809999999999</v>
      </c>
      <c r="X185" s="36">
        <v>0.58125599999999999</v>
      </c>
      <c r="Y185" s="36">
        <v>0.67950339999999998</v>
      </c>
      <c r="Z185" s="36">
        <v>0.70342150000000003</v>
      </c>
      <c r="AA185" s="36">
        <v>0.74584289999999998</v>
      </c>
      <c r="AB185" s="393">
        <v>1</v>
      </c>
    </row>
    <row r="186" spans="2:28" ht="0.5" customHeight="1">
      <c r="B186" s="9" t="s">
        <v>36</v>
      </c>
      <c r="C186" s="9" t="str">
        <f t="shared" si="59"/>
        <v>Argentina41</v>
      </c>
      <c r="D186" s="9">
        <v>41</v>
      </c>
      <c r="E186" s="36">
        <v>0.41708299999999998</v>
      </c>
      <c r="F186" s="36">
        <v>0.59605160000000001</v>
      </c>
      <c r="G186" s="36">
        <v>0.84127160000000001</v>
      </c>
      <c r="H186" s="36">
        <v>0.87604789999999999</v>
      </c>
      <c r="I186" s="36">
        <v>0.94519410000000004</v>
      </c>
      <c r="J186" s="393">
        <v>1</v>
      </c>
      <c r="K186" s="36">
        <v>0.58743809999999996</v>
      </c>
      <c r="L186" s="36">
        <v>0.67538520000000002</v>
      </c>
      <c r="M186" s="36">
        <v>0.86022330000000002</v>
      </c>
      <c r="N186" s="36">
        <v>0.94061459999999997</v>
      </c>
      <c r="O186" s="36">
        <v>0.97468330000000003</v>
      </c>
      <c r="P186" s="393">
        <v>1</v>
      </c>
      <c r="Q186" s="36">
        <v>0.14403469999999999</v>
      </c>
      <c r="R186" s="36">
        <v>0.35958580000000001</v>
      </c>
      <c r="S186" s="36">
        <v>0.45064850000000001</v>
      </c>
      <c r="T186" s="36">
        <v>0.45941490000000001</v>
      </c>
      <c r="U186" s="36">
        <v>0.51409070000000001</v>
      </c>
      <c r="V186" s="393">
        <v>1</v>
      </c>
      <c r="W186" s="36">
        <v>0.4909792</v>
      </c>
      <c r="X186" s="36">
        <v>0.58221049999999996</v>
      </c>
      <c r="Y186" s="36">
        <v>0.6799191</v>
      </c>
      <c r="Z186" s="36">
        <v>0.70425269999999995</v>
      </c>
      <c r="AA186" s="36">
        <v>0.74589150000000004</v>
      </c>
      <c r="AB186" s="393">
        <v>1</v>
      </c>
    </row>
    <row r="187" spans="2:28" ht="0.5" customHeight="1">
      <c r="B187" s="9" t="s">
        <v>36</v>
      </c>
      <c r="C187" s="9" t="str">
        <f t="shared" si="59"/>
        <v>Argentina42</v>
      </c>
      <c r="D187" s="9">
        <v>42</v>
      </c>
      <c r="E187" s="36">
        <v>0.41153849999999997</v>
      </c>
      <c r="F187" s="36">
        <v>0.58419339999999997</v>
      </c>
      <c r="G187" s="36">
        <v>0.83249910000000005</v>
      </c>
      <c r="H187" s="36">
        <v>0.87070099999999995</v>
      </c>
      <c r="I187" s="36">
        <v>0.94130990000000003</v>
      </c>
      <c r="J187" s="393">
        <v>1</v>
      </c>
      <c r="K187" s="36">
        <v>0.57798740000000004</v>
      </c>
      <c r="L187" s="36">
        <v>0.66182359999999996</v>
      </c>
      <c r="M187" s="36">
        <v>0.84783129999999995</v>
      </c>
      <c r="N187" s="36">
        <v>0.93458339999999995</v>
      </c>
      <c r="O187" s="36">
        <v>0.96886720000000004</v>
      </c>
      <c r="P187" s="393">
        <v>1</v>
      </c>
      <c r="Q187" s="36">
        <v>0.14837159999999999</v>
      </c>
      <c r="R187" s="36">
        <v>0.36112640000000001</v>
      </c>
      <c r="S187" s="36">
        <v>0.45382869999999997</v>
      </c>
      <c r="T187" s="36">
        <v>0.46312019999999998</v>
      </c>
      <c r="U187" s="36">
        <v>0.51461959999999995</v>
      </c>
      <c r="V187" s="393">
        <v>1</v>
      </c>
      <c r="W187" s="36">
        <v>0.4935445</v>
      </c>
      <c r="X187" s="36">
        <v>0.58152689999999996</v>
      </c>
      <c r="Y187" s="36">
        <v>0.67729709999999999</v>
      </c>
      <c r="Z187" s="36">
        <v>0.70238290000000003</v>
      </c>
      <c r="AA187" s="36">
        <v>0.74234069999999996</v>
      </c>
      <c r="AB187" s="393">
        <v>1</v>
      </c>
    </row>
    <row r="188" spans="2:28" ht="0.5" customHeight="1">
      <c r="B188" s="9" t="s">
        <v>36</v>
      </c>
      <c r="C188" s="9" t="str">
        <f t="shared" si="59"/>
        <v>Argentina43</v>
      </c>
      <c r="D188" s="9">
        <v>43</v>
      </c>
      <c r="E188" s="36">
        <v>0.41104930000000001</v>
      </c>
      <c r="F188" s="36">
        <v>0.58039649999999998</v>
      </c>
      <c r="G188" s="36">
        <v>0.82997799999999999</v>
      </c>
      <c r="H188" s="36">
        <v>0.86960420000000005</v>
      </c>
      <c r="I188" s="36">
        <v>0.94069829999999999</v>
      </c>
      <c r="J188" s="393">
        <v>1</v>
      </c>
      <c r="K188" s="36">
        <v>0.57745579999999996</v>
      </c>
      <c r="L188" s="36">
        <v>0.65994889999999995</v>
      </c>
      <c r="M188" s="36">
        <v>0.84574629999999995</v>
      </c>
      <c r="N188" s="36">
        <v>0.93493850000000001</v>
      </c>
      <c r="O188" s="36">
        <v>0.96922799999999998</v>
      </c>
      <c r="P188" s="393">
        <v>1</v>
      </c>
      <c r="Q188" s="36">
        <v>0.1501614</v>
      </c>
      <c r="R188" s="36">
        <v>0.36090149999999999</v>
      </c>
      <c r="S188" s="36">
        <v>0.45428600000000002</v>
      </c>
      <c r="T188" s="36">
        <v>0.46361409999999997</v>
      </c>
      <c r="U188" s="36">
        <v>0.51369770000000003</v>
      </c>
      <c r="V188" s="393">
        <v>1</v>
      </c>
      <c r="W188" s="36">
        <v>0.49477280000000001</v>
      </c>
      <c r="X188" s="36">
        <v>0.58048840000000002</v>
      </c>
      <c r="Y188" s="36">
        <v>0.6759387</v>
      </c>
      <c r="Z188" s="36">
        <v>0.70147689999999996</v>
      </c>
      <c r="AA188" s="36">
        <v>0.74031119999999995</v>
      </c>
      <c r="AB188" s="393">
        <v>1</v>
      </c>
    </row>
    <row r="189" spans="2:28" ht="0.5" customHeight="1">
      <c r="B189" s="9" t="s">
        <v>36</v>
      </c>
      <c r="C189" s="9" t="str">
        <f t="shared" si="59"/>
        <v>Argentina44</v>
      </c>
      <c r="D189" s="9">
        <v>44</v>
      </c>
      <c r="E189" s="36">
        <v>0.40845419999999999</v>
      </c>
      <c r="F189" s="36">
        <v>0.57105130000000004</v>
      </c>
      <c r="G189" s="36">
        <v>0.8224264</v>
      </c>
      <c r="H189" s="36">
        <v>0.8642225</v>
      </c>
      <c r="I189" s="36">
        <v>0.93554380000000004</v>
      </c>
      <c r="J189" s="393">
        <v>1</v>
      </c>
      <c r="K189" s="36">
        <v>0.57831929999999998</v>
      </c>
      <c r="L189" s="36">
        <v>0.6586632</v>
      </c>
      <c r="M189" s="36">
        <v>0.8454701</v>
      </c>
      <c r="N189" s="36">
        <v>0.93713400000000002</v>
      </c>
      <c r="O189" s="36">
        <v>0.97120530000000005</v>
      </c>
      <c r="P189" s="393">
        <v>1</v>
      </c>
      <c r="Q189" s="36">
        <v>0.152254</v>
      </c>
      <c r="R189" s="36">
        <v>0.35809249999999998</v>
      </c>
      <c r="S189" s="36">
        <v>0.45258500000000002</v>
      </c>
      <c r="T189" s="36">
        <v>0.46174310000000002</v>
      </c>
      <c r="U189" s="36">
        <v>0.50953499999999996</v>
      </c>
      <c r="V189" s="393">
        <v>1</v>
      </c>
      <c r="W189" s="36">
        <v>0.49791449999999998</v>
      </c>
      <c r="X189" s="36">
        <v>0.58097799999999999</v>
      </c>
      <c r="Y189" s="36">
        <v>0.67706980000000005</v>
      </c>
      <c r="Z189" s="36">
        <v>0.70400110000000005</v>
      </c>
      <c r="AA189" s="36">
        <v>0.74058069999999998</v>
      </c>
      <c r="AB189" s="393">
        <v>1</v>
      </c>
    </row>
    <row r="190" spans="2:28" ht="0.5" customHeight="1">
      <c r="B190" s="9" t="s">
        <v>36</v>
      </c>
      <c r="C190" s="9" t="str">
        <f t="shared" si="59"/>
        <v>Argentina45</v>
      </c>
      <c r="D190" s="9">
        <v>45</v>
      </c>
      <c r="E190" s="36">
        <v>0.40584779999999998</v>
      </c>
      <c r="F190" s="36">
        <v>0.5652739</v>
      </c>
      <c r="G190" s="36">
        <v>0.81828529999999999</v>
      </c>
      <c r="H190" s="36">
        <v>0.86090520000000004</v>
      </c>
      <c r="I190" s="36">
        <v>0.93225409999999997</v>
      </c>
      <c r="J190" s="393">
        <v>1</v>
      </c>
      <c r="K190" s="36">
        <v>0.57760730000000005</v>
      </c>
      <c r="L190" s="36">
        <v>0.65651179999999998</v>
      </c>
      <c r="M190" s="36">
        <v>0.84482250000000003</v>
      </c>
      <c r="N190" s="36">
        <v>0.93700950000000005</v>
      </c>
      <c r="O190" s="36">
        <v>0.97124560000000004</v>
      </c>
      <c r="P190" s="393">
        <v>1</v>
      </c>
      <c r="Q190" s="36">
        <v>0.15282200000000001</v>
      </c>
      <c r="R190" s="36">
        <v>0.3556414</v>
      </c>
      <c r="S190" s="36">
        <v>0.45044079999999997</v>
      </c>
      <c r="T190" s="36">
        <v>0.45953500000000003</v>
      </c>
      <c r="U190" s="36">
        <v>0.50627829999999996</v>
      </c>
      <c r="V190" s="393">
        <v>1</v>
      </c>
      <c r="W190" s="36">
        <v>0.49620239999999999</v>
      </c>
      <c r="X190" s="36">
        <v>0.5788626</v>
      </c>
      <c r="Y190" s="36">
        <v>0.67561170000000004</v>
      </c>
      <c r="Z190" s="36">
        <v>0.70330250000000005</v>
      </c>
      <c r="AA190" s="36">
        <v>0.73895270000000002</v>
      </c>
      <c r="AB190" s="393">
        <v>1</v>
      </c>
    </row>
    <row r="191" spans="2:28" ht="0.5" customHeight="1">
      <c r="B191" s="9" t="s">
        <v>36</v>
      </c>
      <c r="C191" s="9" t="str">
        <f t="shared" si="59"/>
        <v>Argentina46</v>
      </c>
      <c r="D191" s="9">
        <v>46</v>
      </c>
      <c r="E191" s="36">
        <v>0.40276459999999997</v>
      </c>
      <c r="F191" s="36">
        <v>0.55861079999999996</v>
      </c>
      <c r="G191" s="36">
        <v>0.81336900000000001</v>
      </c>
      <c r="H191" s="36">
        <v>0.85663929999999999</v>
      </c>
      <c r="I191" s="36">
        <v>0.92816560000000004</v>
      </c>
      <c r="J191" s="393">
        <v>1</v>
      </c>
      <c r="K191" s="36">
        <v>0.57044470000000003</v>
      </c>
      <c r="L191" s="36">
        <v>0.64814059999999996</v>
      </c>
      <c r="M191" s="36">
        <v>0.83851330000000002</v>
      </c>
      <c r="N191" s="36">
        <v>0.9309866</v>
      </c>
      <c r="O191" s="36">
        <v>0.96555990000000003</v>
      </c>
      <c r="P191" s="393">
        <v>1</v>
      </c>
      <c r="Q191" s="36">
        <v>0.1530222</v>
      </c>
      <c r="R191" s="36">
        <v>0.35192099999999998</v>
      </c>
      <c r="S191" s="36">
        <v>0.44701750000000001</v>
      </c>
      <c r="T191" s="36">
        <v>0.45607160000000002</v>
      </c>
      <c r="U191" s="36">
        <v>0.50183829999999996</v>
      </c>
      <c r="V191" s="393">
        <v>1</v>
      </c>
      <c r="W191" s="36">
        <v>0.48998849999999999</v>
      </c>
      <c r="X191" s="36">
        <v>0.57187010000000005</v>
      </c>
      <c r="Y191" s="36">
        <v>0.6693462</v>
      </c>
      <c r="Z191" s="36">
        <v>0.6976405</v>
      </c>
      <c r="AA191" s="36">
        <v>0.73240810000000001</v>
      </c>
      <c r="AB191" s="393">
        <v>1</v>
      </c>
    </row>
    <row r="192" spans="2:28" ht="0.5" customHeight="1">
      <c r="B192" s="9" t="s">
        <v>36</v>
      </c>
      <c r="C192" s="9" t="str">
        <f t="shared" si="59"/>
        <v>Argentina47</v>
      </c>
      <c r="D192" s="9">
        <v>47</v>
      </c>
      <c r="E192" s="36">
        <v>0.39388289999999998</v>
      </c>
      <c r="F192" s="36">
        <v>0.5433306</v>
      </c>
      <c r="G192" s="36">
        <v>0.80193789999999998</v>
      </c>
      <c r="H192" s="36">
        <v>0.84691590000000005</v>
      </c>
      <c r="I192" s="36">
        <v>0.91832789999999997</v>
      </c>
      <c r="J192" s="393">
        <v>1</v>
      </c>
      <c r="K192" s="36">
        <v>0.55306469999999996</v>
      </c>
      <c r="L192" s="36">
        <v>0.62963449999999999</v>
      </c>
      <c r="M192" s="36">
        <v>0.82472869999999998</v>
      </c>
      <c r="N192" s="36">
        <v>0.91721050000000004</v>
      </c>
      <c r="O192" s="36">
        <v>0.95296369999999997</v>
      </c>
      <c r="P192" s="393">
        <v>1</v>
      </c>
      <c r="Q192" s="36">
        <v>0.1505427</v>
      </c>
      <c r="R192" s="36">
        <v>0.34216639999999998</v>
      </c>
      <c r="S192" s="36">
        <v>0.43804920000000003</v>
      </c>
      <c r="T192" s="36">
        <v>0.44717000000000001</v>
      </c>
      <c r="U192" s="36">
        <v>0.4917762</v>
      </c>
      <c r="V192" s="393">
        <v>1</v>
      </c>
      <c r="W192" s="36">
        <v>0.48032469999999999</v>
      </c>
      <c r="X192" s="36">
        <v>0.5585234</v>
      </c>
      <c r="Y192" s="36">
        <v>0.65704839999999998</v>
      </c>
      <c r="Z192" s="36">
        <v>0.68609180000000003</v>
      </c>
      <c r="AA192" s="36">
        <v>0.71910269999999998</v>
      </c>
      <c r="AB192" s="393">
        <v>1</v>
      </c>
    </row>
    <row r="193" spans="2:28" ht="0.5" customHeight="1">
      <c r="B193" s="9" t="s">
        <v>36</v>
      </c>
      <c r="C193" s="9" t="str">
        <f t="shared" si="59"/>
        <v>Argentina48</v>
      </c>
      <c r="D193" s="9">
        <v>48</v>
      </c>
      <c r="E193" s="36">
        <v>0.38986520000000002</v>
      </c>
      <c r="F193" s="36">
        <v>0.53641340000000004</v>
      </c>
      <c r="G193" s="36">
        <v>0.79693780000000003</v>
      </c>
      <c r="H193" s="36">
        <v>0.84264190000000005</v>
      </c>
      <c r="I193" s="36">
        <v>0.91431340000000005</v>
      </c>
      <c r="J193" s="393">
        <v>1</v>
      </c>
      <c r="K193" s="36">
        <v>0.54456249999999995</v>
      </c>
      <c r="L193" s="36">
        <v>0.62164090000000005</v>
      </c>
      <c r="M193" s="36">
        <v>0.81943250000000001</v>
      </c>
      <c r="N193" s="36">
        <v>0.91237469999999998</v>
      </c>
      <c r="O193" s="36">
        <v>0.94859110000000002</v>
      </c>
      <c r="P193" s="393">
        <v>1</v>
      </c>
      <c r="Q193" s="36">
        <v>0.14873819999999999</v>
      </c>
      <c r="R193" s="36">
        <v>0.33642070000000002</v>
      </c>
      <c r="S193" s="36">
        <v>0.432423</v>
      </c>
      <c r="T193" s="36">
        <v>0.44169249999999999</v>
      </c>
      <c r="U193" s="36">
        <v>0.48559210000000003</v>
      </c>
      <c r="V193" s="393">
        <v>1</v>
      </c>
      <c r="W193" s="36">
        <v>0.47784599999999999</v>
      </c>
      <c r="X193" s="36">
        <v>0.55401429999999996</v>
      </c>
      <c r="Y193" s="36">
        <v>0.65263130000000003</v>
      </c>
      <c r="Z193" s="36">
        <v>0.68191259999999998</v>
      </c>
      <c r="AA193" s="36">
        <v>0.71398260000000002</v>
      </c>
      <c r="AB193" s="393">
        <v>1</v>
      </c>
    </row>
    <row r="194" spans="2:28" ht="0.5" customHeight="1">
      <c r="B194" s="9" t="s">
        <v>36</v>
      </c>
      <c r="C194" s="9" t="str">
        <f t="shared" si="59"/>
        <v>Argentina49</v>
      </c>
      <c r="D194" s="9">
        <v>49</v>
      </c>
      <c r="E194" s="36">
        <v>0.37958540000000002</v>
      </c>
      <c r="F194" s="36">
        <v>0.52028600000000003</v>
      </c>
      <c r="G194" s="36">
        <v>0.78220990000000001</v>
      </c>
      <c r="H194" s="36">
        <v>0.82943730000000004</v>
      </c>
      <c r="I194" s="36">
        <v>0.90222139999999995</v>
      </c>
      <c r="J194" s="393">
        <v>1</v>
      </c>
      <c r="K194" s="36">
        <v>0.53099110000000005</v>
      </c>
      <c r="L194" s="36">
        <v>0.60835649999999997</v>
      </c>
      <c r="M194" s="36">
        <v>0.80929720000000005</v>
      </c>
      <c r="N194" s="36">
        <v>0.90522119999999995</v>
      </c>
      <c r="O194" s="36">
        <v>0.94246399999999997</v>
      </c>
      <c r="P194" s="393">
        <v>1</v>
      </c>
      <c r="Q194" s="36">
        <v>0.14545430000000001</v>
      </c>
      <c r="R194" s="36">
        <v>0.32451659999999999</v>
      </c>
      <c r="S194" s="36">
        <v>0.4204831</v>
      </c>
      <c r="T194" s="36">
        <v>0.43010399999999999</v>
      </c>
      <c r="U194" s="36">
        <v>0.47202660000000002</v>
      </c>
      <c r="V194" s="393">
        <v>1</v>
      </c>
      <c r="W194" s="36">
        <v>0.47296310000000003</v>
      </c>
      <c r="X194" s="36">
        <v>0.54468430000000001</v>
      </c>
      <c r="Y194" s="36">
        <v>0.64285049999999999</v>
      </c>
      <c r="Z194" s="36">
        <v>0.6722397</v>
      </c>
      <c r="AA194" s="36">
        <v>0.70263240000000005</v>
      </c>
      <c r="AB194" s="393">
        <v>1</v>
      </c>
    </row>
    <row r="195" spans="2:28" ht="0.5" customHeight="1">
      <c r="B195" s="9" t="s">
        <v>36</v>
      </c>
      <c r="C195" s="9" t="str">
        <f t="shared" si="59"/>
        <v>Argentina50</v>
      </c>
      <c r="D195" s="9">
        <v>50</v>
      </c>
      <c r="E195" s="36">
        <v>0.3741931</v>
      </c>
      <c r="F195" s="36">
        <v>0.51105060000000002</v>
      </c>
      <c r="G195" s="36">
        <v>0.77341939999999998</v>
      </c>
      <c r="H195" s="36">
        <v>0.82120919999999997</v>
      </c>
      <c r="I195" s="36">
        <v>0.89495720000000001</v>
      </c>
      <c r="J195" s="393">
        <v>1</v>
      </c>
      <c r="K195" s="36">
        <v>0.52729760000000003</v>
      </c>
      <c r="L195" s="36">
        <v>0.60443550000000001</v>
      </c>
      <c r="M195" s="36">
        <v>0.80584219999999995</v>
      </c>
      <c r="N195" s="36">
        <v>0.90395689999999995</v>
      </c>
      <c r="O195" s="36">
        <v>0.9417932</v>
      </c>
      <c r="P195" s="393">
        <v>1</v>
      </c>
      <c r="Q195" s="36">
        <v>0.14399490000000001</v>
      </c>
      <c r="R195" s="36">
        <v>0.31841429999999998</v>
      </c>
      <c r="S195" s="36">
        <v>0.41427580000000003</v>
      </c>
      <c r="T195" s="36">
        <v>0.42391909999999999</v>
      </c>
      <c r="U195" s="36">
        <v>0.46483920000000001</v>
      </c>
      <c r="V195" s="393">
        <v>1</v>
      </c>
      <c r="W195" s="36">
        <v>0.46752969999999999</v>
      </c>
      <c r="X195" s="36">
        <v>0.5369659</v>
      </c>
      <c r="Y195" s="36">
        <v>0.63561100000000004</v>
      </c>
      <c r="Z195" s="36">
        <v>0.66489180000000003</v>
      </c>
      <c r="AA195" s="36">
        <v>0.69459590000000004</v>
      </c>
      <c r="AB195" s="393">
        <v>1</v>
      </c>
    </row>
    <row r="196" spans="2:28" ht="0.5" customHeight="1">
      <c r="B196" s="9" t="s">
        <v>36</v>
      </c>
      <c r="C196" s="9" t="str">
        <f t="shared" si="59"/>
        <v>Argentina51</v>
      </c>
      <c r="D196" s="9">
        <v>51</v>
      </c>
      <c r="E196" s="36">
        <v>0.36752639999999998</v>
      </c>
      <c r="F196" s="36">
        <v>0.50124029999999997</v>
      </c>
      <c r="G196" s="36">
        <v>0.76261950000000001</v>
      </c>
      <c r="H196" s="36">
        <v>0.81073569999999995</v>
      </c>
      <c r="I196" s="36">
        <v>0.88503270000000001</v>
      </c>
      <c r="J196" s="393">
        <v>1</v>
      </c>
      <c r="K196" s="36">
        <v>0.51659080000000002</v>
      </c>
      <c r="L196" s="36">
        <v>0.59346520000000003</v>
      </c>
      <c r="M196" s="36">
        <v>0.79448810000000003</v>
      </c>
      <c r="N196" s="36">
        <v>0.89496540000000002</v>
      </c>
      <c r="O196" s="36">
        <v>0.93346419999999997</v>
      </c>
      <c r="P196" s="393">
        <v>1</v>
      </c>
      <c r="Q196" s="36">
        <v>0.142515</v>
      </c>
      <c r="R196" s="36">
        <v>0.3124246</v>
      </c>
      <c r="S196" s="36">
        <v>0.40812959999999998</v>
      </c>
      <c r="T196" s="36">
        <v>0.41770429999999997</v>
      </c>
      <c r="U196" s="36">
        <v>0.45763700000000002</v>
      </c>
      <c r="V196" s="393">
        <v>1</v>
      </c>
      <c r="W196" s="36">
        <v>0.46066839999999998</v>
      </c>
      <c r="X196" s="36">
        <v>0.52738359999999995</v>
      </c>
      <c r="Y196" s="36">
        <v>0.62671290000000002</v>
      </c>
      <c r="Z196" s="36">
        <v>0.65578910000000001</v>
      </c>
      <c r="AA196" s="36">
        <v>0.68488309999999997</v>
      </c>
      <c r="AB196" s="393">
        <v>1</v>
      </c>
    </row>
    <row r="197" spans="2:28" ht="0.5" customHeight="1">
      <c r="B197" s="9" t="s">
        <v>36</v>
      </c>
      <c r="C197" s="9" t="str">
        <f t="shared" si="59"/>
        <v>Argentina52</v>
      </c>
      <c r="D197" s="9">
        <v>52</v>
      </c>
      <c r="E197" s="36">
        <v>0.3546378</v>
      </c>
      <c r="F197" s="36">
        <v>0.483491</v>
      </c>
      <c r="G197" s="36">
        <v>0.74208379999999996</v>
      </c>
      <c r="H197" s="36">
        <v>0.78998820000000003</v>
      </c>
      <c r="I197" s="36">
        <v>0.86608969999999996</v>
      </c>
      <c r="J197" s="393">
        <v>1</v>
      </c>
      <c r="K197" s="36">
        <v>0.490705</v>
      </c>
      <c r="L197" s="36">
        <v>0.56578660000000003</v>
      </c>
      <c r="M197" s="36">
        <v>0.76611269999999998</v>
      </c>
      <c r="N197" s="36">
        <v>0.87088379999999999</v>
      </c>
      <c r="O197" s="36">
        <v>0.91104359999999995</v>
      </c>
      <c r="P197" s="393">
        <v>1</v>
      </c>
      <c r="Q197" s="36">
        <v>0.13894970000000001</v>
      </c>
      <c r="R197" s="36">
        <v>0.2998246</v>
      </c>
      <c r="S197" s="36">
        <v>0.39516479999999998</v>
      </c>
      <c r="T197" s="36">
        <v>0.40427970000000002</v>
      </c>
      <c r="U197" s="36">
        <v>0.44180429999999998</v>
      </c>
      <c r="V197" s="393">
        <v>1</v>
      </c>
      <c r="W197" s="36">
        <v>0.43662869999999998</v>
      </c>
      <c r="X197" s="36">
        <v>0.49968679999999999</v>
      </c>
      <c r="Y197" s="36">
        <v>0.60054450000000004</v>
      </c>
      <c r="Z197" s="36">
        <v>0.62885449999999998</v>
      </c>
      <c r="AA197" s="36">
        <v>0.65684549999999997</v>
      </c>
      <c r="AB197" s="393">
        <v>1</v>
      </c>
    </row>
    <row r="198" spans="2:28" ht="0.5" customHeight="1">
      <c r="B198" s="9" t="s">
        <v>36</v>
      </c>
      <c r="C198" s="9" t="str">
        <f t="shared" si="59"/>
        <v>Argentina53</v>
      </c>
      <c r="D198" s="9">
        <v>53</v>
      </c>
      <c r="E198" s="36">
        <v>0.34831990000000002</v>
      </c>
      <c r="F198" s="36">
        <v>0.4749988</v>
      </c>
      <c r="G198" s="36">
        <v>0.73181050000000003</v>
      </c>
      <c r="H198" s="36">
        <v>0.77942429999999996</v>
      </c>
      <c r="I198" s="36">
        <v>0.85566109999999995</v>
      </c>
      <c r="J198" s="393">
        <v>1</v>
      </c>
      <c r="K198" s="36">
        <v>0.47638170000000002</v>
      </c>
      <c r="L198" s="36">
        <v>0.55020020000000003</v>
      </c>
      <c r="M198" s="36">
        <v>0.74984629999999997</v>
      </c>
      <c r="N198" s="36">
        <v>0.8570527</v>
      </c>
      <c r="O198" s="36">
        <v>0.89769949999999998</v>
      </c>
      <c r="P198" s="393">
        <v>1</v>
      </c>
      <c r="Q198" s="36">
        <v>0.13772490000000001</v>
      </c>
      <c r="R198" s="36">
        <v>0.29401129999999998</v>
      </c>
      <c r="S198" s="36">
        <v>0.38885829999999999</v>
      </c>
      <c r="T198" s="36">
        <v>0.39759670000000003</v>
      </c>
      <c r="U198" s="36">
        <v>0.4336778</v>
      </c>
      <c r="V198" s="393">
        <v>1</v>
      </c>
      <c r="W198" s="36">
        <v>0.4227649</v>
      </c>
      <c r="X198" s="36">
        <v>0.4840372</v>
      </c>
      <c r="Y198" s="36">
        <v>0.58566569999999996</v>
      </c>
      <c r="Z198" s="36">
        <v>0.61339619999999995</v>
      </c>
      <c r="AA198" s="36">
        <v>0.64078690000000005</v>
      </c>
      <c r="AB198" s="393">
        <v>1</v>
      </c>
    </row>
    <row r="199" spans="2:28" ht="0.5" customHeight="1">
      <c r="B199" s="9" t="s">
        <v>36</v>
      </c>
      <c r="C199" s="9" t="str">
        <f t="shared" si="59"/>
        <v>Argentina54</v>
      </c>
      <c r="D199" s="9">
        <v>54</v>
      </c>
      <c r="E199" s="36">
        <v>0.33377519999999999</v>
      </c>
      <c r="F199" s="36">
        <v>0.45852710000000002</v>
      </c>
      <c r="G199" s="36">
        <v>0.71181589999999995</v>
      </c>
      <c r="H199" s="36">
        <v>0.75858270000000005</v>
      </c>
      <c r="I199" s="36">
        <v>0.83390980000000003</v>
      </c>
      <c r="J199" s="393">
        <v>1</v>
      </c>
      <c r="K199" s="36">
        <v>0.4570208</v>
      </c>
      <c r="L199" s="36">
        <v>0.52617990000000003</v>
      </c>
      <c r="M199" s="36">
        <v>0.72581910000000005</v>
      </c>
      <c r="N199" s="36">
        <v>0.83632249999999997</v>
      </c>
      <c r="O199" s="36">
        <v>0.87674589999999997</v>
      </c>
      <c r="P199" s="393">
        <v>1</v>
      </c>
      <c r="Q199" s="36">
        <v>0.13599839999999999</v>
      </c>
      <c r="R199" s="36">
        <v>0.28351779999999999</v>
      </c>
      <c r="S199" s="36">
        <v>0.37645089999999998</v>
      </c>
      <c r="T199" s="36">
        <v>0.38394650000000002</v>
      </c>
      <c r="U199" s="36">
        <v>0.41738629999999999</v>
      </c>
      <c r="V199" s="393">
        <v>1</v>
      </c>
      <c r="W199" s="36">
        <v>0.39635930000000003</v>
      </c>
      <c r="X199" s="36">
        <v>0.45591120000000002</v>
      </c>
      <c r="Y199" s="36">
        <v>0.55806829999999996</v>
      </c>
      <c r="Z199" s="36">
        <v>0.58480069999999995</v>
      </c>
      <c r="AA199" s="36">
        <v>0.60992420000000003</v>
      </c>
      <c r="AB199" s="393">
        <v>1</v>
      </c>
    </row>
    <row r="200" spans="2:28" ht="0.5" customHeight="1">
      <c r="B200" s="9" t="s">
        <v>36</v>
      </c>
      <c r="C200" s="9" t="str">
        <f t="shared" si="59"/>
        <v>Argentina55</v>
      </c>
      <c r="D200" s="9">
        <v>55</v>
      </c>
      <c r="E200" s="36">
        <v>0.32375559999999998</v>
      </c>
      <c r="F200" s="36">
        <v>0.44674639999999999</v>
      </c>
      <c r="G200" s="36">
        <v>0.69940820000000004</v>
      </c>
      <c r="H200" s="36">
        <v>0.74538340000000003</v>
      </c>
      <c r="I200" s="36">
        <v>0.81968929999999995</v>
      </c>
      <c r="J200" s="393">
        <v>1</v>
      </c>
      <c r="K200" s="36">
        <v>0.44458829999999999</v>
      </c>
      <c r="L200" s="36">
        <v>0.51097870000000001</v>
      </c>
      <c r="M200" s="36">
        <v>0.71116000000000001</v>
      </c>
      <c r="N200" s="36">
        <v>0.82231290000000001</v>
      </c>
      <c r="O200" s="36">
        <v>0.86111819999999994</v>
      </c>
      <c r="P200" s="393">
        <v>1</v>
      </c>
      <c r="Q200" s="36">
        <v>0.1345499</v>
      </c>
      <c r="R200" s="36">
        <v>0.27751789999999998</v>
      </c>
      <c r="S200" s="36">
        <v>0.3694905</v>
      </c>
      <c r="T200" s="36">
        <v>0.37614399999999998</v>
      </c>
      <c r="U200" s="36">
        <v>0.40897129999999998</v>
      </c>
      <c r="V200" s="393">
        <v>1</v>
      </c>
      <c r="W200" s="36">
        <v>0.38421739999999999</v>
      </c>
      <c r="X200" s="36">
        <v>0.44400810000000002</v>
      </c>
      <c r="Y200" s="36">
        <v>0.5447902</v>
      </c>
      <c r="Z200" s="36">
        <v>0.57070989999999999</v>
      </c>
      <c r="AA200" s="36">
        <v>0.59364360000000005</v>
      </c>
      <c r="AB200" s="393">
        <v>1</v>
      </c>
    </row>
    <row r="201" spans="2:28" ht="0.5" customHeight="1">
      <c r="B201" s="9" t="s">
        <v>40</v>
      </c>
      <c r="C201" s="9" t="str">
        <f t="shared" si="59"/>
        <v>Brazil20</v>
      </c>
      <c r="D201" s="9">
        <v>20</v>
      </c>
      <c r="E201" s="36">
        <v>0.30091109999999999</v>
      </c>
      <c r="F201" s="36">
        <v>0.56896029999999997</v>
      </c>
      <c r="G201" s="36">
        <v>0.65806180000000003</v>
      </c>
      <c r="H201" s="36">
        <v>0.66174440000000001</v>
      </c>
      <c r="I201" s="36">
        <v>0.80640440000000002</v>
      </c>
      <c r="J201" s="393">
        <v>1</v>
      </c>
      <c r="K201" s="36">
        <v>0.42158869999999998</v>
      </c>
      <c r="L201" s="36">
        <v>0.59435780000000005</v>
      </c>
      <c r="M201" s="36">
        <v>0.63631789999999999</v>
      </c>
      <c r="N201" s="36">
        <v>0.64515290000000003</v>
      </c>
      <c r="O201" s="36">
        <v>0.77522840000000004</v>
      </c>
      <c r="P201" s="393">
        <v>1</v>
      </c>
      <c r="Q201" s="36">
        <v>0.13156219999999999</v>
      </c>
      <c r="R201" s="36">
        <v>0.32333050000000002</v>
      </c>
      <c r="S201" s="36">
        <v>0.3557457</v>
      </c>
      <c r="T201" s="36">
        <v>0.35674899999999998</v>
      </c>
      <c r="U201" s="36">
        <v>0.49324820000000003</v>
      </c>
      <c r="V201" s="393">
        <v>1</v>
      </c>
      <c r="W201" s="36">
        <v>0.34673989999999999</v>
      </c>
      <c r="X201" s="36">
        <v>0.50102869999999999</v>
      </c>
      <c r="Y201" s="36">
        <v>0.52831810000000001</v>
      </c>
      <c r="Z201" s="36">
        <v>0.53140739999999997</v>
      </c>
      <c r="AA201" s="36">
        <v>0.68255619999999995</v>
      </c>
      <c r="AB201" s="393">
        <v>1</v>
      </c>
    </row>
    <row r="202" spans="2:28" ht="0.5" customHeight="1">
      <c r="B202" s="9" t="s">
        <v>40</v>
      </c>
      <c r="C202" s="9" t="str">
        <f t="shared" si="59"/>
        <v>Brazil21</v>
      </c>
      <c r="D202" s="9">
        <v>21</v>
      </c>
      <c r="E202" s="36">
        <v>0.32822639999999997</v>
      </c>
      <c r="F202" s="36">
        <v>0.58949739999999995</v>
      </c>
      <c r="G202" s="36">
        <v>0.6903205</v>
      </c>
      <c r="H202" s="36">
        <v>0.69565809999999995</v>
      </c>
      <c r="I202" s="36">
        <v>0.83036690000000002</v>
      </c>
      <c r="J202" s="393">
        <v>1</v>
      </c>
      <c r="K202" s="36">
        <v>0.45819169999999998</v>
      </c>
      <c r="L202" s="36">
        <v>0.62645989999999996</v>
      </c>
      <c r="M202" s="36">
        <v>0.67424119999999998</v>
      </c>
      <c r="N202" s="36">
        <v>0.68525420000000004</v>
      </c>
      <c r="O202" s="36">
        <v>0.806585</v>
      </c>
      <c r="P202" s="393">
        <v>1</v>
      </c>
      <c r="Q202" s="36">
        <v>0.14081669999999999</v>
      </c>
      <c r="R202" s="36">
        <v>0.33099339999999999</v>
      </c>
      <c r="S202" s="36">
        <v>0.36766320000000002</v>
      </c>
      <c r="T202" s="36">
        <v>0.36897669999999999</v>
      </c>
      <c r="U202" s="36">
        <v>0.50043959999999998</v>
      </c>
      <c r="V202" s="393">
        <v>1</v>
      </c>
      <c r="W202" s="36">
        <v>0.37286760000000002</v>
      </c>
      <c r="X202" s="36">
        <v>0.52544060000000004</v>
      </c>
      <c r="Y202" s="36">
        <v>0.55629379999999995</v>
      </c>
      <c r="Z202" s="36">
        <v>0.56036280000000005</v>
      </c>
      <c r="AA202" s="36">
        <v>0.70433120000000005</v>
      </c>
      <c r="AB202" s="393">
        <v>1</v>
      </c>
    </row>
    <row r="203" spans="2:28" ht="0.5" customHeight="1">
      <c r="B203" s="9" t="s">
        <v>40</v>
      </c>
      <c r="C203" s="9" t="str">
        <f t="shared" si="59"/>
        <v>Brazil22</v>
      </c>
      <c r="D203" s="9">
        <v>22</v>
      </c>
      <c r="E203" s="36">
        <v>0.37356309999999998</v>
      </c>
      <c r="F203" s="36">
        <v>0.61986739999999996</v>
      </c>
      <c r="G203" s="36">
        <v>0.74196119999999999</v>
      </c>
      <c r="H203" s="36">
        <v>0.75074180000000001</v>
      </c>
      <c r="I203" s="36">
        <v>0.86664609999999997</v>
      </c>
      <c r="J203" s="393">
        <v>1</v>
      </c>
      <c r="K203" s="36">
        <v>0.51577539999999999</v>
      </c>
      <c r="L203" s="36">
        <v>0.67129490000000003</v>
      </c>
      <c r="M203" s="36">
        <v>0.73260040000000004</v>
      </c>
      <c r="N203" s="36">
        <v>0.74928740000000005</v>
      </c>
      <c r="O203" s="36">
        <v>0.85526999999999997</v>
      </c>
      <c r="P203" s="393">
        <v>1</v>
      </c>
      <c r="Q203" s="36">
        <v>0.1553457</v>
      </c>
      <c r="R203" s="36">
        <v>0.34036860000000002</v>
      </c>
      <c r="S203" s="36">
        <v>0.38706800000000002</v>
      </c>
      <c r="T203" s="36">
        <v>0.38895289999999999</v>
      </c>
      <c r="U203" s="36">
        <v>0.51075720000000002</v>
      </c>
      <c r="V203" s="393">
        <v>1</v>
      </c>
      <c r="W203" s="36">
        <v>0.42062559999999999</v>
      </c>
      <c r="X203" s="36">
        <v>0.56319839999999999</v>
      </c>
      <c r="Y203" s="36">
        <v>0.6026205</v>
      </c>
      <c r="Z203" s="36">
        <v>0.60923210000000005</v>
      </c>
      <c r="AA203" s="36">
        <v>0.74026230000000004</v>
      </c>
      <c r="AB203" s="393">
        <v>1</v>
      </c>
    </row>
    <row r="204" spans="2:28" ht="0.5" customHeight="1">
      <c r="B204" s="9" t="s">
        <v>40</v>
      </c>
      <c r="C204" s="9" t="str">
        <f t="shared" si="59"/>
        <v>Brazil23</v>
      </c>
      <c r="D204" s="9">
        <v>23</v>
      </c>
      <c r="E204" s="36">
        <v>0.39092710000000003</v>
      </c>
      <c r="F204" s="36">
        <v>0.62950649999999997</v>
      </c>
      <c r="G204" s="36">
        <v>0.76220810000000006</v>
      </c>
      <c r="H204" s="36">
        <v>0.77280040000000005</v>
      </c>
      <c r="I204" s="36">
        <v>0.88012259999999998</v>
      </c>
      <c r="J204" s="393">
        <v>1</v>
      </c>
      <c r="K204" s="36">
        <v>0.53883800000000004</v>
      </c>
      <c r="L204" s="36">
        <v>0.68664849999999999</v>
      </c>
      <c r="M204" s="36">
        <v>0.75529710000000005</v>
      </c>
      <c r="N204" s="36">
        <v>0.77532330000000005</v>
      </c>
      <c r="O204" s="36">
        <v>0.87437609999999999</v>
      </c>
      <c r="P204" s="393">
        <v>1</v>
      </c>
      <c r="Q204" s="36">
        <v>0.1611823</v>
      </c>
      <c r="R204" s="36">
        <v>0.34398109999999998</v>
      </c>
      <c r="S204" s="36">
        <v>0.3957388</v>
      </c>
      <c r="T204" s="36">
        <v>0.3979183</v>
      </c>
      <c r="U204" s="36">
        <v>0.51503120000000002</v>
      </c>
      <c r="V204" s="393">
        <v>1</v>
      </c>
      <c r="W204" s="36">
        <v>0.44229299999999999</v>
      </c>
      <c r="X204" s="36">
        <v>0.57848409999999995</v>
      </c>
      <c r="Y204" s="36">
        <v>0.62237949999999997</v>
      </c>
      <c r="Z204" s="36">
        <v>0.63045479999999998</v>
      </c>
      <c r="AA204" s="36">
        <v>0.75577240000000001</v>
      </c>
      <c r="AB204" s="393">
        <v>1</v>
      </c>
    </row>
    <row r="205" spans="2:28" ht="0.5" customHeight="1">
      <c r="B205" s="9" t="s">
        <v>40</v>
      </c>
      <c r="C205" s="9" t="str">
        <f t="shared" si="59"/>
        <v>Brazil24</v>
      </c>
      <c r="D205" s="9">
        <v>24</v>
      </c>
      <c r="E205" s="36">
        <v>0.41391149999999999</v>
      </c>
      <c r="F205" s="36">
        <v>0.63751519999999995</v>
      </c>
      <c r="G205" s="36">
        <v>0.78968389999999999</v>
      </c>
      <c r="H205" s="36">
        <v>0.80405859999999996</v>
      </c>
      <c r="I205" s="36">
        <v>0.89798279999999997</v>
      </c>
      <c r="J205" s="393">
        <v>1</v>
      </c>
      <c r="K205" s="36">
        <v>0.58091859999999995</v>
      </c>
      <c r="L205" s="36">
        <v>0.71088340000000005</v>
      </c>
      <c r="M205" s="36">
        <v>0.79391769999999995</v>
      </c>
      <c r="N205" s="36">
        <v>0.82120899999999997</v>
      </c>
      <c r="O205" s="36">
        <v>0.90767410000000004</v>
      </c>
      <c r="P205" s="393">
        <v>1</v>
      </c>
      <c r="Q205" s="36">
        <v>0.16871459999999999</v>
      </c>
      <c r="R205" s="36">
        <v>0.34757779999999999</v>
      </c>
      <c r="S205" s="36">
        <v>0.409026</v>
      </c>
      <c r="T205" s="36">
        <v>0.41184480000000001</v>
      </c>
      <c r="U205" s="36">
        <v>0.52019539999999997</v>
      </c>
      <c r="V205" s="393">
        <v>1</v>
      </c>
      <c r="W205" s="36">
        <v>0.47875960000000001</v>
      </c>
      <c r="X205" s="36">
        <v>0.5998985</v>
      </c>
      <c r="Y205" s="36">
        <v>0.65285070000000001</v>
      </c>
      <c r="Z205" s="36">
        <v>0.66413630000000001</v>
      </c>
      <c r="AA205" s="36">
        <v>0.77857540000000003</v>
      </c>
      <c r="AB205" s="393">
        <v>1</v>
      </c>
    </row>
    <row r="206" spans="2:28" ht="0.5" customHeight="1">
      <c r="B206" s="9" t="s">
        <v>40</v>
      </c>
      <c r="C206" s="9" t="str">
        <f t="shared" si="59"/>
        <v>Brazil25</v>
      </c>
      <c r="D206" s="9">
        <v>25</v>
      </c>
      <c r="E206" s="36">
        <v>0.42150110000000002</v>
      </c>
      <c r="F206" s="36">
        <v>0.63742790000000005</v>
      </c>
      <c r="G206" s="36">
        <v>0.79886690000000005</v>
      </c>
      <c r="H206" s="36">
        <v>0.81520630000000005</v>
      </c>
      <c r="I206" s="36">
        <v>0.90372969999999997</v>
      </c>
      <c r="J206" s="393">
        <v>1</v>
      </c>
      <c r="K206" s="36">
        <v>0.59804900000000005</v>
      </c>
      <c r="L206" s="36">
        <v>0.71953769999999995</v>
      </c>
      <c r="M206" s="36">
        <v>0.80959320000000001</v>
      </c>
      <c r="N206" s="36">
        <v>0.84075440000000001</v>
      </c>
      <c r="O206" s="36">
        <v>0.92135420000000001</v>
      </c>
      <c r="P206" s="393">
        <v>1</v>
      </c>
      <c r="Q206" s="36">
        <v>0.17173559999999999</v>
      </c>
      <c r="R206" s="36">
        <v>0.34917239999999999</v>
      </c>
      <c r="S206" s="36">
        <v>0.41531439999999997</v>
      </c>
      <c r="T206" s="36">
        <v>0.4184793</v>
      </c>
      <c r="U206" s="36">
        <v>0.52264840000000001</v>
      </c>
      <c r="V206" s="393">
        <v>1</v>
      </c>
      <c r="W206" s="36">
        <v>0.4923071</v>
      </c>
      <c r="X206" s="36">
        <v>0.60687539999999995</v>
      </c>
      <c r="Y206" s="36">
        <v>0.66424170000000005</v>
      </c>
      <c r="Z206" s="36">
        <v>0.67727660000000001</v>
      </c>
      <c r="AA206" s="36">
        <v>0.7869545</v>
      </c>
      <c r="AB206" s="393">
        <v>1</v>
      </c>
    </row>
    <row r="207" spans="2:28" ht="0.5" customHeight="1">
      <c r="B207" s="9" t="s">
        <v>40</v>
      </c>
      <c r="C207" s="9" t="str">
        <f t="shared" si="59"/>
        <v>Brazil26</v>
      </c>
      <c r="D207" s="9">
        <v>26</v>
      </c>
      <c r="E207" s="36">
        <v>0.42626799999999998</v>
      </c>
      <c r="F207" s="36">
        <v>0.63511470000000003</v>
      </c>
      <c r="G207" s="36">
        <v>0.8055949</v>
      </c>
      <c r="H207" s="36">
        <v>0.82395560000000001</v>
      </c>
      <c r="I207" s="36">
        <v>0.90790130000000002</v>
      </c>
      <c r="J207" s="393">
        <v>1</v>
      </c>
      <c r="K207" s="36">
        <v>0.61217920000000003</v>
      </c>
      <c r="L207" s="36">
        <v>0.72590140000000003</v>
      </c>
      <c r="M207" s="36">
        <v>0.82250920000000005</v>
      </c>
      <c r="N207" s="36">
        <v>0.85762890000000003</v>
      </c>
      <c r="O207" s="36">
        <v>0.93247780000000002</v>
      </c>
      <c r="P207" s="393">
        <v>1</v>
      </c>
      <c r="Q207" s="36">
        <v>0.17461760000000001</v>
      </c>
      <c r="R207" s="36">
        <v>0.35072569999999997</v>
      </c>
      <c r="S207" s="36">
        <v>0.42133700000000002</v>
      </c>
      <c r="T207" s="36">
        <v>0.4248517</v>
      </c>
      <c r="U207" s="36">
        <v>0.52501969999999998</v>
      </c>
      <c r="V207" s="393">
        <v>1</v>
      </c>
      <c r="W207" s="36">
        <v>0.50169629999999998</v>
      </c>
      <c r="X207" s="36">
        <v>0.61055970000000004</v>
      </c>
      <c r="Y207" s="36">
        <v>0.67225500000000005</v>
      </c>
      <c r="Z207" s="36">
        <v>0.68712689999999998</v>
      </c>
      <c r="AA207" s="36">
        <v>0.7918828</v>
      </c>
      <c r="AB207" s="393">
        <v>1</v>
      </c>
    </row>
    <row r="208" spans="2:28" ht="0.5" customHeight="1">
      <c r="B208" s="9" t="s">
        <v>40</v>
      </c>
      <c r="C208" s="9" t="str">
        <f t="shared" si="59"/>
        <v>Brazil27</v>
      </c>
      <c r="D208" s="9">
        <v>27</v>
      </c>
      <c r="E208" s="36">
        <v>0.43383129999999998</v>
      </c>
      <c r="F208" s="36">
        <v>0.62996969999999997</v>
      </c>
      <c r="G208" s="36">
        <v>0.81699279999999996</v>
      </c>
      <c r="H208" s="36">
        <v>0.8394102</v>
      </c>
      <c r="I208" s="36">
        <v>0.915744</v>
      </c>
      <c r="J208" s="393">
        <v>1</v>
      </c>
      <c r="K208" s="36">
        <v>0.63031119999999996</v>
      </c>
      <c r="L208" s="36">
        <v>0.73128439999999995</v>
      </c>
      <c r="M208" s="36">
        <v>0.83930939999999998</v>
      </c>
      <c r="N208" s="36">
        <v>0.88256190000000001</v>
      </c>
      <c r="O208" s="36">
        <v>0.94666439999999996</v>
      </c>
      <c r="P208" s="393">
        <v>1</v>
      </c>
      <c r="Q208" s="36">
        <v>0.18000430000000001</v>
      </c>
      <c r="R208" s="36">
        <v>0.35386790000000001</v>
      </c>
      <c r="S208" s="36">
        <v>0.43308829999999998</v>
      </c>
      <c r="T208" s="36">
        <v>0.43734020000000001</v>
      </c>
      <c r="U208" s="36">
        <v>0.53043989999999996</v>
      </c>
      <c r="V208" s="393">
        <v>1</v>
      </c>
      <c r="W208" s="36">
        <v>0.51189819999999997</v>
      </c>
      <c r="X208" s="36">
        <v>0.61178089999999996</v>
      </c>
      <c r="Y208" s="36">
        <v>0.6818322</v>
      </c>
      <c r="Z208" s="36">
        <v>0.70056010000000002</v>
      </c>
      <c r="AA208" s="36">
        <v>0.79585150000000004</v>
      </c>
      <c r="AB208" s="393">
        <v>1</v>
      </c>
    </row>
    <row r="209" spans="2:28" ht="0.5" customHeight="1">
      <c r="B209" s="9" t="s">
        <v>40</v>
      </c>
      <c r="C209" s="9" t="str">
        <f t="shared" si="59"/>
        <v>Brazil28</v>
      </c>
      <c r="D209" s="9">
        <v>28</v>
      </c>
      <c r="E209" s="36">
        <v>0.43533119999999997</v>
      </c>
      <c r="F209" s="36">
        <v>0.62537200000000004</v>
      </c>
      <c r="G209" s="36">
        <v>0.81999699999999998</v>
      </c>
      <c r="H209" s="36">
        <v>0.84447430000000001</v>
      </c>
      <c r="I209" s="36">
        <v>0.91747060000000002</v>
      </c>
      <c r="J209" s="393">
        <v>1</v>
      </c>
      <c r="K209" s="36">
        <v>0.6366695</v>
      </c>
      <c r="L209" s="36">
        <v>0.73253049999999997</v>
      </c>
      <c r="M209" s="36">
        <v>0.84548040000000002</v>
      </c>
      <c r="N209" s="36">
        <v>0.8928971</v>
      </c>
      <c r="O209" s="36">
        <v>0.95251569999999997</v>
      </c>
      <c r="P209" s="393">
        <v>1</v>
      </c>
      <c r="Q209" s="36">
        <v>0.1833437</v>
      </c>
      <c r="R209" s="36">
        <v>0.3567941</v>
      </c>
      <c r="S209" s="36">
        <v>0.44019399999999997</v>
      </c>
      <c r="T209" s="36">
        <v>0.44483980000000001</v>
      </c>
      <c r="U209" s="36">
        <v>0.53519919999999999</v>
      </c>
      <c r="V209" s="393">
        <v>1</v>
      </c>
      <c r="W209" s="36">
        <v>0.51438079999999997</v>
      </c>
      <c r="X209" s="36">
        <v>0.61016959999999998</v>
      </c>
      <c r="Y209" s="36">
        <v>0.68430290000000005</v>
      </c>
      <c r="Z209" s="36">
        <v>0.70491890000000001</v>
      </c>
      <c r="AA209" s="36">
        <v>0.7957999</v>
      </c>
      <c r="AB209" s="393">
        <v>1</v>
      </c>
    </row>
    <row r="210" spans="2:28" ht="0.5" customHeight="1">
      <c r="B210" s="9" t="s">
        <v>40</v>
      </c>
      <c r="C210" s="9" t="str">
        <f t="shared" si="59"/>
        <v>Brazil29</v>
      </c>
      <c r="D210" s="9">
        <v>29</v>
      </c>
      <c r="E210" s="36">
        <v>0.43987470000000001</v>
      </c>
      <c r="F210" s="36">
        <v>0.6183611</v>
      </c>
      <c r="G210" s="36">
        <v>0.82798459999999996</v>
      </c>
      <c r="H210" s="36">
        <v>0.85655530000000002</v>
      </c>
      <c r="I210" s="36">
        <v>0.92334000000000005</v>
      </c>
      <c r="J210" s="393">
        <v>1</v>
      </c>
      <c r="K210" s="36">
        <v>0.6433181</v>
      </c>
      <c r="L210" s="36">
        <v>0.7310662</v>
      </c>
      <c r="M210" s="36">
        <v>0.85356489999999996</v>
      </c>
      <c r="N210" s="36">
        <v>0.90923569999999998</v>
      </c>
      <c r="O210" s="36">
        <v>0.96125039999999995</v>
      </c>
      <c r="P210" s="393">
        <v>1</v>
      </c>
      <c r="Q210" s="36">
        <v>0.1902585</v>
      </c>
      <c r="R210" s="36">
        <v>0.3637357</v>
      </c>
      <c r="S210" s="36">
        <v>0.4550013</v>
      </c>
      <c r="T210" s="36">
        <v>0.4604705</v>
      </c>
      <c r="U210" s="36">
        <v>0.54615279999999999</v>
      </c>
      <c r="V210" s="393">
        <v>1</v>
      </c>
      <c r="W210" s="36">
        <v>0.52038930000000005</v>
      </c>
      <c r="X210" s="36">
        <v>0.60869070000000003</v>
      </c>
      <c r="Y210" s="36">
        <v>0.69074959999999996</v>
      </c>
      <c r="Z210" s="36">
        <v>0.71502529999999997</v>
      </c>
      <c r="AA210" s="36">
        <v>0.79826889999999995</v>
      </c>
      <c r="AB210" s="393">
        <v>1</v>
      </c>
    </row>
    <row r="211" spans="2:28" ht="0.5" customHeight="1">
      <c r="B211" s="9" t="s">
        <v>40</v>
      </c>
      <c r="C211" s="9" t="str">
        <f t="shared" si="59"/>
        <v>Brazil30</v>
      </c>
      <c r="D211" s="9">
        <v>30</v>
      </c>
      <c r="E211" s="36">
        <v>0.44128479999999998</v>
      </c>
      <c r="F211" s="36">
        <v>0.61476059999999999</v>
      </c>
      <c r="G211" s="36">
        <v>0.83090229999999998</v>
      </c>
      <c r="H211" s="36">
        <v>0.86133729999999997</v>
      </c>
      <c r="I211" s="36">
        <v>0.92566159999999997</v>
      </c>
      <c r="J211" s="393">
        <v>1</v>
      </c>
      <c r="K211" s="36">
        <v>0.64273429999999998</v>
      </c>
      <c r="L211" s="36">
        <v>0.72743029999999997</v>
      </c>
      <c r="M211" s="36">
        <v>0.85402699999999998</v>
      </c>
      <c r="N211" s="36">
        <v>0.91375479999999998</v>
      </c>
      <c r="O211" s="36">
        <v>0.96273109999999995</v>
      </c>
      <c r="P211" s="393">
        <v>1</v>
      </c>
      <c r="Q211" s="36">
        <v>0.19436880000000001</v>
      </c>
      <c r="R211" s="36">
        <v>0.36864209999999997</v>
      </c>
      <c r="S211" s="36">
        <v>0.46354919999999999</v>
      </c>
      <c r="T211" s="36">
        <v>0.46943390000000002</v>
      </c>
      <c r="U211" s="36">
        <v>0.55290340000000004</v>
      </c>
      <c r="V211" s="393">
        <v>1</v>
      </c>
      <c r="W211" s="36">
        <v>0.52299490000000004</v>
      </c>
      <c r="X211" s="36">
        <v>0.60793569999999997</v>
      </c>
      <c r="Y211" s="36">
        <v>0.69355540000000004</v>
      </c>
      <c r="Z211" s="36">
        <v>0.71950259999999999</v>
      </c>
      <c r="AA211" s="36">
        <v>0.79953580000000002</v>
      </c>
      <c r="AB211" s="393">
        <v>1</v>
      </c>
    </row>
    <row r="212" spans="2:28" ht="0.5" customHeight="1">
      <c r="B212" s="9" t="s">
        <v>40</v>
      </c>
      <c r="C212" s="9" t="str">
        <f t="shared" si="59"/>
        <v>Brazil31</v>
      </c>
      <c r="D212" s="9">
        <v>31</v>
      </c>
      <c r="E212" s="36">
        <v>0.4417894</v>
      </c>
      <c r="F212" s="36">
        <v>0.61040839999999996</v>
      </c>
      <c r="G212" s="36">
        <v>0.83250950000000001</v>
      </c>
      <c r="H212" s="36">
        <v>0.86472749999999998</v>
      </c>
      <c r="I212" s="36">
        <v>0.92718</v>
      </c>
      <c r="J212" s="393">
        <v>1</v>
      </c>
      <c r="K212" s="36">
        <v>0.64149719999999999</v>
      </c>
      <c r="L212" s="36">
        <v>0.72329869999999996</v>
      </c>
      <c r="M212" s="36">
        <v>0.85366149999999996</v>
      </c>
      <c r="N212" s="36">
        <v>0.9173578</v>
      </c>
      <c r="O212" s="36">
        <v>0.96350150000000001</v>
      </c>
      <c r="P212" s="393">
        <v>1</v>
      </c>
      <c r="Q212" s="36">
        <v>0.19850110000000001</v>
      </c>
      <c r="R212" s="36">
        <v>0.37401640000000003</v>
      </c>
      <c r="S212" s="36">
        <v>0.47230090000000002</v>
      </c>
      <c r="T212" s="36">
        <v>0.47861550000000003</v>
      </c>
      <c r="U212" s="36">
        <v>0.55987969999999998</v>
      </c>
      <c r="V212" s="393">
        <v>1</v>
      </c>
      <c r="W212" s="36">
        <v>0.52555600000000002</v>
      </c>
      <c r="X212" s="36">
        <v>0.60776070000000004</v>
      </c>
      <c r="Y212" s="36">
        <v>0.69668289999999999</v>
      </c>
      <c r="Z212" s="36">
        <v>0.72426500000000005</v>
      </c>
      <c r="AA212" s="36">
        <v>0.80127289999999995</v>
      </c>
      <c r="AB212" s="393">
        <v>1</v>
      </c>
    </row>
    <row r="213" spans="2:28" ht="0.5" customHeight="1">
      <c r="B213" s="9" t="s">
        <v>40</v>
      </c>
      <c r="C213" s="9" t="str">
        <f t="shared" si="59"/>
        <v>Brazil32</v>
      </c>
      <c r="D213" s="9">
        <v>32</v>
      </c>
      <c r="E213" s="36">
        <v>0.43983359999999999</v>
      </c>
      <c r="F213" s="36">
        <v>0.59949759999999996</v>
      </c>
      <c r="G213" s="36">
        <v>0.83191669999999995</v>
      </c>
      <c r="H213" s="36">
        <v>0.86754520000000002</v>
      </c>
      <c r="I213" s="36">
        <v>0.92759800000000003</v>
      </c>
      <c r="J213" s="393">
        <v>1</v>
      </c>
      <c r="K213" s="36">
        <v>0.64253610000000005</v>
      </c>
      <c r="L213" s="36">
        <v>0.71940110000000002</v>
      </c>
      <c r="M213" s="36">
        <v>0.85690279999999996</v>
      </c>
      <c r="N213" s="36">
        <v>0.92772319999999997</v>
      </c>
      <c r="O213" s="36">
        <v>0.96904749999999995</v>
      </c>
      <c r="P213" s="393">
        <v>1</v>
      </c>
      <c r="Q213" s="36">
        <v>0.2060467</v>
      </c>
      <c r="R213" s="36">
        <v>0.38266499999999998</v>
      </c>
      <c r="S213" s="36">
        <v>0.48733310000000002</v>
      </c>
      <c r="T213" s="36">
        <v>0.49452380000000001</v>
      </c>
      <c r="U213" s="36">
        <v>0.57137340000000003</v>
      </c>
      <c r="V213" s="393">
        <v>1</v>
      </c>
      <c r="W213" s="36">
        <v>0.52847189999999999</v>
      </c>
      <c r="X213" s="36">
        <v>0.60558800000000002</v>
      </c>
      <c r="Y213" s="36">
        <v>0.70014259999999995</v>
      </c>
      <c r="Z213" s="36">
        <v>0.73082409999999998</v>
      </c>
      <c r="AA213" s="36">
        <v>0.80265439999999999</v>
      </c>
      <c r="AB213" s="393">
        <v>1</v>
      </c>
    </row>
    <row r="214" spans="2:28" ht="0.5" customHeight="1">
      <c r="B214" s="9" t="s">
        <v>40</v>
      </c>
      <c r="C214" s="9" t="str">
        <f t="shared" si="59"/>
        <v>Brazil33</v>
      </c>
      <c r="D214" s="9">
        <v>33</v>
      </c>
      <c r="E214" s="36">
        <v>0.4394671</v>
      </c>
      <c r="F214" s="36">
        <v>0.59550040000000004</v>
      </c>
      <c r="G214" s="36">
        <v>0.83271170000000005</v>
      </c>
      <c r="H214" s="36">
        <v>0.87001680000000003</v>
      </c>
      <c r="I214" s="36">
        <v>0.92908219999999997</v>
      </c>
      <c r="J214" s="393">
        <v>1</v>
      </c>
      <c r="K214" s="36">
        <v>0.64202349999999997</v>
      </c>
      <c r="L214" s="36">
        <v>0.71641250000000001</v>
      </c>
      <c r="M214" s="36">
        <v>0.857186</v>
      </c>
      <c r="N214" s="36">
        <v>0.93132720000000002</v>
      </c>
      <c r="O214" s="36">
        <v>0.97099599999999997</v>
      </c>
      <c r="P214" s="393">
        <v>1</v>
      </c>
      <c r="Q214" s="36">
        <v>0.2096383</v>
      </c>
      <c r="R214" s="36">
        <v>0.38684380000000002</v>
      </c>
      <c r="S214" s="36">
        <v>0.49443290000000001</v>
      </c>
      <c r="T214" s="36">
        <v>0.50202409999999997</v>
      </c>
      <c r="U214" s="36">
        <v>0.5765363</v>
      </c>
      <c r="V214" s="393">
        <v>1</v>
      </c>
      <c r="W214" s="36">
        <v>0.52893380000000001</v>
      </c>
      <c r="X214" s="36">
        <v>0.60395160000000003</v>
      </c>
      <c r="Y214" s="36">
        <v>0.70101919999999995</v>
      </c>
      <c r="Z214" s="36">
        <v>0.73315129999999995</v>
      </c>
      <c r="AA214" s="36">
        <v>0.80245659999999996</v>
      </c>
      <c r="AB214" s="393">
        <v>1</v>
      </c>
    </row>
    <row r="215" spans="2:28" ht="0.5" customHeight="1">
      <c r="B215" s="9" t="s">
        <v>40</v>
      </c>
      <c r="C215" s="9" t="str">
        <f t="shared" si="59"/>
        <v>Brazil34</v>
      </c>
      <c r="D215" s="9">
        <v>34</v>
      </c>
      <c r="E215" s="36">
        <v>0.4367818</v>
      </c>
      <c r="F215" s="36">
        <v>0.5848546</v>
      </c>
      <c r="G215" s="36">
        <v>0.83202790000000004</v>
      </c>
      <c r="H215" s="36">
        <v>0.87232509999999996</v>
      </c>
      <c r="I215" s="36">
        <v>0.9287533</v>
      </c>
      <c r="J215" s="393">
        <v>1</v>
      </c>
      <c r="K215" s="36">
        <v>0.63523209999999997</v>
      </c>
      <c r="L215" s="36">
        <v>0.70505799999999996</v>
      </c>
      <c r="M215" s="36">
        <v>0.85159079999999998</v>
      </c>
      <c r="N215" s="36">
        <v>0.93215440000000005</v>
      </c>
      <c r="O215" s="36">
        <v>0.96989230000000004</v>
      </c>
      <c r="P215" s="393">
        <v>1</v>
      </c>
      <c r="Q215" s="36">
        <v>0.21547620000000001</v>
      </c>
      <c r="R215" s="36">
        <v>0.39388030000000002</v>
      </c>
      <c r="S215" s="36">
        <v>0.50608209999999998</v>
      </c>
      <c r="T215" s="36">
        <v>0.51435509999999995</v>
      </c>
      <c r="U215" s="36">
        <v>0.58471980000000001</v>
      </c>
      <c r="V215" s="393">
        <v>1</v>
      </c>
      <c r="W215" s="36">
        <v>0.53048629999999997</v>
      </c>
      <c r="X215" s="36">
        <v>0.60171289999999999</v>
      </c>
      <c r="Y215" s="36">
        <v>0.70246560000000002</v>
      </c>
      <c r="Z215" s="36">
        <v>0.73730439999999997</v>
      </c>
      <c r="AA215" s="36">
        <v>0.80171570000000003</v>
      </c>
      <c r="AB215" s="393">
        <v>1</v>
      </c>
    </row>
    <row r="216" spans="2:28" ht="0.5" customHeight="1">
      <c r="B216" s="9" t="s">
        <v>40</v>
      </c>
      <c r="C216" s="9" t="str">
        <f t="shared" si="59"/>
        <v>Brazil35</v>
      </c>
      <c r="D216" s="9">
        <v>35</v>
      </c>
      <c r="E216" s="36">
        <v>0.43505709999999997</v>
      </c>
      <c r="F216" s="36">
        <v>0.57915150000000004</v>
      </c>
      <c r="G216" s="36">
        <v>0.83152669999999995</v>
      </c>
      <c r="H216" s="36">
        <v>0.87321199999999999</v>
      </c>
      <c r="I216" s="36">
        <v>0.92835900000000005</v>
      </c>
      <c r="J216" s="393">
        <v>1</v>
      </c>
      <c r="K216" s="36">
        <v>0.63190820000000003</v>
      </c>
      <c r="L216" s="36">
        <v>0.70062239999999998</v>
      </c>
      <c r="M216" s="36">
        <v>0.84996320000000003</v>
      </c>
      <c r="N216" s="36">
        <v>0.93385169999999995</v>
      </c>
      <c r="O216" s="36">
        <v>0.97071370000000001</v>
      </c>
      <c r="P216" s="393">
        <v>1</v>
      </c>
      <c r="Q216" s="36">
        <v>0.21822059999999999</v>
      </c>
      <c r="R216" s="36">
        <v>0.39601170000000002</v>
      </c>
      <c r="S216" s="36">
        <v>0.51032319999999998</v>
      </c>
      <c r="T216" s="36">
        <v>0.51886180000000004</v>
      </c>
      <c r="U216" s="36">
        <v>0.587476</v>
      </c>
      <c r="V216" s="393">
        <v>1</v>
      </c>
      <c r="W216" s="36">
        <v>0.53285059999999995</v>
      </c>
      <c r="X216" s="36">
        <v>0.6023001</v>
      </c>
      <c r="Y216" s="36">
        <v>0.70474720000000002</v>
      </c>
      <c r="Z216" s="36">
        <v>0.7406741</v>
      </c>
      <c r="AA216" s="36">
        <v>0.80257940000000005</v>
      </c>
      <c r="AB216" s="393">
        <v>1</v>
      </c>
    </row>
    <row r="217" spans="2:28" ht="0.5" customHeight="1">
      <c r="B217" s="9" t="s">
        <v>40</v>
      </c>
      <c r="C217" s="9" t="str">
        <f t="shared" si="59"/>
        <v>Brazil36</v>
      </c>
      <c r="D217" s="9">
        <v>36</v>
      </c>
      <c r="E217" s="36">
        <v>0.433535</v>
      </c>
      <c r="F217" s="36">
        <v>0.57396760000000002</v>
      </c>
      <c r="G217" s="36">
        <v>0.83091809999999999</v>
      </c>
      <c r="H217" s="36">
        <v>0.8740329</v>
      </c>
      <c r="I217" s="36">
        <v>0.92825769999999996</v>
      </c>
      <c r="J217" s="393">
        <v>1</v>
      </c>
      <c r="K217" s="36">
        <v>0.62906359999999995</v>
      </c>
      <c r="L217" s="36">
        <v>0.69687220000000005</v>
      </c>
      <c r="M217" s="36">
        <v>0.84852530000000004</v>
      </c>
      <c r="N217" s="36">
        <v>0.9356911</v>
      </c>
      <c r="O217" s="36">
        <v>0.97162910000000002</v>
      </c>
      <c r="P217" s="393">
        <v>1</v>
      </c>
      <c r="Q217" s="36">
        <v>0.22107199999999999</v>
      </c>
      <c r="R217" s="36">
        <v>0.39828160000000001</v>
      </c>
      <c r="S217" s="36">
        <v>0.51479319999999995</v>
      </c>
      <c r="T217" s="36">
        <v>0.52359</v>
      </c>
      <c r="U217" s="36">
        <v>0.590387</v>
      </c>
      <c r="V217" s="393">
        <v>1</v>
      </c>
      <c r="W217" s="36">
        <v>0.53654440000000003</v>
      </c>
      <c r="X217" s="36">
        <v>0.60443290000000005</v>
      </c>
      <c r="Y217" s="36">
        <v>0.70854439999999996</v>
      </c>
      <c r="Z217" s="36">
        <v>0.74549529999999997</v>
      </c>
      <c r="AA217" s="36">
        <v>0.80544450000000001</v>
      </c>
      <c r="AB217" s="393">
        <v>1</v>
      </c>
    </row>
    <row r="218" spans="2:28" ht="0.5" customHeight="1">
      <c r="B218" s="9" t="s">
        <v>40</v>
      </c>
      <c r="C218" s="9" t="str">
        <f t="shared" si="59"/>
        <v>Brazil37</v>
      </c>
      <c r="D218" s="9">
        <v>37</v>
      </c>
      <c r="E218" s="36">
        <v>0.43157699999999999</v>
      </c>
      <c r="F218" s="36">
        <v>0.5654884</v>
      </c>
      <c r="G218" s="36">
        <v>0.83041149999999997</v>
      </c>
      <c r="H218" s="36">
        <v>0.87615100000000001</v>
      </c>
      <c r="I218" s="36">
        <v>0.92862180000000005</v>
      </c>
      <c r="J218" s="393">
        <v>1</v>
      </c>
      <c r="K218" s="36">
        <v>0.62376980000000004</v>
      </c>
      <c r="L218" s="36">
        <v>0.68939059999999996</v>
      </c>
      <c r="M218" s="36">
        <v>0.84573609999999999</v>
      </c>
      <c r="N218" s="36">
        <v>0.93871760000000004</v>
      </c>
      <c r="O218" s="36">
        <v>0.97208850000000002</v>
      </c>
      <c r="P218" s="393">
        <v>1</v>
      </c>
      <c r="Q218" s="36">
        <v>0.22559679999999999</v>
      </c>
      <c r="R218" s="36">
        <v>0.40013460000000001</v>
      </c>
      <c r="S218" s="36">
        <v>0.52092490000000002</v>
      </c>
      <c r="T218" s="36">
        <v>0.53021160000000001</v>
      </c>
      <c r="U218" s="36">
        <v>0.59291119999999997</v>
      </c>
      <c r="V218" s="393">
        <v>1</v>
      </c>
      <c r="W218" s="36">
        <v>0.53998250000000003</v>
      </c>
      <c r="X218" s="36">
        <v>0.60528870000000001</v>
      </c>
      <c r="Y218" s="36">
        <v>0.71199420000000002</v>
      </c>
      <c r="Z218" s="36">
        <v>0.75045779999999995</v>
      </c>
      <c r="AA218" s="36">
        <v>0.80604279999999995</v>
      </c>
      <c r="AB218" s="393">
        <v>1</v>
      </c>
    </row>
    <row r="219" spans="2:28" ht="0.5" customHeight="1">
      <c r="B219" s="9" t="s">
        <v>40</v>
      </c>
      <c r="C219" s="9" t="str">
        <f t="shared" si="59"/>
        <v>Brazil38</v>
      </c>
      <c r="D219" s="9">
        <v>38</v>
      </c>
      <c r="E219" s="36">
        <v>0.42946279999999998</v>
      </c>
      <c r="F219" s="36">
        <v>0.56032850000000001</v>
      </c>
      <c r="G219" s="36">
        <v>0.82867820000000003</v>
      </c>
      <c r="H219" s="36">
        <v>0.87559209999999998</v>
      </c>
      <c r="I219" s="36">
        <v>0.92722599999999999</v>
      </c>
      <c r="J219" s="393">
        <v>1</v>
      </c>
      <c r="K219" s="36">
        <v>0.62002550000000001</v>
      </c>
      <c r="L219" s="36">
        <v>0.68443869999999996</v>
      </c>
      <c r="M219" s="36">
        <v>0.84257760000000004</v>
      </c>
      <c r="N219" s="36">
        <v>0.93840889999999999</v>
      </c>
      <c r="O219" s="36">
        <v>0.97093980000000002</v>
      </c>
      <c r="P219" s="393">
        <v>1</v>
      </c>
      <c r="Q219" s="36">
        <v>0.2273877</v>
      </c>
      <c r="R219" s="36">
        <v>0.40014620000000001</v>
      </c>
      <c r="S219" s="36">
        <v>0.52294399999999996</v>
      </c>
      <c r="T219" s="36">
        <v>0.53246230000000006</v>
      </c>
      <c r="U219" s="36">
        <v>0.59307560000000004</v>
      </c>
      <c r="V219" s="393">
        <v>1</v>
      </c>
      <c r="W219" s="36">
        <v>0.54077149999999996</v>
      </c>
      <c r="X219" s="36">
        <v>0.60472789999999998</v>
      </c>
      <c r="Y219" s="36">
        <v>0.7123931</v>
      </c>
      <c r="Z219" s="36">
        <v>0.75143559999999998</v>
      </c>
      <c r="AA219" s="36">
        <v>0.805307</v>
      </c>
      <c r="AB219" s="393">
        <v>1</v>
      </c>
    </row>
    <row r="220" spans="2:28" ht="0.5" customHeight="1">
      <c r="B220" s="9" t="s">
        <v>40</v>
      </c>
      <c r="C220" s="9" t="str">
        <f t="shared" si="59"/>
        <v>Brazil39</v>
      </c>
      <c r="D220" s="9">
        <v>39</v>
      </c>
      <c r="E220" s="36">
        <v>0.42277550000000003</v>
      </c>
      <c r="F220" s="36">
        <v>0.54787549999999996</v>
      </c>
      <c r="G220" s="36">
        <v>0.82282060000000001</v>
      </c>
      <c r="H220" s="36">
        <v>0.8719498</v>
      </c>
      <c r="I220" s="36">
        <v>0.92125990000000002</v>
      </c>
      <c r="J220" s="393">
        <v>1</v>
      </c>
      <c r="K220" s="36">
        <v>0.61405679999999996</v>
      </c>
      <c r="L220" s="36">
        <v>0.67598970000000003</v>
      </c>
      <c r="M220" s="36">
        <v>0.83859720000000004</v>
      </c>
      <c r="N220" s="36">
        <v>0.93986820000000004</v>
      </c>
      <c r="O220" s="36">
        <v>0.97105609999999998</v>
      </c>
      <c r="P220" s="393">
        <v>1</v>
      </c>
      <c r="Q220" s="36">
        <v>0.23021140000000001</v>
      </c>
      <c r="R220" s="36">
        <v>0.39852579999999999</v>
      </c>
      <c r="S220" s="36">
        <v>0.52452339999999997</v>
      </c>
      <c r="T220" s="36">
        <v>0.53448439999999997</v>
      </c>
      <c r="U220" s="36">
        <v>0.59123550000000002</v>
      </c>
      <c r="V220" s="393">
        <v>1</v>
      </c>
      <c r="W220" s="36">
        <v>0.54384290000000002</v>
      </c>
      <c r="X220" s="36">
        <v>0.60518620000000001</v>
      </c>
      <c r="Y220" s="36">
        <v>0.71503839999999996</v>
      </c>
      <c r="Z220" s="36">
        <v>0.75522449999999997</v>
      </c>
      <c r="AA220" s="36">
        <v>0.80547709999999995</v>
      </c>
      <c r="AB220" s="393">
        <v>1</v>
      </c>
    </row>
    <row r="221" spans="2:28" ht="0.5" customHeight="1">
      <c r="B221" s="9" t="s">
        <v>40</v>
      </c>
      <c r="C221" s="9" t="str">
        <f t="shared" si="59"/>
        <v>Brazil40</v>
      </c>
      <c r="D221" s="9">
        <v>40</v>
      </c>
      <c r="E221" s="36">
        <v>0.41948160000000001</v>
      </c>
      <c r="F221" s="36">
        <v>0.54178510000000002</v>
      </c>
      <c r="G221" s="36">
        <v>0.82015369999999999</v>
      </c>
      <c r="H221" s="36">
        <v>0.87027770000000004</v>
      </c>
      <c r="I221" s="36">
        <v>0.91888669999999995</v>
      </c>
      <c r="J221" s="393">
        <v>1</v>
      </c>
      <c r="K221" s="36">
        <v>0.60817089999999996</v>
      </c>
      <c r="L221" s="36">
        <v>0.66872609999999999</v>
      </c>
      <c r="M221" s="36">
        <v>0.83365579999999995</v>
      </c>
      <c r="N221" s="36">
        <v>0.93721650000000001</v>
      </c>
      <c r="O221" s="36">
        <v>0.96760690000000005</v>
      </c>
      <c r="P221" s="393">
        <v>1</v>
      </c>
      <c r="Q221" s="36">
        <v>0.23032639999999999</v>
      </c>
      <c r="R221" s="36">
        <v>0.39641409999999999</v>
      </c>
      <c r="S221" s="36">
        <v>0.5235379</v>
      </c>
      <c r="T221" s="36">
        <v>0.53372470000000005</v>
      </c>
      <c r="U221" s="36">
        <v>0.58880529999999998</v>
      </c>
      <c r="V221" s="393">
        <v>1</v>
      </c>
      <c r="W221" s="36">
        <v>0.54288820000000004</v>
      </c>
      <c r="X221" s="36">
        <v>0.6030645</v>
      </c>
      <c r="Y221" s="36">
        <v>0.7139605</v>
      </c>
      <c r="Z221" s="36">
        <v>0.75488</v>
      </c>
      <c r="AA221" s="36">
        <v>0.80346050000000002</v>
      </c>
      <c r="AB221" s="393">
        <v>1</v>
      </c>
    </row>
    <row r="222" spans="2:28" ht="0.5" customHeight="1">
      <c r="B222" s="9" t="s">
        <v>40</v>
      </c>
      <c r="C222" s="9" t="str">
        <f t="shared" si="59"/>
        <v>Brazil41</v>
      </c>
      <c r="D222" s="9">
        <v>41</v>
      </c>
      <c r="E222" s="36">
        <v>0.41631030000000002</v>
      </c>
      <c r="F222" s="36">
        <v>0.53588309999999995</v>
      </c>
      <c r="G222" s="36">
        <v>0.81751289999999999</v>
      </c>
      <c r="H222" s="36">
        <v>0.86854310000000001</v>
      </c>
      <c r="I222" s="36">
        <v>0.91647259999999997</v>
      </c>
      <c r="J222" s="393">
        <v>1</v>
      </c>
      <c r="K222" s="36">
        <v>0.60446789999999995</v>
      </c>
      <c r="L222" s="36">
        <v>0.66412009999999999</v>
      </c>
      <c r="M222" s="36">
        <v>0.83187029999999995</v>
      </c>
      <c r="N222" s="36">
        <v>0.93741189999999996</v>
      </c>
      <c r="O222" s="36">
        <v>0.96710600000000002</v>
      </c>
      <c r="P222" s="393">
        <v>1</v>
      </c>
      <c r="Q222" s="36">
        <v>0.22983390000000001</v>
      </c>
      <c r="R222" s="36">
        <v>0.39334599999999997</v>
      </c>
      <c r="S222" s="36">
        <v>0.52134749999999996</v>
      </c>
      <c r="T222" s="36">
        <v>0.53176650000000003</v>
      </c>
      <c r="U222" s="36">
        <v>0.58531960000000005</v>
      </c>
      <c r="V222" s="393">
        <v>1</v>
      </c>
      <c r="W222" s="36">
        <v>0.54186460000000003</v>
      </c>
      <c r="X222" s="36">
        <v>0.60120320000000005</v>
      </c>
      <c r="Y222" s="36">
        <v>0.71305870000000005</v>
      </c>
      <c r="Z222" s="36">
        <v>0.75467550000000005</v>
      </c>
      <c r="AA222" s="36">
        <v>0.80187359999999996</v>
      </c>
      <c r="AB222" s="393">
        <v>1</v>
      </c>
    </row>
    <row r="223" spans="2:28" ht="0.5" customHeight="1">
      <c r="B223" s="9" t="s">
        <v>40</v>
      </c>
      <c r="C223" s="9" t="str">
        <f t="shared" si="59"/>
        <v>Brazil42</v>
      </c>
      <c r="D223" s="9">
        <v>42</v>
      </c>
      <c r="E223" s="36">
        <v>0.41202149999999998</v>
      </c>
      <c r="F223" s="36">
        <v>0.52683970000000002</v>
      </c>
      <c r="G223" s="36">
        <v>0.81340539999999995</v>
      </c>
      <c r="H223" s="36">
        <v>0.86577479999999996</v>
      </c>
      <c r="I223" s="36">
        <v>0.91347270000000003</v>
      </c>
      <c r="J223" s="393">
        <v>1</v>
      </c>
      <c r="K223" s="36">
        <v>0.59435780000000005</v>
      </c>
      <c r="L223" s="36">
        <v>0.65231300000000003</v>
      </c>
      <c r="M223" s="36">
        <v>0.82630510000000001</v>
      </c>
      <c r="N223" s="36">
        <v>0.93456450000000002</v>
      </c>
      <c r="O223" s="36">
        <v>0.96301820000000005</v>
      </c>
      <c r="P223" s="393">
        <v>1</v>
      </c>
      <c r="Q223" s="36">
        <v>0.2265471</v>
      </c>
      <c r="R223" s="36">
        <v>0.38489240000000002</v>
      </c>
      <c r="S223" s="36">
        <v>0.51431879999999996</v>
      </c>
      <c r="T223" s="36">
        <v>0.52514019999999995</v>
      </c>
      <c r="U223" s="36">
        <v>0.57566810000000002</v>
      </c>
      <c r="V223" s="393">
        <v>1</v>
      </c>
      <c r="W223" s="36">
        <v>0.53269860000000002</v>
      </c>
      <c r="X223" s="36">
        <v>0.59070659999999997</v>
      </c>
      <c r="Y223" s="36">
        <v>0.70430459999999995</v>
      </c>
      <c r="Z223" s="36">
        <v>0.74723249999999997</v>
      </c>
      <c r="AA223" s="36">
        <v>0.79154679999999999</v>
      </c>
      <c r="AB223" s="393">
        <v>1</v>
      </c>
    </row>
    <row r="224" spans="2:28" ht="0.5" customHeight="1">
      <c r="B224" s="9" t="s">
        <v>40</v>
      </c>
      <c r="C224" s="9" t="str">
        <f t="shared" si="59"/>
        <v>Brazil43</v>
      </c>
      <c r="D224" s="9">
        <v>43</v>
      </c>
      <c r="E224" s="36">
        <v>0.4094411</v>
      </c>
      <c r="F224" s="36">
        <v>0.52246179999999998</v>
      </c>
      <c r="G224" s="36">
        <v>0.81115219999999999</v>
      </c>
      <c r="H224" s="36">
        <v>0.86408039999999997</v>
      </c>
      <c r="I224" s="36">
        <v>0.91157809999999995</v>
      </c>
      <c r="J224" s="393">
        <v>1</v>
      </c>
      <c r="K224" s="36">
        <v>0.59036529999999998</v>
      </c>
      <c r="L224" s="36">
        <v>0.64773599999999998</v>
      </c>
      <c r="M224" s="36">
        <v>0.82501729999999995</v>
      </c>
      <c r="N224" s="36">
        <v>0.93434950000000005</v>
      </c>
      <c r="O224" s="36">
        <v>0.96203859999999997</v>
      </c>
      <c r="P224" s="393">
        <v>1</v>
      </c>
      <c r="Q224" s="36">
        <v>0.22426399999999999</v>
      </c>
      <c r="R224" s="36">
        <v>0.37967889999999999</v>
      </c>
      <c r="S224" s="36">
        <v>0.50998840000000001</v>
      </c>
      <c r="T224" s="36">
        <v>0.52095309999999995</v>
      </c>
      <c r="U224" s="36">
        <v>0.56981320000000002</v>
      </c>
      <c r="V224" s="393">
        <v>1</v>
      </c>
      <c r="W224" s="36">
        <v>0.53039250000000004</v>
      </c>
      <c r="X224" s="36">
        <v>0.58770140000000004</v>
      </c>
      <c r="Y224" s="36">
        <v>0.70205879999999998</v>
      </c>
      <c r="Z224" s="36">
        <v>0.7454925</v>
      </c>
      <c r="AA224" s="36">
        <v>0.78807839999999996</v>
      </c>
      <c r="AB224" s="393">
        <v>1</v>
      </c>
    </row>
    <row r="225" spans="2:28" ht="0.5" customHeight="1">
      <c r="B225" s="9" t="s">
        <v>40</v>
      </c>
      <c r="C225" s="9" t="str">
        <f t="shared" si="59"/>
        <v>Brazil44</v>
      </c>
      <c r="D225" s="9">
        <v>44</v>
      </c>
      <c r="E225" s="36">
        <v>0.40030009999999999</v>
      </c>
      <c r="F225" s="36">
        <v>0.51048890000000002</v>
      </c>
      <c r="G225" s="36">
        <v>0.80231370000000002</v>
      </c>
      <c r="H225" s="36">
        <v>0.85616060000000005</v>
      </c>
      <c r="I225" s="36">
        <v>0.90284589999999998</v>
      </c>
      <c r="J225" s="393">
        <v>1</v>
      </c>
      <c r="K225" s="36">
        <v>0.58082590000000001</v>
      </c>
      <c r="L225" s="36">
        <v>0.63778889999999999</v>
      </c>
      <c r="M225" s="36">
        <v>0.82070679999999996</v>
      </c>
      <c r="N225" s="36">
        <v>0.93149970000000004</v>
      </c>
      <c r="O225" s="36">
        <v>0.95792129999999998</v>
      </c>
      <c r="P225" s="393">
        <v>1</v>
      </c>
      <c r="Q225" s="36">
        <v>0.2194767</v>
      </c>
      <c r="R225" s="36">
        <v>0.36831730000000001</v>
      </c>
      <c r="S225" s="36">
        <v>0.49997180000000002</v>
      </c>
      <c r="T225" s="36">
        <v>0.51106410000000002</v>
      </c>
      <c r="U225" s="36">
        <v>0.55655779999999999</v>
      </c>
      <c r="V225" s="393">
        <v>1</v>
      </c>
      <c r="W225" s="36">
        <v>0.52609240000000002</v>
      </c>
      <c r="X225" s="36">
        <v>0.58088490000000004</v>
      </c>
      <c r="Y225" s="36">
        <v>0.69574000000000003</v>
      </c>
      <c r="Z225" s="36">
        <v>0.73973770000000005</v>
      </c>
      <c r="AA225" s="36">
        <v>0.7787596</v>
      </c>
      <c r="AB225" s="393">
        <v>1</v>
      </c>
    </row>
    <row r="226" spans="2:28" ht="0.5" customHeight="1">
      <c r="B226" s="9" t="s">
        <v>40</v>
      </c>
      <c r="C226" s="9" t="str">
        <f t="shared" si="59"/>
        <v>Brazil45</v>
      </c>
      <c r="D226" s="9">
        <v>45</v>
      </c>
      <c r="E226" s="36">
        <v>0.39348699999999998</v>
      </c>
      <c r="F226" s="36">
        <v>0.50206850000000003</v>
      </c>
      <c r="G226" s="36">
        <v>0.79565260000000004</v>
      </c>
      <c r="H226" s="36">
        <v>0.85012929999999998</v>
      </c>
      <c r="I226" s="36">
        <v>0.89619110000000002</v>
      </c>
      <c r="J226" s="393">
        <v>1</v>
      </c>
      <c r="K226" s="36">
        <v>0.57459400000000005</v>
      </c>
      <c r="L226" s="36">
        <v>0.63112210000000002</v>
      </c>
      <c r="M226" s="36">
        <v>0.81672069999999997</v>
      </c>
      <c r="N226" s="36">
        <v>0.92827139999999997</v>
      </c>
      <c r="O226" s="36">
        <v>0.95452409999999999</v>
      </c>
      <c r="P226" s="393">
        <v>1</v>
      </c>
      <c r="Q226" s="36">
        <v>0.21691460000000001</v>
      </c>
      <c r="R226" s="36">
        <v>0.36143589999999998</v>
      </c>
      <c r="S226" s="36">
        <v>0.49345670000000003</v>
      </c>
      <c r="T226" s="36">
        <v>0.50462399999999996</v>
      </c>
      <c r="U226" s="36">
        <v>0.54837550000000002</v>
      </c>
      <c r="V226" s="393">
        <v>1</v>
      </c>
      <c r="W226" s="36">
        <v>0.52541300000000002</v>
      </c>
      <c r="X226" s="36">
        <v>0.57862619999999998</v>
      </c>
      <c r="Y226" s="36">
        <v>0.69290280000000004</v>
      </c>
      <c r="Z226" s="36">
        <v>0.73696539999999999</v>
      </c>
      <c r="AA226" s="36">
        <v>0.77420650000000002</v>
      </c>
      <c r="AB226" s="393">
        <v>1</v>
      </c>
    </row>
    <row r="227" spans="2:28" ht="0.5" customHeight="1">
      <c r="B227" s="9" t="s">
        <v>40</v>
      </c>
      <c r="C227" s="9" t="str">
        <f t="shared" si="59"/>
        <v>Brazil46</v>
      </c>
      <c r="D227" s="9">
        <v>46</v>
      </c>
      <c r="E227" s="36">
        <v>0.38980389999999998</v>
      </c>
      <c r="F227" s="36">
        <v>0.49695010000000001</v>
      </c>
      <c r="G227" s="36">
        <v>0.79152529999999999</v>
      </c>
      <c r="H227" s="36">
        <v>0.84663370000000004</v>
      </c>
      <c r="I227" s="36">
        <v>0.89187209999999995</v>
      </c>
      <c r="J227" s="393">
        <v>1</v>
      </c>
      <c r="K227" s="36">
        <v>0.56680580000000003</v>
      </c>
      <c r="L227" s="36">
        <v>0.62241749999999996</v>
      </c>
      <c r="M227" s="36">
        <v>0.80960929999999998</v>
      </c>
      <c r="N227" s="36">
        <v>0.92219660000000003</v>
      </c>
      <c r="O227" s="36">
        <v>0.94855690000000004</v>
      </c>
      <c r="P227" s="393">
        <v>1</v>
      </c>
      <c r="Q227" s="36">
        <v>0.21415519999999999</v>
      </c>
      <c r="R227" s="36">
        <v>0.3541223</v>
      </c>
      <c r="S227" s="36">
        <v>0.4864984</v>
      </c>
      <c r="T227" s="36">
        <v>0.49770999999999999</v>
      </c>
      <c r="U227" s="36">
        <v>0.53976979999999997</v>
      </c>
      <c r="V227" s="393">
        <v>1</v>
      </c>
      <c r="W227" s="36">
        <v>0.52243899999999999</v>
      </c>
      <c r="X227" s="36">
        <v>0.5735228</v>
      </c>
      <c r="Y227" s="36">
        <v>0.6870967</v>
      </c>
      <c r="Z227" s="36">
        <v>0.73101470000000002</v>
      </c>
      <c r="AA227" s="36">
        <v>0.76692530000000003</v>
      </c>
      <c r="AB227" s="393">
        <v>1</v>
      </c>
    </row>
    <row r="228" spans="2:28" ht="0.5" customHeight="1">
      <c r="B228" s="9" t="s">
        <v>40</v>
      </c>
      <c r="C228" s="9" t="str">
        <f t="shared" si="59"/>
        <v>Brazil47</v>
      </c>
      <c r="D228" s="9">
        <v>47</v>
      </c>
      <c r="E228" s="36">
        <v>0.38419059999999999</v>
      </c>
      <c r="F228" s="36">
        <v>0.48783949999999998</v>
      </c>
      <c r="G228" s="36">
        <v>0.78256199999999998</v>
      </c>
      <c r="H228" s="36">
        <v>0.83867999999999998</v>
      </c>
      <c r="I228" s="36">
        <v>0.88296839999999999</v>
      </c>
      <c r="J228" s="393">
        <v>1</v>
      </c>
      <c r="K228" s="36">
        <v>0.5522127</v>
      </c>
      <c r="L228" s="36">
        <v>0.60492429999999997</v>
      </c>
      <c r="M228" s="36">
        <v>0.79388040000000004</v>
      </c>
      <c r="N228" s="36">
        <v>0.90895890000000001</v>
      </c>
      <c r="O228" s="36">
        <v>0.93713409999999997</v>
      </c>
      <c r="P228" s="393">
        <v>1</v>
      </c>
      <c r="Q228" s="36">
        <v>0.20731579999999999</v>
      </c>
      <c r="R228" s="36">
        <v>0.33835100000000001</v>
      </c>
      <c r="S228" s="36">
        <v>0.47062389999999998</v>
      </c>
      <c r="T228" s="36">
        <v>0.48175109999999999</v>
      </c>
      <c r="U228" s="36">
        <v>0.5204512</v>
      </c>
      <c r="V228" s="393">
        <v>1</v>
      </c>
      <c r="W228" s="36">
        <v>0.51655019999999996</v>
      </c>
      <c r="X228" s="36">
        <v>0.56352970000000002</v>
      </c>
      <c r="Y228" s="36">
        <v>0.67658660000000004</v>
      </c>
      <c r="Z228" s="36">
        <v>0.71974769999999999</v>
      </c>
      <c r="AA228" s="36">
        <v>0.75329650000000004</v>
      </c>
      <c r="AB228" s="393">
        <v>1</v>
      </c>
    </row>
    <row r="229" spans="2:28" ht="0.5" customHeight="1">
      <c r="B229" s="9" t="s">
        <v>40</v>
      </c>
      <c r="C229" s="9" t="str">
        <f t="shared" si="59"/>
        <v>Brazil48</v>
      </c>
      <c r="D229" s="9">
        <v>48</v>
      </c>
      <c r="E229" s="36">
        <v>0.37990160000000001</v>
      </c>
      <c r="F229" s="36">
        <v>0.48172599999999999</v>
      </c>
      <c r="G229" s="36">
        <v>0.77697510000000003</v>
      </c>
      <c r="H229" s="36">
        <v>0.83361909999999995</v>
      </c>
      <c r="I229" s="36">
        <v>0.87732529999999997</v>
      </c>
      <c r="J229" s="393">
        <v>1</v>
      </c>
      <c r="K229" s="36">
        <v>0.54371789999999998</v>
      </c>
      <c r="L229" s="36">
        <v>0.59510470000000004</v>
      </c>
      <c r="M229" s="36">
        <v>0.78453700000000004</v>
      </c>
      <c r="N229" s="36">
        <v>0.90037909999999999</v>
      </c>
      <c r="O229" s="36">
        <v>0.92928489999999997</v>
      </c>
      <c r="P229" s="393">
        <v>1</v>
      </c>
      <c r="Q229" s="36">
        <v>0.20311960000000001</v>
      </c>
      <c r="R229" s="36">
        <v>0.33012449999999999</v>
      </c>
      <c r="S229" s="36">
        <v>0.46184819999999999</v>
      </c>
      <c r="T229" s="36">
        <v>0.47290769999999999</v>
      </c>
      <c r="U229" s="36">
        <v>0.50985159999999996</v>
      </c>
      <c r="V229" s="393">
        <v>1</v>
      </c>
      <c r="W229" s="36">
        <v>0.5084033</v>
      </c>
      <c r="X229" s="36">
        <v>0.55359049999999999</v>
      </c>
      <c r="Y229" s="36">
        <v>0.66653649999999998</v>
      </c>
      <c r="Z229" s="36">
        <v>0.7093313</v>
      </c>
      <c r="AA229" s="36">
        <v>0.74147629999999998</v>
      </c>
      <c r="AB229" s="393">
        <v>1</v>
      </c>
    </row>
    <row r="230" spans="2:28" ht="0.5" customHeight="1">
      <c r="B230" s="9" t="s">
        <v>40</v>
      </c>
      <c r="C230" s="9" t="str">
        <f t="shared" si="59"/>
        <v>Brazil49</v>
      </c>
      <c r="D230" s="9">
        <v>49</v>
      </c>
      <c r="E230" s="36">
        <v>0.3615333</v>
      </c>
      <c r="F230" s="36">
        <v>0.459179</v>
      </c>
      <c r="G230" s="36">
        <v>0.75555410000000001</v>
      </c>
      <c r="H230" s="36">
        <v>0.81251249999999997</v>
      </c>
      <c r="I230" s="36">
        <v>0.85538139999999996</v>
      </c>
      <c r="J230" s="393">
        <v>1</v>
      </c>
      <c r="K230" s="36">
        <v>0.52739879999999995</v>
      </c>
      <c r="L230" s="36">
        <v>0.57730970000000004</v>
      </c>
      <c r="M230" s="36">
        <v>0.76852069999999995</v>
      </c>
      <c r="N230" s="36">
        <v>0.88513410000000003</v>
      </c>
      <c r="O230" s="36">
        <v>0.91431560000000001</v>
      </c>
      <c r="P230" s="393">
        <v>1</v>
      </c>
      <c r="Q230" s="36">
        <v>0.19317819999999999</v>
      </c>
      <c r="R230" s="36">
        <v>0.31313669999999999</v>
      </c>
      <c r="S230" s="36">
        <v>0.44349240000000001</v>
      </c>
      <c r="T230" s="36">
        <v>0.45436120000000002</v>
      </c>
      <c r="U230" s="36">
        <v>0.48730079999999998</v>
      </c>
      <c r="V230" s="393">
        <v>1</v>
      </c>
      <c r="W230" s="36">
        <v>0.49026839999999999</v>
      </c>
      <c r="X230" s="36">
        <v>0.53250779999999998</v>
      </c>
      <c r="Y230" s="36">
        <v>0.64577280000000004</v>
      </c>
      <c r="Z230" s="36">
        <v>0.68787129999999996</v>
      </c>
      <c r="AA230" s="36">
        <v>0.71712830000000005</v>
      </c>
      <c r="AB230" s="393">
        <v>1</v>
      </c>
    </row>
    <row r="231" spans="2:28" ht="0.5" customHeight="1">
      <c r="B231" s="9" t="s">
        <v>40</v>
      </c>
      <c r="C231" s="9" t="str">
        <f t="shared" si="59"/>
        <v>Brazil50</v>
      </c>
      <c r="D231" s="9">
        <v>50</v>
      </c>
      <c r="E231" s="36">
        <v>0.35292469999999998</v>
      </c>
      <c r="F231" s="36">
        <v>0.44874190000000003</v>
      </c>
      <c r="G231" s="36">
        <v>0.74542470000000005</v>
      </c>
      <c r="H231" s="36">
        <v>0.80209730000000001</v>
      </c>
      <c r="I231" s="36">
        <v>0.84423599999999999</v>
      </c>
      <c r="J231" s="393">
        <v>1</v>
      </c>
      <c r="K231" s="36">
        <v>0.5160382</v>
      </c>
      <c r="L231" s="36">
        <v>0.56539609999999996</v>
      </c>
      <c r="M231" s="36">
        <v>0.75755300000000003</v>
      </c>
      <c r="N231" s="36">
        <v>0.87464909999999996</v>
      </c>
      <c r="O231" s="36">
        <v>0.90365740000000006</v>
      </c>
      <c r="P231" s="393">
        <v>1</v>
      </c>
      <c r="Q231" s="36">
        <v>0.18803990000000001</v>
      </c>
      <c r="R231" s="36">
        <v>0.30460320000000002</v>
      </c>
      <c r="S231" s="36">
        <v>0.43406230000000001</v>
      </c>
      <c r="T231" s="36">
        <v>0.44483830000000002</v>
      </c>
      <c r="U231" s="36">
        <v>0.47572959999999997</v>
      </c>
      <c r="V231" s="393">
        <v>1</v>
      </c>
      <c r="W231" s="36">
        <v>0.47786689999999998</v>
      </c>
      <c r="X231" s="36">
        <v>0.51904030000000001</v>
      </c>
      <c r="Y231" s="36">
        <v>0.63286949999999997</v>
      </c>
      <c r="Z231" s="36">
        <v>0.67467889999999997</v>
      </c>
      <c r="AA231" s="36">
        <v>0.7024996</v>
      </c>
      <c r="AB231" s="393">
        <v>1</v>
      </c>
    </row>
    <row r="232" spans="2:28" ht="0.5" customHeight="1">
      <c r="B232" s="9" t="s">
        <v>40</v>
      </c>
      <c r="C232" s="9" t="str">
        <f t="shared" si="59"/>
        <v>Brazil51</v>
      </c>
      <c r="D232" s="9">
        <v>51</v>
      </c>
      <c r="E232" s="36">
        <v>0.34587180000000001</v>
      </c>
      <c r="F232" s="36">
        <v>0.43997340000000001</v>
      </c>
      <c r="G232" s="36">
        <v>0.7371259</v>
      </c>
      <c r="H232" s="36">
        <v>0.79328410000000005</v>
      </c>
      <c r="I232" s="36">
        <v>0.83471260000000003</v>
      </c>
      <c r="J232" s="393">
        <v>1</v>
      </c>
      <c r="K232" s="36">
        <v>0.50505549999999999</v>
      </c>
      <c r="L232" s="36">
        <v>0.5540621</v>
      </c>
      <c r="M232" s="36">
        <v>0.74807020000000002</v>
      </c>
      <c r="N232" s="36">
        <v>0.86578630000000001</v>
      </c>
      <c r="O232" s="36">
        <v>0.89445419999999998</v>
      </c>
      <c r="P232" s="393">
        <v>1</v>
      </c>
      <c r="Q232" s="36">
        <v>0.18260599999999999</v>
      </c>
      <c r="R232" s="36">
        <v>0.29572989999999999</v>
      </c>
      <c r="S232" s="36">
        <v>0.4242321</v>
      </c>
      <c r="T232" s="36">
        <v>0.43491269999999999</v>
      </c>
      <c r="U232" s="36">
        <v>0.4639587</v>
      </c>
      <c r="V232" s="393">
        <v>1</v>
      </c>
      <c r="W232" s="36">
        <v>0.46325959999999999</v>
      </c>
      <c r="X232" s="36">
        <v>0.50366409999999995</v>
      </c>
      <c r="Y232" s="36">
        <v>0.6181257</v>
      </c>
      <c r="Z232" s="36">
        <v>0.65966190000000002</v>
      </c>
      <c r="AA232" s="36">
        <v>0.68600130000000004</v>
      </c>
      <c r="AB232" s="393">
        <v>1</v>
      </c>
    </row>
    <row r="233" spans="2:28" ht="0.5" customHeight="1">
      <c r="B233" s="9" t="s">
        <v>40</v>
      </c>
      <c r="C233" s="9" t="str">
        <f t="shared" si="59"/>
        <v>Brazil52</v>
      </c>
      <c r="D233" s="9">
        <v>52</v>
      </c>
      <c r="E233" s="36">
        <v>0.33137450000000002</v>
      </c>
      <c r="F233" s="36">
        <v>0.42277779999999998</v>
      </c>
      <c r="G233" s="36">
        <v>0.71899559999999996</v>
      </c>
      <c r="H233" s="36">
        <v>0.77330549999999998</v>
      </c>
      <c r="I233" s="36">
        <v>0.81443980000000005</v>
      </c>
      <c r="J233" s="393">
        <v>1</v>
      </c>
      <c r="K233" s="36">
        <v>0.47020269999999997</v>
      </c>
      <c r="L233" s="36">
        <v>0.51884209999999997</v>
      </c>
      <c r="M233" s="36">
        <v>0.7154372</v>
      </c>
      <c r="N233" s="36">
        <v>0.83423809999999998</v>
      </c>
      <c r="O233" s="36">
        <v>0.8615081</v>
      </c>
      <c r="P233" s="393">
        <v>1</v>
      </c>
      <c r="Q233" s="36">
        <v>0.1712178</v>
      </c>
      <c r="R233" s="36">
        <v>0.27639590000000003</v>
      </c>
      <c r="S233" s="36">
        <v>0.40308670000000002</v>
      </c>
      <c r="T233" s="36">
        <v>0.41359899999999999</v>
      </c>
      <c r="U233" s="36">
        <v>0.43928099999999998</v>
      </c>
      <c r="V233" s="393">
        <v>1</v>
      </c>
      <c r="W233" s="36">
        <v>0.4265256</v>
      </c>
      <c r="X233" s="36">
        <v>0.46531270000000002</v>
      </c>
      <c r="Y233" s="36">
        <v>0.57915589999999995</v>
      </c>
      <c r="Z233" s="36">
        <v>0.61997650000000004</v>
      </c>
      <c r="AA233" s="36">
        <v>0.64386679999999996</v>
      </c>
      <c r="AB233" s="393">
        <v>1</v>
      </c>
    </row>
    <row r="234" spans="2:28" ht="0.5" customHeight="1">
      <c r="B234" s="9" t="s">
        <v>40</v>
      </c>
      <c r="C234" s="9" t="str">
        <f t="shared" si="59"/>
        <v>Brazil53</v>
      </c>
      <c r="D234" s="9">
        <v>53</v>
      </c>
      <c r="E234" s="36">
        <v>0.32118079999999999</v>
      </c>
      <c r="F234" s="36">
        <v>0.4115856</v>
      </c>
      <c r="G234" s="36">
        <v>0.70633729999999995</v>
      </c>
      <c r="H234" s="36">
        <v>0.75964220000000005</v>
      </c>
      <c r="I234" s="36">
        <v>0.80069389999999996</v>
      </c>
      <c r="J234" s="393">
        <v>1</v>
      </c>
      <c r="K234" s="36">
        <v>0.45614640000000001</v>
      </c>
      <c r="L234" s="36">
        <v>0.50438760000000005</v>
      </c>
      <c r="M234" s="36">
        <v>0.70142970000000004</v>
      </c>
      <c r="N234" s="36">
        <v>0.82102719999999996</v>
      </c>
      <c r="O234" s="36">
        <v>0.84790529999999997</v>
      </c>
      <c r="P234" s="393">
        <v>1</v>
      </c>
      <c r="Q234" s="36">
        <v>0.16483400000000001</v>
      </c>
      <c r="R234" s="36">
        <v>0.26547189999999998</v>
      </c>
      <c r="S234" s="36">
        <v>0.39061230000000002</v>
      </c>
      <c r="T234" s="36">
        <v>0.40107619999999999</v>
      </c>
      <c r="U234" s="36">
        <v>0.42525160000000001</v>
      </c>
      <c r="V234" s="393">
        <v>1</v>
      </c>
      <c r="W234" s="36">
        <v>0.41000920000000002</v>
      </c>
      <c r="X234" s="36">
        <v>0.44828669999999998</v>
      </c>
      <c r="Y234" s="36">
        <v>0.56120899999999996</v>
      </c>
      <c r="Z234" s="36">
        <v>0.60160139999999995</v>
      </c>
      <c r="AA234" s="36">
        <v>0.62455579999999999</v>
      </c>
      <c r="AB234" s="393">
        <v>1</v>
      </c>
    </row>
    <row r="235" spans="2:28" ht="0.5" customHeight="1">
      <c r="B235" s="9" t="s">
        <v>40</v>
      </c>
      <c r="C235" s="9" t="str">
        <f t="shared" si="59"/>
        <v>Brazil54</v>
      </c>
      <c r="D235" s="9">
        <v>54</v>
      </c>
      <c r="E235" s="36">
        <v>0.30018440000000002</v>
      </c>
      <c r="F235" s="36">
        <v>0.38980789999999998</v>
      </c>
      <c r="G235" s="36">
        <v>0.68212510000000004</v>
      </c>
      <c r="H235" s="36">
        <v>0.73337350000000001</v>
      </c>
      <c r="I235" s="36">
        <v>0.77198809999999995</v>
      </c>
      <c r="J235" s="393">
        <v>1</v>
      </c>
      <c r="K235" s="36">
        <v>0.42772490000000002</v>
      </c>
      <c r="L235" s="36">
        <v>0.47552729999999999</v>
      </c>
      <c r="M235" s="36">
        <v>0.67078300000000002</v>
      </c>
      <c r="N235" s="36">
        <v>0.79164199999999996</v>
      </c>
      <c r="O235" s="36">
        <v>0.81873119999999999</v>
      </c>
      <c r="P235" s="393">
        <v>1</v>
      </c>
      <c r="Q235" s="36">
        <v>0.1502986</v>
      </c>
      <c r="R235" s="36">
        <v>0.24117359999999999</v>
      </c>
      <c r="S235" s="36">
        <v>0.3625486</v>
      </c>
      <c r="T235" s="36">
        <v>0.37308249999999998</v>
      </c>
      <c r="U235" s="36">
        <v>0.39436500000000002</v>
      </c>
      <c r="V235" s="393">
        <v>1</v>
      </c>
      <c r="W235" s="36">
        <v>0.37699359999999998</v>
      </c>
      <c r="X235" s="36">
        <v>0.41469270000000003</v>
      </c>
      <c r="Y235" s="36">
        <v>0.52411479999999999</v>
      </c>
      <c r="Z235" s="36">
        <v>0.5628455</v>
      </c>
      <c r="AA235" s="36">
        <v>0.58354419999999996</v>
      </c>
      <c r="AB235" s="393">
        <v>1</v>
      </c>
    </row>
    <row r="236" spans="2:28" ht="0.5" customHeight="1">
      <c r="B236" s="9" t="s">
        <v>40</v>
      </c>
      <c r="C236" s="9" t="str">
        <f t="shared" si="59"/>
        <v>Brazil55</v>
      </c>
      <c r="D236" s="9">
        <v>55</v>
      </c>
      <c r="E236" s="36">
        <v>0.29165980000000002</v>
      </c>
      <c r="F236" s="36">
        <v>0.38159009999999999</v>
      </c>
      <c r="G236" s="36">
        <v>0.67219910000000005</v>
      </c>
      <c r="H236" s="36">
        <v>0.72293629999999998</v>
      </c>
      <c r="I236" s="36">
        <v>0.75878250000000003</v>
      </c>
      <c r="J236" s="393">
        <v>1</v>
      </c>
      <c r="K236" s="36">
        <v>0.41028140000000002</v>
      </c>
      <c r="L236" s="36">
        <v>0.45661839999999998</v>
      </c>
      <c r="M236" s="36">
        <v>0.64974679999999996</v>
      </c>
      <c r="N236" s="36">
        <v>0.76998</v>
      </c>
      <c r="O236" s="36">
        <v>0.7987841</v>
      </c>
      <c r="P236" s="393">
        <v>1</v>
      </c>
      <c r="Q236" s="36">
        <v>0.14234530000000001</v>
      </c>
      <c r="R236" s="36">
        <v>0.22747120000000001</v>
      </c>
      <c r="S236" s="36">
        <v>0.34528170000000002</v>
      </c>
      <c r="T236" s="36">
        <v>0.35583049999999999</v>
      </c>
      <c r="U236" s="36">
        <v>0.37564439999999999</v>
      </c>
      <c r="V236" s="393">
        <v>1</v>
      </c>
      <c r="W236" s="36">
        <v>0.359593</v>
      </c>
      <c r="X236" s="36">
        <v>0.39800219999999997</v>
      </c>
      <c r="Y236" s="36">
        <v>0.5039768</v>
      </c>
      <c r="Z236" s="36">
        <v>0.54144409999999998</v>
      </c>
      <c r="AA236" s="36">
        <v>0.5611488</v>
      </c>
      <c r="AB236" s="393">
        <v>1</v>
      </c>
    </row>
    <row r="237" spans="2:28" ht="0.5" customHeight="1">
      <c r="B237" s="9" t="s">
        <v>41</v>
      </c>
      <c r="C237" s="9" t="str">
        <f t="shared" si="59"/>
        <v>Chile20</v>
      </c>
      <c r="D237" s="9">
        <v>20</v>
      </c>
      <c r="E237" s="36">
        <v>0.28914390000000001</v>
      </c>
      <c r="F237" s="36">
        <v>0.43841730000000001</v>
      </c>
      <c r="G237" s="36">
        <v>0.4989188</v>
      </c>
      <c r="H237" s="36">
        <v>0.50071220000000005</v>
      </c>
      <c r="I237" s="36">
        <v>0.69390479999999999</v>
      </c>
      <c r="J237" s="393">
        <v>1</v>
      </c>
      <c r="K237" s="36">
        <v>0.2443949</v>
      </c>
      <c r="L237" s="36">
        <v>0.32742149999999998</v>
      </c>
      <c r="M237" s="36">
        <v>0.35309990000000002</v>
      </c>
      <c r="N237" s="36">
        <v>0.35426380000000002</v>
      </c>
      <c r="O237" s="36">
        <v>0.46759580000000001</v>
      </c>
      <c r="P237" s="393">
        <v>1</v>
      </c>
      <c r="Q237" s="36">
        <v>8.4974800000000003E-2</v>
      </c>
      <c r="R237" s="36">
        <v>0.16623199999999999</v>
      </c>
      <c r="S237" s="36">
        <v>0.18334490000000001</v>
      </c>
      <c r="T237" s="36">
        <v>0.1837936</v>
      </c>
      <c r="U237" s="36">
        <v>0.27010109999999998</v>
      </c>
      <c r="V237" s="393">
        <v>1</v>
      </c>
      <c r="W237" s="36">
        <v>0.16203149999999999</v>
      </c>
      <c r="X237" s="36">
        <v>0.23427580000000001</v>
      </c>
      <c r="Y237" s="36">
        <v>0.24803040000000001</v>
      </c>
      <c r="Z237" s="36">
        <v>0.248589</v>
      </c>
      <c r="AA237" s="36">
        <v>0.35492800000000002</v>
      </c>
      <c r="AB237" s="393">
        <v>1</v>
      </c>
    </row>
    <row r="238" spans="2:28" ht="0.5" customHeight="1">
      <c r="B238" s="9" t="s">
        <v>41</v>
      </c>
      <c r="C238" s="9" t="str">
        <f t="shared" si="59"/>
        <v>Chile21</v>
      </c>
      <c r="D238" s="9">
        <v>21</v>
      </c>
      <c r="E238" s="36">
        <v>0.32664650000000001</v>
      </c>
      <c r="F238" s="36">
        <v>0.48162830000000001</v>
      </c>
      <c r="G238" s="36">
        <v>0.55000879999999996</v>
      </c>
      <c r="H238" s="36">
        <v>0.55193910000000002</v>
      </c>
      <c r="I238" s="36">
        <v>0.73993410000000004</v>
      </c>
      <c r="J238" s="393">
        <v>1</v>
      </c>
      <c r="K238" s="36">
        <v>0.28672229999999999</v>
      </c>
      <c r="L238" s="36">
        <v>0.37467509999999998</v>
      </c>
      <c r="M238" s="36">
        <v>0.40605639999999998</v>
      </c>
      <c r="N238" s="36">
        <v>0.40786499999999998</v>
      </c>
      <c r="O238" s="36">
        <v>0.51923779999999997</v>
      </c>
      <c r="P238" s="393">
        <v>1</v>
      </c>
      <c r="Q238" s="36">
        <v>9.0558700000000006E-2</v>
      </c>
      <c r="R238" s="36">
        <v>0.1725122</v>
      </c>
      <c r="S238" s="36">
        <v>0.19204470000000001</v>
      </c>
      <c r="T238" s="36">
        <v>0.1925664</v>
      </c>
      <c r="U238" s="36">
        <v>0.2742001</v>
      </c>
      <c r="V238" s="393">
        <v>1</v>
      </c>
      <c r="W238" s="36">
        <v>0.19005559999999999</v>
      </c>
      <c r="X238" s="36">
        <v>0.26637699999999997</v>
      </c>
      <c r="Y238" s="36">
        <v>0.28265170000000001</v>
      </c>
      <c r="Z238" s="36">
        <v>0.28351460000000001</v>
      </c>
      <c r="AA238" s="36">
        <v>0.38723380000000002</v>
      </c>
      <c r="AB238" s="393">
        <v>1</v>
      </c>
    </row>
    <row r="239" spans="2:28" ht="0.5" customHeight="1">
      <c r="B239" s="9" t="s">
        <v>41</v>
      </c>
      <c r="C239" s="9" t="str">
        <f t="shared" si="59"/>
        <v>Chile22</v>
      </c>
      <c r="D239" s="9">
        <v>22</v>
      </c>
      <c r="E239" s="36">
        <v>0.38435920000000001</v>
      </c>
      <c r="F239" s="36">
        <v>0.54652239999999996</v>
      </c>
      <c r="G239" s="36">
        <v>0.629328</v>
      </c>
      <c r="H239" s="36">
        <v>0.63168630000000003</v>
      </c>
      <c r="I239" s="36">
        <v>0.80494019999999999</v>
      </c>
      <c r="J239" s="393">
        <v>1</v>
      </c>
      <c r="K239" s="36">
        <v>0.36922559999999999</v>
      </c>
      <c r="L239" s="36">
        <v>0.46409859999999997</v>
      </c>
      <c r="M239" s="36">
        <v>0.50727840000000002</v>
      </c>
      <c r="N239" s="36">
        <v>0.51082550000000004</v>
      </c>
      <c r="O239" s="36">
        <v>0.61848179999999997</v>
      </c>
      <c r="P239" s="393">
        <v>1</v>
      </c>
      <c r="Q239" s="36">
        <v>9.8396600000000001E-2</v>
      </c>
      <c r="R239" s="36">
        <v>0.17828859999999999</v>
      </c>
      <c r="S239" s="36">
        <v>0.20220669999999999</v>
      </c>
      <c r="T239" s="36">
        <v>0.20288700000000001</v>
      </c>
      <c r="U239" s="36">
        <v>0.27628839999999999</v>
      </c>
      <c r="V239" s="393">
        <v>1</v>
      </c>
      <c r="W239" s="36">
        <v>0.2470532</v>
      </c>
      <c r="X239" s="36">
        <v>0.32944430000000002</v>
      </c>
      <c r="Y239" s="36">
        <v>0.3513501</v>
      </c>
      <c r="Z239" s="36">
        <v>0.35295900000000002</v>
      </c>
      <c r="AA239" s="36">
        <v>0.4529377</v>
      </c>
      <c r="AB239" s="393">
        <v>1</v>
      </c>
    </row>
    <row r="240" spans="2:28" ht="0.5" customHeight="1">
      <c r="B240" s="9" t="s">
        <v>41</v>
      </c>
      <c r="C240" s="9" t="str">
        <f t="shared" si="59"/>
        <v>Chile23</v>
      </c>
      <c r="D240" s="9">
        <v>23</v>
      </c>
      <c r="E240" s="36">
        <v>0.40526649999999997</v>
      </c>
      <c r="F240" s="36">
        <v>0.56897810000000004</v>
      </c>
      <c r="G240" s="36">
        <v>0.65810299999999999</v>
      </c>
      <c r="H240" s="36">
        <v>0.66078309999999996</v>
      </c>
      <c r="I240" s="36">
        <v>0.82648440000000001</v>
      </c>
      <c r="J240" s="393">
        <v>1</v>
      </c>
      <c r="K240" s="36">
        <v>0.41084870000000001</v>
      </c>
      <c r="L240" s="36">
        <v>0.50782349999999998</v>
      </c>
      <c r="M240" s="36">
        <v>0.55719719999999995</v>
      </c>
      <c r="N240" s="36">
        <v>0.56180200000000002</v>
      </c>
      <c r="O240" s="36">
        <v>0.66704529999999995</v>
      </c>
      <c r="P240" s="393">
        <v>1</v>
      </c>
      <c r="Q240" s="36">
        <v>0.1012464</v>
      </c>
      <c r="R240" s="36">
        <v>0.1798102</v>
      </c>
      <c r="S240" s="36">
        <v>0.2056712</v>
      </c>
      <c r="T240" s="36">
        <v>0.20641789999999999</v>
      </c>
      <c r="U240" s="36">
        <v>0.27604869999999998</v>
      </c>
      <c r="V240" s="393">
        <v>1</v>
      </c>
      <c r="W240" s="36">
        <v>0.27553759999999999</v>
      </c>
      <c r="X240" s="36">
        <v>0.35980269999999998</v>
      </c>
      <c r="Y240" s="36">
        <v>0.38485360000000002</v>
      </c>
      <c r="Z240" s="36">
        <v>0.38692270000000001</v>
      </c>
      <c r="AA240" s="36">
        <v>0.48420790000000002</v>
      </c>
      <c r="AB240" s="393">
        <v>1</v>
      </c>
    </row>
    <row r="241" spans="2:28" ht="0.5" customHeight="1">
      <c r="B241" s="9" t="s">
        <v>41</v>
      </c>
      <c r="C241" s="9" t="str">
        <f t="shared" si="59"/>
        <v>Chile24</v>
      </c>
      <c r="D241" s="9">
        <v>24</v>
      </c>
      <c r="E241" s="36">
        <v>0.43483500000000003</v>
      </c>
      <c r="F241" s="36">
        <v>0.59909990000000002</v>
      </c>
      <c r="G241" s="36">
        <v>0.69958719999999996</v>
      </c>
      <c r="H241" s="36">
        <v>0.70301689999999994</v>
      </c>
      <c r="I241" s="36">
        <v>0.85405160000000002</v>
      </c>
      <c r="J241" s="393">
        <v>1</v>
      </c>
      <c r="K241" s="36">
        <v>0.49106509999999998</v>
      </c>
      <c r="L241" s="36">
        <v>0.58932779999999996</v>
      </c>
      <c r="M241" s="36">
        <v>0.65115599999999996</v>
      </c>
      <c r="N241" s="36">
        <v>0.65811319999999995</v>
      </c>
      <c r="O241" s="36">
        <v>0.75792029999999999</v>
      </c>
      <c r="P241" s="393">
        <v>1</v>
      </c>
      <c r="Q241" s="36">
        <v>0.1055278</v>
      </c>
      <c r="R241" s="36">
        <v>0.18244189999999999</v>
      </c>
      <c r="S241" s="36">
        <v>0.21194930000000001</v>
      </c>
      <c r="T241" s="36">
        <v>0.21282490000000001</v>
      </c>
      <c r="U241" s="36">
        <v>0.27525749999999999</v>
      </c>
      <c r="V241" s="393">
        <v>1</v>
      </c>
      <c r="W241" s="36">
        <v>0.33229009999999998</v>
      </c>
      <c r="X241" s="36">
        <v>0.4184696</v>
      </c>
      <c r="Y241" s="36">
        <v>0.4500596</v>
      </c>
      <c r="Z241" s="36">
        <v>0.45314140000000003</v>
      </c>
      <c r="AA241" s="36">
        <v>0.5440315</v>
      </c>
      <c r="AB241" s="393">
        <v>1</v>
      </c>
    </row>
    <row r="242" spans="2:28" ht="0.5" customHeight="1">
      <c r="B242" s="9" t="s">
        <v>41</v>
      </c>
      <c r="C242" s="9" t="str">
        <f t="shared" si="59"/>
        <v>Chile25</v>
      </c>
      <c r="D242" s="9">
        <v>25</v>
      </c>
      <c r="E242" s="36">
        <v>0.44660300000000003</v>
      </c>
      <c r="F242" s="36">
        <v>0.60899950000000003</v>
      </c>
      <c r="G242" s="36">
        <v>0.71503819999999996</v>
      </c>
      <c r="H242" s="36">
        <v>0.71897789999999995</v>
      </c>
      <c r="I242" s="36">
        <v>0.86286680000000004</v>
      </c>
      <c r="J242" s="393">
        <v>1</v>
      </c>
      <c r="K242" s="36">
        <v>0.52767960000000003</v>
      </c>
      <c r="L242" s="36">
        <v>0.62527500000000003</v>
      </c>
      <c r="M242" s="36">
        <v>0.69289750000000006</v>
      </c>
      <c r="N242" s="36">
        <v>0.70125380000000004</v>
      </c>
      <c r="O242" s="36">
        <v>0.7979676</v>
      </c>
      <c r="P242" s="393">
        <v>1</v>
      </c>
      <c r="Q242" s="36">
        <v>0.1068998</v>
      </c>
      <c r="R242" s="36">
        <v>0.1828292</v>
      </c>
      <c r="S242" s="36">
        <v>0.2142946</v>
      </c>
      <c r="T242" s="36">
        <v>0.21521199999999999</v>
      </c>
      <c r="U242" s="36">
        <v>0.27460669999999998</v>
      </c>
      <c r="V242" s="393">
        <v>1</v>
      </c>
      <c r="W242" s="36">
        <v>0.36065560000000002</v>
      </c>
      <c r="X242" s="36">
        <v>0.44604650000000001</v>
      </c>
      <c r="Y242" s="36">
        <v>0.48094730000000002</v>
      </c>
      <c r="Z242" s="36">
        <v>0.48457169999999999</v>
      </c>
      <c r="AA242" s="36">
        <v>0.57194500000000004</v>
      </c>
      <c r="AB242" s="393">
        <v>1</v>
      </c>
    </row>
    <row r="243" spans="2:28" ht="0.5" customHeight="1">
      <c r="B243" s="9" t="s">
        <v>41</v>
      </c>
      <c r="C243" s="9" t="str">
        <f t="shared" si="59"/>
        <v>Chile26</v>
      </c>
      <c r="D243" s="9">
        <v>26</v>
      </c>
      <c r="E243" s="36">
        <v>0.45618720000000001</v>
      </c>
      <c r="F243" s="36">
        <v>0.61630819999999997</v>
      </c>
      <c r="G243" s="36">
        <v>0.72764169999999995</v>
      </c>
      <c r="H243" s="36">
        <v>0.73211999999999999</v>
      </c>
      <c r="I243" s="36">
        <v>0.86908379999999996</v>
      </c>
      <c r="J243" s="393">
        <v>1</v>
      </c>
      <c r="K243" s="36">
        <v>0.55636859999999999</v>
      </c>
      <c r="L243" s="36">
        <v>0.65352929999999998</v>
      </c>
      <c r="M243" s="36">
        <v>0.72691320000000004</v>
      </c>
      <c r="N243" s="36">
        <v>0.73683189999999998</v>
      </c>
      <c r="O243" s="36">
        <v>0.82996340000000002</v>
      </c>
      <c r="P243" s="393">
        <v>1</v>
      </c>
      <c r="Q243" s="36">
        <v>0.1075009</v>
      </c>
      <c r="R243" s="36">
        <v>0.18248159999999999</v>
      </c>
      <c r="S243" s="36">
        <v>0.2158071</v>
      </c>
      <c r="T243" s="36">
        <v>0.21679200000000001</v>
      </c>
      <c r="U243" s="36">
        <v>0.27332640000000002</v>
      </c>
      <c r="V243" s="393">
        <v>1</v>
      </c>
      <c r="W243" s="36">
        <v>0.38162859999999998</v>
      </c>
      <c r="X243" s="36">
        <v>0.46587000000000001</v>
      </c>
      <c r="Y243" s="36">
        <v>0.5043183</v>
      </c>
      <c r="Z243" s="36">
        <v>0.50849</v>
      </c>
      <c r="AA243" s="36">
        <v>0.59212140000000002</v>
      </c>
      <c r="AB243" s="393">
        <v>1</v>
      </c>
    </row>
    <row r="244" spans="2:28" ht="0.5" customHeight="1">
      <c r="B244" s="9" t="s">
        <v>41</v>
      </c>
      <c r="C244" s="9" t="str">
        <f t="shared" ref="C244:C307" si="60">CONCATENATE(B244,D244)</f>
        <v>Chile27</v>
      </c>
      <c r="D244" s="9">
        <v>27</v>
      </c>
      <c r="E244" s="36">
        <v>0.47168979999999999</v>
      </c>
      <c r="F244" s="36">
        <v>0.62566129999999998</v>
      </c>
      <c r="G244" s="36">
        <v>0.74813660000000004</v>
      </c>
      <c r="H244" s="36">
        <v>0.75393909999999997</v>
      </c>
      <c r="I244" s="36">
        <v>0.88031079999999995</v>
      </c>
      <c r="J244" s="393">
        <v>1</v>
      </c>
      <c r="K244" s="36">
        <v>0.60307100000000002</v>
      </c>
      <c r="L244" s="36">
        <v>0.69831379999999998</v>
      </c>
      <c r="M244" s="36">
        <v>0.78290409999999999</v>
      </c>
      <c r="N244" s="36">
        <v>0.79618299999999997</v>
      </c>
      <c r="O244" s="36">
        <v>0.88159549999999998</v>
      </c>
      <c r="P244" s="393">
        <v>1</v>
      </c>
      <c r="Q244" s="36">
        <v>0.1088981</v>
      </c>
      <c r="R244" s="36">
        <v>0.18434990000000001</v>
      </c>
      <c r="S244" s="36">
        <v>0.22153120000000001</v>
      </c>
      <c r="T244" s="36">
        <v>0.22264970000000001</v>
      </c>
      <c r="U244" s="36">
        <v>0.27432679999999998</v>
      </c>
      <c r="V244" s="393">
        <v>1</v>
      </c>
      <c r="W244" s="36">
        <v>0.4041363</v>
      </c>
      <c r="X244" s="36">
        <v>0.48409950000000002</v>
      </c>
      <c r="Y244" s="36">
        <v>0.52990380000000004</v>
      </c>
      <c r="Z244" s="36">
        <v>0.53518860000000001</v>
      </c>
      <c r="AA244" s="36">
        <v>0.6099755</v>
      </c>
      <c r="AB244" s="393">
        <v>1</v>
      </c>
    </row>
    <row r="245" spans="2:28" ht="0.5" customHeight="1">
      <c r="B245" s="9" t="s">
        <v>41</v>
      </c>
      <c r="C245" s="9" t="str">
        <f t="shared" si="60"/>
        <v>Chile28</v>
      </c>
      <c r="D245" s="9">
        <v>28</v>
      </c>
      <c r="E245" s="36">
        <v>0.47539039999999999</v>
      </c>
      <c r="F245" s="36">
        <v>0.6257395</v>
      </c>
      <c r="G245" s="36">
        <v>0.75372550000000005</v>
      </c>
      <c r="H245" s="36">
        <v>0.76026959999999999</v>
      </c>
      <c r="I245" s="36">
        <v>0.88179079999999999</v>
      </c>
      <c r="J245" s="393">
        <v>1</v>
      </c>
      <c r="K245" s="36">
        <v>0.62584329999999999</v>
      </c>
      <c r="L245" s="36">
        <v>0.720024</v>
      </c>
      <c r="M245" s="36">
        <v>0.80992560000000002</v>
      </c>
      <c r="N245" s="36">
        <v>0.82518360000000002</v>
      </c>
      <c r="O245" s="36">
        <v>0.90616010000000002</v>
      </c>
      <c r="P245" s="393">
        <v>1</v>
      </c>
      <c r="Q245" s="36">
        <v>0.1094705</v>
      </c>
      <c r="R245" s="36">
        <v>0.1858407</v>
      </c>
      <c r="S245" s="36">
        <v>0.22511719999999999</v>
      </c>
      <c r="T245" s="36">
        <v>0.22634950000000001</v>
      </c>
      <c r="U245" s="36">
        <v>0.27643259999999997</v>
      </c>
      <c r="V245" s="393">
        <v>1</v>
      </c>
      <c r="W245" s="36">
        <v>0.40526299999999998</v>
      </c>
      <c r="X245" s="36">
        <v>0.48258240000000002</v>
      </c>
      <c r="Y245" s="36">
        <v>0.53195809999999999</v>
      </c>
      <c r="Z245" s="36">
        <v>0.53777989999999998</v>
      </c>
      <c r="AA245" s="36">
        <v>0.60829460000000002</v>
      </c>
      <c r="AB245" s="393">
        <v>1</v>
      </c>
    </row>
    <row r="246" spans="2:28" ht="0.5" customHeight="1">
      <c r="B246" s="9" t="s">
        <v>41</v>
      </c>
      <c r="C246" s="9" t="str">
        <f t="shared" si="60"/>
        <v>Chile29</v>
      </c>
      <c r="D246" s="9">
        <v>29</v>
      </c>
      <c r="E246" s="36">
        <v>0.47890890000000003</v>
      </c>
      <c r="F246" s="36">
        <v>0.62224120000000005</v>
      </c>
      <c r="G246" s="36">
        <v>0.76159670000000002</v>
      </c>
      <c r="H246" s="36">
        <v>0.76955059999999997</v>
      </c>
      <c r="I246" s="36">
        <v>0.88147759999999997</v>
      </c>
      <c r="J246" s="393">
        <v>1</v>
      </c>
      <c r="K246" s="36">
        <v>0.65514150000000004</v>
      </c>
      <c r="L246" s="36">
        <v>0.74540550000000005</v>
      </c>
      <c r="M246" s="36">
        <v>0.84539960000000003</v>
      </c>
      <c r="N246" s="36">
        <v>0.8651605</v>
      </c>
      <c r="O246" s="36">
        <v>0.93823389999999995</v>
      </c>
      <c r="P246" s="393">
        <v>1</v>
      </c>
      <c r="Q246" s="36">
        <v>0.11068840000000001</v>
      </c>
      <c r="R246" s="36">
        <v>0.18894849999999999</v>
      </c>
      <c r="S246" s="36">
        <v>0.23243430000000001</v>
      </c>
      <c r="T246" s="36">
        <v>0.23392750000000001</v>
      </c>
      <c r="U246" s="36">
        <v>0.2815261</v>
      </c>
      <c r="V246" s="393">
        <v>1</v>
      </c>
      <c r="W246" s="36">
        <v>0.4107191</v>
      </c>
      <c r="X246" s="36">
        <v>0.48224470000000003</v>
      </c>
      <c r="Y246" s="36">
        <v>0.53890959999999999</v>
      </c>
      <c r="Z246" s="36">
        <v>0.54584299999999997</v>
      </c>
      <c r="AA246" s="36">
        <v>0.60941979999999996</v>
      </c>
      <c r="AB246" s="393">
        <v>1</v>
      </c>
    </row>
    <row r="247" spans="2:28" ht="0.5" customHeight="1">
      <c r="B247" s="9" t="s">
        <v>41</v>
      </c>
      <c r="C247" s="9" t="str">
        <f t="shared" si="60"/>
        <v>Chile30</v>
      </c>
      <c r="D247" s="9">
        <v>30</v>
      </c>
      <c r="E247" s="36">
        <v>0.48271269999999999</v>
      </c>
      <c r="F247" s="36">
        <v>0.62269039999999998</v>
      </c>
      <c r="G247" s="36">
        <v>0.76820829999999996</v>
      </c>
      <c r="H247" s="36">
        <v>0.77690700000000001</v>
      </c>
      <c r="I247" s="36">
        <v>0.88498589999999999</v>
      </c>
      <c r="J247" s="393">
        <v>1</v>
      </c>
      <c r="K247" s="36">
        <v>0.6647729</v>
      </c>
      <c r="L247" s="36">
        <v>0.75226420000000005</v>
      </c>
      <c r="M247" s="36">
        <v>0.85698510000000006</v>
      </c>
      <c r="N247" s="36">
        <v>0.87924270000000004</v>
      </c>
      <c r="O247" s="36">
        <v>0.94842510000000002</v>
      </c>
      <c r="P247" s="393">
        <v>1</v>
      </c>
      <c r="Q247" s="36">
        <v>0.11127629999999999</v>
      </c>
      <c r="R247" s="36">
        <v>0.1906388</v>
      </c>
      <c r="S247" s="36">
        <v>0.23608879999999999</v>
      </c>
      <c r="T247" s="36">
        <v>0.237705</v>
      </c>
      <c r="U247" s="36">
        <v>0.28429399999999999</v>
      </c>
      <c r="V247" s="393">
        <v>1</v>
      </c>
      <c r="W247" s="36">
        <v>0.41410269999999999</v>
      </c>
      <c r="X247" s="36">
        <v>0.48326859999999999</v>
      </c>
      <c r="Y247" s="36">
        <v>0.54326649999999999</v>
      </c>
      <c r="Z247" s="36">
        <v>0.55091140000000005</v>
      </c>
      <c r="AA247" s="36">
        <v>0.61106119999999997</v>
      </c>
      <c r="AB247" s="393">
        <v>1</v>
      </c>
    </row>
    <row r="248" spans="2:28" ht="0.5" customHeight="1">
      <c r="B248" s="9" t="s">
        <v>41</v>
      </c>
      <c r="C248" s="9" t="str">
        <f t="shared" si="60"/>
        <v>Chile31</v>
      </c>
      <c r="D248" s="9">
        <v>31</v>
      </c>
      <c r="E248" s="36">
        <v>0.4859076</v>
      </c>
      <c r="F248" s="36">
        <v>0.62298900000000001</v>
      </c>
      <c r="G248" s="36">
        <v>0.77369739999999998</v>
      </c>
      <c r="H248" s="36">
        <v>0.78317239999999999</v>
      </c>
      <c r="I248" s="36">
        <v>0.88795040000000003</v>
      </c>
      <c r="J248" s="393">
        <v>1</v>
      </c>
      <c r="K248" s="36">
        <v>0.66626019999999997</v>
      </c>
      <c r="L248" s="36">
        <v>0.75033669999999997</v>
      </c>
      <c r="M248" s="36">
        <v>0.85947419999999997</v>
      </c>
      <c r="N248" s="36">
        <v>0.88421159999999999</v>
      </c>
      <c r="O248" s="36">
        <v>0.94962539999999995</v>
      </c>
      <c r="P248" s="393">
        <v>1</v>
      </c>
      <c r="Q248" s="36">
        <v>0.112028</v>
      </c>
      <c r="R248" s="36">
        <v>0.19245619999999999</v>
      </c>
      <c r="S248" s="36">
        <v>0.239871</v>
      </c>
      <c r="T248" s="36">
        <v>0.241619</v>
      </c>
      <c r="U248" s="36">
        <v>0.28727009999999997</v>
      </c>
      <c r="V248" s="393">
        <v>1</v>
      </c>
      <c r="W248" s="36">
        <v>0.41548479999999999</v>
      </c>
      <c r="X248" s="36">
        <v>0.48293160000000002</v>
      </c>
      <c r="Y248" s="36">
        <v>0.54612989999999995</v>
      </c>
      <c r="Z248" s="36">
        <v>0.55445029999999995</v>
      </c>
      <c r="AA248" s="36">
        <v>0.61134790000000006</v>
      </c>
      <c r="AB248" s="393">
        <v>1</v>
      </c>
    </row>
    <row r="249" spans="2:28" ht="0.5" customHeight="1">
      <c r="B249" s="9" t="s">
        <v>41</v>
      </c>
      <c r="C249" s="9" t="str">
        <f t="shared" si="60"/>
        <v>Chile32</v>
      </c>
      <c r="D249" s="9">
        <v>32</v>
      </c>
      <c r="E249" s="36">
        <v>0.48946450000000002</v>
      </c>
      <c r="F249" s="36">
        <v>0.62278560000000005</v>
      </c>
      <c r="G249" s="36">
        <v>0.78235569999999999</v>
      </c>
      <c r="H249" s="36">
        <v>0.79319550000000005</v>
      </c>
      <c r="I249" s="36">
        <v>0.89309170000000004</v>
      </c>
      <c r="J249" s="393">
        <v>1</v>
      </c>
      <c r="K249" s="36">
        <v>0.67397660000000004</v>
      </c>
      <c r="L249" s="36">
        <v>0.75324950000000002</v>
      </c>
      <c r="M249" s="36">
        <v>0.87088969999999999</v>
      </c>
      <c r="N249" s="36">
        <v>0.90018659999999995</v>
      </c>
      <c r="O249" s="36">
        <v>0.95939969999999997</v>
      </c>
      <c r="P249" s="393">
        <v>1</v>
      </c>
      <c r="Q249" s="36">
        <v>0.11426260000000001</v>
      </c>
      <c r="R249" s="36">
        <v>0.1965779</v>
      </c>
      <c r="S249" s="36">
        <v>0.24773539999999999</v>
      </c>
      <c r="T249" s="36">
        <v>0.24979309999999999</v>
      </c>
      <c r="U249" s="36">
        <v>0.29378349999999998</v>
      </c>
      <c r="V249" s="393">
        <v>1</v>
      </c>
      <c r="W249" s="36">
        <v>0.41127780000000003</v>
      </c>
      <c r="X249" s="36">
        <v>0.47685539999999998</v>
      </c>
      <c r="Y249" s="36">
        <v>0.54586579999999996</v>
      </c>
      <c r="Z249" s="36">
        <v>0.55548339999999996</v>
      </c>
      <c r="AA249" s="36">
        <v>0.60728819999999994</v>
      </c>
      <c r="AB249" s="393">
        <v>1</v>
      </c>
    </row>
    <row r="250" spans="2:28" ht="0.5" customHeight="1">
      <c r="B250" s="9" t="s">
        <v>41</v>
      </c>
      <c r="C250" s="9" t="str">
        <f t="shared" si="60"/>
        <v>Chile33</v>
      </c>
      <c r="D250" s="9">
        <v>33</v>
      </c>
      <c r="E250" s="36">
        <v>0.48920340000000001</v>
      </c>
      <c r="F250" s="36">
        <v>0.62100129999999998</v>
      </c>
      <c r="G250" s="36">
        <v>0.78496339999999998</v>
      </c>
      <c r="H250" s="36">
        <v>0.79637539999999996</v>
      </c>
      <c r="I250" s="36">
        <v>0.89436360000000004</v>
      </c>
      <c r="J250" s="393">
        <v>1</v>
      </c>
      <c r="K250" s="36">
        <v>0.67402340000000005</v>
      </c>
      <c r="L250" s="36">
        <v>0.75088279999999996</v>
      </c>
      <c r="M250" s="36">
        <v>0.87295719999999999</v>
      </c>
      <c r="N250" s="36">
        <v>0.90439040000000004</v>
      </c>
      <c r="O250" s="36">
        <v>0.9609531</v>
      </c>
      <c r="P250" s="393">
        <v>1</v>
      </c>
      <c r="Q250" s="36">
        <v>0.1156148</v>
      </c>
      <c r="R250" s="36">
        <v>0.1985256</v>
      </c>
      <c r="S250" s="36">
        <v>0.25131150000000002</v>
      </c>
      <c r="T250" s="36">
        <v>0.25352999999999998</v>
      </c>
      <c r="U250" s="36">
        <v>0.2965448</v>
      </c>
      <c r="V250" s="393">
        <v>1</v>
      </c>
      <c r="W250" s="36">
        <v>0.40916130000000001</v>
      </c>
      <c r="X250" s="36">
        <v>0.47482489999999999</v>
      </c>
      <c r="Y250" s="36">
        <v>0.54640789999999995</v>
      </c>
      <c r="Z250" s="36">
        <v>0.55666610000000005</v>
      </c>
      <c r="AA250" s="36">
        <v>0.60681249999999998</v>
      </c>
      <c r="AB250" s="393">
        <v>1</v>
      </c>
    </row>
    <row r="251" spans="2:28" ht="0.5" customHeight="1">
      <c r="B251" s="9" t="s">
        <v>41</v>
      </c>
      <c r="C251" s="9" t="str">
        <f t="shared" si="60"/>
        <v>Chile34</v>
      </c>
      <c r="D251" s="9">
        <v>34</v>
      </c>
      <c r="E251" s="36">
        <v>0.48212569999999999</v>
      </c>
      <c r="F251" s="36">
        <v>0.61103070000000004</v>
      </c>
      <c r="G251" s="36">
        <v>0.78254959999999996</v>
      </c>
      <c r="H251" s="36">
        <v>0.79503480000000004</v>
      </c>
      <c r="I251" s="36">
        <v>0.8900633</v>
      </c>
      <c r="J251" s="393">
        <v>1</v>
      </c>
      <c r="K251" s="36">
        <v>0.67612819999999996</v>
      </c>
      <c r="L251" s="36">
        <v>0.75089600000000001</v>
      </c>
      <c r="M251" s="36">
        <v>0.88197999999999999</v>
      </c>
      <c r="N251" s="36">
        <v>0.91789209999999999</v>
      </c>
      <c r="O251" s="36">
        <v>0.96967999999999999</v>
      </c>
      <c r="P251" s="393">
        <v>1</v>
      </c>
      <c r="Q251" s="36">
        <v>0.1179075</v>
      </c>
      <c r="R251" s="36">
        <v>0.20173849999999999</v>
      </c>
      <c r="S251" s="36">
        <v>0.25768099999999999</v>
      </c>
      <c r="T251" s="36">
        <v>0.26023669999999999</v>
      </c>
      <c r="U251" s="36">
        <v>0.3014829</v>
      </c>
      <c r="V251" s="393">
        <v>1</v>
      </c>
      <c r="W251" s="36">
        <v>0.40223740000000002</v>
      </c>
      <c r="X251" s="36">
        <v>0.46774660000000001</v>
      </c>
      <c r="Y251" s="36">
        <v>0.5437071</v>
      </c>
      <c r="Z251" s="36">
        <v>0.5552222</v>
      </c>
      <c r="AA251" s="36">
        <v>0.60296620000000001</v>
      </c>
      <c r="AB251" s="393">
        <v>1</v>
      </c>
    </row>
    <row r="252" spans="2:28" ht="0.5" customHeight="1">
      <c r="B252" s="9" t="s">
        <v>41</v>
      </c>
      <c r="C252" s="9" t="str">
        <f t="shared" si="60"/>
        <v>Chile35</v>
      </c>
      <c r="D252" s="9">
        <v>35</v>
      </c>
      <c r="E252" s="36">
        <v>0.4817496</v>
      </c>
      <c r="F252" s="36">
        <v>0.60924049999999996</v>
      </c>
      <c r="G252" s="36">
        <v>0.78419530000000004</v>
      </c>
      <c r="H252" s="36">
        <v>0.79718820000000001</v>
      </c>
      <c r="I252" s="36">
        <v>0.89097199999999999</v>
      </c>
      <c r="J252" s="393">
        <v>1</v>
      </c>
      <c r="K252" s="36">
        <v>0.67483380000000004</v>
      </c>
      <c r="L252" s="36">
        <v>0.74873880000000004</v>
      </c>
      <c r="M252" s="36">
        <v>0.88364730000000002</v>
      </c>
      <c r="N252" s="36">
        <v>0.92141519999999999</v>
      </c>
      <c r="O252" s="36">
        <v>0.97138170000000001</v>
      </c>
      <c r="P252" s="393">
        <v>1</v>
      </c>
      <c r="Q252" s="36">
        <v>0.1194723</v>
      </c>
      <c r="R252" s="36">
        <v>0.2036261</v>
      </c>
      <c r="S252" s="36">
        <v>0.26137110000000002</v>
      </c>
      <c r="T252" s="36">
        <v>0.2641192</v>
      </c>
      <c r="U252" s="36">
        <v>0.3050136</v>
      </c>
      <c r="V252" s="393">
        <v>1</v>
      </c>
      <c r="W252" s="36">
        <v>0.4009625</v>
      </c>
      <c r="X252" s="36">
        <v>0.46646680000000001</v>
      </c>
      <c r="Y252" s="36">
        <v>0.54443260000000004</v>
      </c>
      <c r="Z252" s="36">
        <v>0.55653750000000002</v>
      </c>
      <c r="AA252" s="36">
        <v>0.60380500000000004</v>
      </c>
      <c r="AB252" s="393">
        <v>1</v>
      </c>
    </row>
    <row r="253" spans="2:28" ht="0.5" customHeight="1">
      <c r="B253" s="9" t="s">
        <v>41</v>
      </c>
      <c r="C253" s="9" t="str">
        <f t="shared" si="60"/>
        <v>Chile36</v>
      </c>
      <c r="D253" s="9">
        <v>36</v>
      </c>
      <c r="E253" s="36">
        <v>0.48210530000000001</v>
      </c>
      <c r="F253" s="36">
        <v>0.60796890000000003</v>
      </c>
      <c r="G253" s="36">
        <v>0.78644309999999995</v>
      </c>
      <c r="H253" s="36">
        <v>0.79990530000000004</v>
      </c>
      <c r="I253" s="36">
        <v>0.89223949999999996</v>
      </c>
      <c r="J253" s="393">
        <v>1</v>
      </c>
      <c r="K253" s="36">
        <v>0.67182839999999999</v>
      </c>
      <c r="L253" s="36">
        <v>0.74502460000000004</v>
      </c>
      <c r="M253" s="36">
        <v>0.88409570000000004</v>
      </c>
      <c r="N253" s="36">
        <v>0.92366060000000005</v>
      </c>
      <c r="O253" s="36">
        <v>0.97192060000000002</v>
      </c>
      <c r="P253" s="393">
        <v>1</v>
      </c>
      <c r="Q253" s="36">
        <v>0.12054910000000001</v>
      </c>
      <c r="R253" s="36">
        <v>0.20488310000000001</v>
      </c>
      <c r="S253" s="36">
        <v>0.26455040000000002</v>
      </c>
      <c r="T253" s="36">
        <v>0.26748090000000002</v>
      </c>
      <c r="U253" s="36">
        <v>0.30805369999999999</v>
      </c>
      <c r="V253" s="393">
        <v>1</v>
      </c>
      <c r="W253" s="36">
        <v>0.40056849999999999</v>
      </c>
      <c r="X253" s="36">
        <v>0.46627059999999998</v>
      </c>
      <c r="Y253" s="36">
        <v>0.54637270000000004</v>
      </c>
      <c r="Z253" s="36">
        <v>0.55913170000000001</v>
      </c>
      <c r="AA253" s="36">
        <v>0.60574470000000002</v>
      </c>
      <c r="AB253" s="393">
        <v>1</v>
      </c>
    </row>
    <row r="254" spans="2:28" ht="0.5" customHeight="1">
      <c r="B254" s="9" t="s">
        <v>41</v>
      </c>
      <c r="C254" s="9" t="str">
        <f t="shared" si="60"/>
        <v>Chile37</v>
      </c>
      <c r="D254" s="9">
        <v>37</v>
      </c>
      <c r="E254" s="36">
        <v>0.48304459999999999</v>
      </c>
      <c r="F254" s="36">
        <v>0.60512960000000005</v>
      </c>
      <c r="G254" s="36">
        <v>0.7921492</v>
      </c>
      <c r="H254" s="36">
        <v>0.80658359999999996</v>
      </c>
      <c r="I254" s="36">
        <v>0.89546320000000001</v>
      </c>
      <c r="J254" s="393">
        <v>1</v>
      </c>
      <c r="K254" s="36">
        <v>0.65982759999999996</v>
      </c>
      <c r="L254" s="36">
        <v>0.73065270000000004</v>
      </c>
      <c r="M254" s="36">
        <v>0.87801899999999999</v>
      </c>
      <c r="N254" s="36">
        <v>0.92159310000000005</v>
      </c>
      <c r="O254" s="36">
        <v>0.96699670000000004</v>
      </c>
      <c r="P254" s="393">
        <v>1</v>
      </c>
      <c r="Q254" s="36">
        <v>0.12353310000000001</v>
      </c>
      <c r="R254" s="36">
        <v>0.20767289999999999</v>
      </c>
      <c r="S254" s="36">
        <v>0.27136529999999998</v>
      </c>
      <c r="T254" s="36">
        <v>0.2745978</v>
      </c>
      <c r="U254" s="36">
        <v>0.31408540000000001</v>
      </c>
      <c r="V254" s="393">
        <v>1</v>
      </c>
      <c r="W254" s="36">
        <v>0.40496490000000002</v>
      </c>
      <c r="X254" s="36">
        <v>0.47142200000000001</v>
      </c>
      <c r="Y254" s="36">
        <v>0.55562279999999997</v>
      </c>
      <c r="Z254" s="36">
        <v>0.56967840000000003</v>
      </c>
      <c r="AA254" s="36">
        <v>0.61532120000000001</v>
      </c>
      <c r="AB254" s="393">
        <v>1</v>
      </c>
    </row>
    <row r="255" spans="2:28" ht="0.5" customHeight="1">
      <c r="B255" s="9" t="s">
        <v>41</v>
      </c>
      <c r="C255" s="9" t="str">
        <f t="shared" si="60"/>
        <v>Chile38</v>
      </c>
      <c r="D255" s="9">
        <v>38</v>
      </c>
      <c r="E255" s="36">
        <v>0.4809734</v>
      </c>
      <c r="F255" s="36">
        <v>0.60065900000000005</v>
      </c>
      <c r="G255" s="36">
        <v>0.79279140000000003</v>
      </c>
      <c r="H255" s="36">
        <v>0.80778380000000005</v>
      </c>
      <c r="I255" s="36">
        <v>0.89504839999999997</v>
      </c>
      <c r="J255" s="393">
        <v>1</v>
      </c>
      <c r="K255" s="36">
        <v>0.6577636</v>
      </c>
      <c r="L255" s="36">
        <v>0.72754730000000001</v>
      </c>
      <c r="M255" s="36">
        <v>0.87917049999999997</v>
      </c>
      <c r="N255" s="36">
        <v>0.9249579</v>
      </c>
      <c r="O255" s="36">
        <v>0.96902259999999996</v>
      </c>
      <c r="P255" s="393">
        <v>1</v>
      </c>
      <c r="Q255" s="36">
        <v>0.1249846</v>
      </c>
      <c r="R255" s="36">
        <v>0.20892060000000001</v>
      </c>
      <c r="S255" s="36">
        <v>0.27457130000000002</v>
      </c>
      <c r="T255" s="36">
        <v>0.27798869999999998</v>
      </c>
      <c r="U255" s="36">
        <v>0.3168879</v>
      </c>
      <c r="V255" s="393">
        <v>1</v>
      </c>
      <c r="W255" s="36">
        <v>0.40564749999999999</v>
      </c>
      <c r="X255" s="36">
        <v>0.47220590000000001</v>
      </c>
      <c r="Y255" s="36">
        <v>0.55827550000000004</v>
      </c>
      <c r="Z255" s="36">
        <v>0.57297719999999996</v>
      </c>
      <c r="AA255" s="36">
        <v>0.61777539999999997</v>
      </c>
      <c r="AB255" s="393">
        <v>1</v>
      </c>
    </row>
    <row r="256" spans="2:28" ht="0.5" customHeight="1">
      <c r="B256" s="9" t="s">
        <v>41</v>
      </c>
      <c r="C256" s="9" t="str">
        <f t="shared" si="60"/>
        <v>Chile39</v>
      </c>
      <c r="D256" s="9">
        <v>39</v>
      </c>
      <c r="E256" s="36">
        <v>0.47167490000000001</v>
      </c>
      <c r="F256" s="36">
        <v>0.58676669999999997</v>
      </c>
      <c r="G256" s="36">
        <v>0.78958209999999995</v>
      </c>
      <c r="H256" s="36">
        <v>0.80609280000000005</v>
      </c>
      <c r="I256" s="36">
        <v>0.89048349999999998</v>
      </c>
      <c r="J256" s="393">
        <v>1</v>
      </c>
      <c r="K256" s="36">
        <v>0.65240010000000004</v>
      </c>
      <c r="L256" s="36">
        <v>0.71861359999999996</v>
      </c>
      <c r="M256" s="36">
        <v>0.87804000000000004</v>
      </c>
      <c r="N256" s="36">
        <v>0.92825800000000003</v>
      </c>
      <c r="O256" s="36">
        <v>0.97036710000000004</v>
      </c>
      <c r="P256" s="393">
        <v>1</v>
      </c>
      <c r="Q256" s="36">
        <v>0.12773889999999999</v>
      </c>
      <c r="R256" s="36">
        <v>0.21154249999999999</v>
      </c>
      <c r="S256" s="36">
        <v>0.28087129999999999</v>
      </c>
      <c r="T256" s="36">
        <v>0.28466140000000001</v>
      </c>
      <c r="U256" s="36">
        <v>0.32250210000000001</v>
      </c>
      <c r="V256" s="393">
        <v>1</v>
      </c>
      <c r="W256" s="36">
        <v>0.40771590000000002</v>
      </c>
      <c r="X256" s="36">
        <v>0.47547499999999998</v>
      </c>
      <c r="Y256" s="36">
        <v>0.56551269999999998</v>
      </c>
      <c r="Z256" s="36">
        <v>0.58153220000000005</v>
      </c>
      <c r="AA256" s="36">
        <v>0.62462960000000001</v>
      </c>
      <c r="AB256" s="393">
        <v>1</v>
      </c>
    </row>
    <row r="257" spans="2:28" ht="0.5" customHeight="1">
      <c r="B257" s="9" t="s">
        <v>41</v>
      </c>
      <c r="C257" s="9" t="str">
        <f t="shared" si="60"/>
        <v>Chile40</v>
      </c>
      <c r="D257" s="9">
        <v>40</v>
      </c>
      <c r="E257" s="36">
        <v>0.46696300000000002</v>
      </c>
      <c r="F257" s="36">
        <v>0.58031650000000001</v>
      </c>
      <c r="G257" s="36">
        <v>0.78815409999999997</v>
      </c>
      <c r="H257" s="36">
        <v>0.80546519999999999</v>
      </c>
      <c r="I257" s="36">
        <v>0.88896430000000004</v>
      </c>
      <c r="J257" s="393">
        <v>1</v>
      </c>
      <c r="K257" s="36">
        <v>0.64967169999999996</v>
      </c>
      <c r="L257" s="36">
        <v>0.7142693</v>
      </c>
      <c r="M257" s="36">
        <v>0.87721899999999997</v>
      </c>
      <c r="N257" s="36">
        <v>0.92935319999999999</v>
      </c>
      <c r="O257" s="36">
        <v>0.97075869999999997</v>
      </c>
      <c r="P257" s="393">
        <v>1</v>
      </c>
      <c r="Q257" s="36">
        <v>0.1287886</v>
      </c>
      <c r="R257" s="36">
        <v>0.2122994</v>
      </c>
      <c r="S257" s="36">
        <v>0.2836764</v>
      </c>
      <c r="T257" s="36">
        <v>0.2877053</v>
      </c>
      <c r="U257" s="36">
        <v>0.32477040000000001</v>
      </c>
      <c r="V257" s="393">
        <v>1</v>
      </c>
      <c r="W257" s="36">
        <v>0.40695199999999998</v>
      </c>
      <c r="X257" s="36">
        <v>0.47505940000000002</v>
      </c>
      <c r="Y257" s="36">
        <v>0.56687240000000005</v>
      </c>
      <c r="Z257" s="36">
        <v>0.58355840000000003</v>
      </c>
      <c r="AA257" s="36">
        <v>0.62581770000000003</v>
      </c>
      <c r="AB257" s="393">
        <v>1</v>
      </c>
    </row>
    <row r="258" spans="2:28" ht="0.5" customHeight="1">
      <c r="B258" s="9" t="s">
        <v>41</v>
      </c>
      <c r="C258" s="9" t="str">
        <f t="shared" si="60"/>
        <v>Chile41</v>
      </c>
      <c r="D258" s="9">
        <v>41</v>
      </c>
      <c r="E258" s="36">
        <v>0.46275280000000002</v>
      </c>
      <c r="F258" s="36">
        <v>0.57462440000000004</v>
      </c>
      <c r="G258" s="36">
        <v>0.78713120000000003</v>
      </c>
      <c r="H258" s="36">
        <v>0.80529700000000004</v>
      </c>
      <c r="I258" s="36">
        <v>0.88808940000000003</v>
      </c>
      <c r="J258" s="393">
        <v>1</v>
      </c>
      <c r="K258" s="36">
        <v>0.64301629999999999</v>
      </c>
      <c r="L258" s="36">
        <v>0.70595030000000003</v>
      </c>
      <c r="M258" s="36">
        <v>0.87147609999999998</v>
      </c>
      <c r="N258" s="36">
        <v>0.92527499999999996</v>
      </c>
      <c r="O258" s="36">
        <v>0.96592239999999996</v>
      </c>
      <c r="P258" s="393">
        <v>1</v>
      </c>
      <c r="Q258" s="36">
        <v>0.1290115</v>
      </c>
      <c r="R258" s="36">
        <v>0.21199999999999999</v>
      </c>
      <c r="S258" s="36">
        <v>0.28508559999999999</v>
      </c>
      <c r="T258" s="36">
        <v>0.28934399999999999</v>
      </c>
      <c r="U258" s="36">
        <v>0.32547520000000002</v>
      </c>
      <c r="V258" s="393">
        <v>1</v>
      </c>
      <c r="W258" s="36">
        <v>0.4087383</v>
      </c>
      <c r="X258" s="36">
        <v>0.47747000000000001</v>
      </c>
      <c r="Y258" s="36">
        <v>0.57096089999999999</v>
      </c>
      <c r="Z258" s="36">
        <v>0.58833970000000002</v>
      </c>
      <c r="AA258" s="36">
        <v>0.6297798</v>
      </c>
      <c r="AB258" s="393">
        <v>1</v>
      </c>
    </row>
    <row r="259" spans="2:28" ht="0.5" customHeight="1">
      <c r="B259" s="9" t="s">
        <v>41</v>
      </c>
      <c r="C259" s="9" t="str">
        <f t="shared" si="60"/>
        <v>Chile42</v>
      </c>
      <c r="D259" s="9">
        <v>42</v>
      </c>
      <c r="E259" s="36">
        <v>0.4578914</v>
      </c>
      <c r="F259" s="36">
        <v>0.56663719999999995</v>
      </c>
      <c r="G259" s="36">
        <v>0.78622029999999998</v>
      </c>
      <c r="H259" s="36">
        <v>0.80665500000000001</v>
      </c>
      <c r="I259" s="36">
        <v>0.8880055</v>
      </c>
      <c r="J259" s="393">
        <v>1</v>
      </c>
      <c r="K259" s="36">
        <v>0.63833050000000002</v>
      </c>
      <c r="L259" s="36">
        <v>0.69990470000000005</v>
      </c>
      <c r="M259" s="36">
        <v>0.86936690000000005</v>
      </c>
      <c r="N259" s="36">
        <v>0.92624010000000001</v>
      </c>
      <c r="O259" s="36">
        <v>0.96564810000000001</v>
      </c>
      <c r="P259" s="393">
        <v>1</v>
      </c>
      <c r="Q259" s="36">
        <v>0.12940209999999999</v>
      </c>
      <c r="R259" s="36">
        <v>0.21116799999999999</v>
      </c>
      <c r="S259" s="36">
        <v>0.2867384</v>
      </c>
      <c r="T259" s="36">
        <v>0.2915103</v>
      </c>
      <c r="U259" s="36">
        <v>0.3256735</v>
      </c>
      <c r="V259" s="393">
        <v>1</v>
      </c>
      <c r="W259" s="36">
        <v>0.409777</v>
      </c>
      <c r="X259" s="36">
        <v>0.47874949999999999</v>
      </c>
      <c r="Y259" s="36">
        <v>0.57489760000000001</v>
      </c>
      <c r="Z259" s="36">
        <v>0.59335680000000002</v>
      </c>
      <c r="AA259" s="36">
        <v>0.63330439999999999</v>
      </c>
      <c r="AB259" s="393">
        <v>1</v>
      </c>
    </row>
    <row r="260" spans="2:28" ht="0.5" customHeight="1">
      <c r="B260" s="9" t="s">
        <v>41</v>
      </c>
      <c r="C260" s="9" t="str">
        <f t="shared" si="60"/>
        <v>Chile43</v>
      </c>
      <c r="D260" s="9">
        <v>43</v>
      </c>
      <c r="E260" s="36">
        <v>0.45594099999999999</v>
      </c>
      <c r="F260" s="36">
        <v>0.56337190000000004</v>
      </c>
      <c r="G260" s="36">
        <v>0.7854025</v>
      </c>
      <c r="H260" s="36">
        <v>0.80700139999999998</v>
      </c>
      <c r="I260" s="36">
        <v>0.88743050000000001</v>
      </c>
      <c r="J260" s="393">
        <v>1</v>
      </c>
      <c r="K260" s="36">
        <v>0.63584050000000003</v>
      </c>
      <c r="L260" s="36">
        <v>0.69765670000000002</v>
      </c>
      <c r="M260" s="36">
        <v>0.86912239999999996</v>
      </c>
      <c r="N260" s="36">
        <v>0.92766769999999998</v>
      </c>
      <c r="O260" s="36">
        <v>0.96672530000000001</v>
      </c>
      <c r="P260" s="393">
        <v>1</v>
      </c>
      <c r="Q260" s="36">
        <v>0.1291552</v>
      </c>
      <c r="R260" s="36">
        <v>0.2100842</v>
      </c>
      <c r="S260" s="36">
        <v>0.28663909999999998</v>
      </c>
      <c r="T260" s="36">
        <v>0.29166389999999998</v>
      </c>
      <c r="U260" s="36">
        <v>0.3249438</v>
      </c>
      <c r="V260" s="393">
        <v>1</v>
      </c>
      <c r="W260" s="36">
        <v>0.41089340000000002</v>
      </c>
      <c r="X260" s="36">
        <v>0.47942259999999998</v>
      </c>
      <c r="Y260" s="36">
        <v>0.57692449999999995</v>
      </c>
      <c r="Z260" s="36">
        <v>0.59586620000000001</v>
      </c>
      <c r="AA260" s="36">
        <v>0.63564220000000005</v>
      </c>
      <c r="AB260" s="393">
        <v>1</v>
      </c>
    </row>
    <row r="261" spans="2:28" ht="0.5" customHeight="1">
      <c r="B261" s="9" t="s">
        <v>41</v>
      </c>
      <c r="C261" s="9" t="str">
        <f t="shared" si="60"/>
        <v>Chile44</v>
      </c>
      <c r="D261" s="9">
        <v>44</v>
      </c>
      <c r="E261" s="36">
        <v>0.4520517</v>
      </c>
      <c r="F261" s="36">
        <v>0.55582310000000001</v>
      </c>
      <c r="G261" s="36">
        <v>0.78179540000000003</v>
      </c>
      <c r="H261" s="36">
        <v>0.80548819999999999</v>
      </c>
      <c r="I261" s="36">
        <v>0.88438240000000001</v>
      </c>
      <c r="J261" s="393">
        <v>1</v>
      </c>
      <c r="K261" s="36">
        <v>0.63296189999999997</v>
      </c>
      <c r="L261" s="36">
        <v>0.69501460000000004</v>
      </c>
      <c r="M261" s="36">
        <v>0.86989890000000003</v>
      </c>
      <c r="N261" s="36">
        <v>0.93142840000000005</v>
      </c>
      <c r="O261" s="36">
        <v>0.96993090000000004</v>
      </c>
      <c r="P261" s="393">
        <v>1</v>
      </c>
      <c r="Q261" s="36">
        <v>0.12680810000000001</v>
      </c>
      <c r="R261" s="36">
        <v>0.20545289999999999</v>
      </c>
      <c r="S261" s="36">
        <v>0.284632</v>
      </c>
      <c r="T261" s="36">
        <v>0.29004730000000001</v>
      </c>
      <c r="U261" s="36">
        <v>0.32140669999999999</v>
      </c>
      <c r="V261" s="393">
        <v>1</v>
      </c>
      <c r="W261" s="36">
        <v>0.41318080000000001</v>
      </c>
      <c r="X261" s="36">
        <v>0.480296</v>
      </c>
      <c r="Y261" s="36">
        <v>0.57979029999999998</v>
      </c>
      <c r="Z261" s="36">
        <v>0.5996243</v>
      </c>
      <c r="AA261" s="36">
        <v>0.6384166</v>
      </c>
      <c r="AB261" s="393">
        <v>1</v>
      </c>
    </row>
    <row r="262" spans="2:28" ht="0.5" customHeight="1">
      <c r="B262" s="9" t="s">
        <v>41</v>
      </c>
      <c r="C262" s="9" t="str">
        <f t="shared" si="60"/>
        <v>Chile45</v>
      </c>
      <c r="D262" s="9">
        <v>45</v>
      </c>
      <c r="E262" s="36">
        <v>0.44992850000000001</v>
      </c>
      <c r="F262" s="36">
        <v>0.55172620000000006</v>
      </c>
      <c r="G262" s="36">
        <v>0.77956150000000002</v>
      </c>
      <c r="H262" s="36">
        <v>0.80416690000000002</v>
      </c>
      <c r="I262" s="36">
        <v>0.8823299</v>
      </c>
      <c r="J262" s="393">
        <v>1</v>
      </c>
      <c r="K262" s="36">
        <v>0.62767090000000003</v>
      </c>
      <c r="L262" s="36">
        <v>0.68956640000000002</v>
      </c>
      <c r="M262" s="36">
        <v>0.86587749999999997</v>
      </c>
      <c r="N262" s="36">
        <v>0.92883669999999996</v>
      </c>
      <c r="O262" s="36">
        <v>0.96685829999999995</v>
      </c>
      <c r="P262" s="393">
        <v>1</v>
      </c>
      <c r="Q262" s="36">
        <v>0.1254538</v>
      </c>
      <c r="R262" s="36">
        <v>0.20244680000000001</v>
      </c>
      <c r="S262" s="36">
        <v>0.28300180000000003</v>
      </c>
      <c r="T262" s="36">
        <v>0.2885973</v>
      </c>
      <c r="U262" s="36">
        <v>0.31891619999999998</v>
      </c>
      <c r="V262" s="393">
        <v>1</v>
      </c>
      <c r="W262" s="36">
        <v>0.41224759999999999</v>
      </c>
      <c r="X262" s="36">
        <v>0.47830329999999999</v>
      </c>
      <c r="Y262" s="36">
        <v>0.57875900000000002</v>
      </c>
      <c r="Z262" s="36">
        <v>0.59921570000000002</v>
      </c>
      <c r="AA262" s="36">
        <v>0.63675870000000001</v>
      </c>
      <c r="AB262" s="393">
        <v>1</v>
      </c>
    </row>
    <row r="263" spans="2:28" ht="0.5" customHeight="1">
      <c r="B263" s="9" t="s">
        <v>41</v>
      </c>
      <c r="C263" s="9" t="str">
        <f t="shared" si="60"/>
        <v>Chile46</v>
      </c>
      <c r="D263" s="9">
        <v>46</v>
      </c>
      <c r="E263" s="36">
        <v>0.44687640000000001</v>
      </c>
      <c r="F263" s="36">
        <v>0.54658220000000002</v>
      </c>
      <c r="G263" s="36">
        <v>0.77655609999999997</v>
      </c>
      <c r="H263" s="36">
        <v>0.80203570000000002</v>
      </c>
      <c r="I263" s="36">
        <v>0.87940289999999999</v>
      </c>
      <c r="J263" s="393">
        <v>1</v>
      </c>
      <c r="K263" s="36">
        <v>0.62213649999999998</v>
      </c>
      <c r="L263" s="36">
        <v>0.68359729999999996</v>
      </c>
      <c r="M263" s="36">
        <v>0.86169549999999995</v>
      </c>
      <c r="N263" s="36">
        <v>0.92613909999999999</v>
      </c>
      <c r="O263" s="36">
        <v>0.96380920000000003</v>
      </c>
      <c r="P263" s="393">
        <v>1</v>
      </c>
      <c r="Q263" s="36">
        <v>0.12413929999999999</v>
      </c>
      <c r="R263" s="36">
        <v>0.1995857</v>
      </c>
      <c r="S263" s="36">
        <v>0.28156619999999999</v>
      </c>
      <c r="T263" s="36">
        <v>0.28732029999999997</v>
      </c>
      <c r="U263" s="36">
        <v>0.31659480000000001</v>
      </c>
      <c r="V263" s="393">
        <v>1</v>
      </c>
      <c r="W263" s="36">
        <v>0.40883770000000003</v>
      </c>
      <c r="X263" s="36">
        <v>0.47328520000000002</v>
      </c>
      <c r="Y263" s="36">
        <v>0.57470900000000003</v>
      </c>
      <c r="Z263" s="36">
        <v>0.59572919999999996</v>
      </c>
      <c r="AA263" s="36">
        <v>0.63206050000000003</v>
      </c>
      <c r="AB263" s="393">
        <v>1</v>
      </c>
    </row>
    <row r="264" spans="2:28" ht="0.5" customHeight="1">
      <c r="B264" s="9" t="s">
        <v>41</v>
      </c>
      <c r="C264" s="9" t="str">
        <f t="shared" si="60"/>
        <v>Chile47</v>
      </c>
      <c r="D264" s="9">
        <v>47</v>
      </c>
      <c r="E264" s="36">
        <v>0.44007170000000001</v>
      </c>
      <c r="F264" s="36">
        <v>0.53572620000000004</v>
      </c>
      <c r="G264" s="36">
        <v>0.77204879999999998</v>
      </c>
      <c r="H264" s="36">
        <v>0.79900349999999998</v>
      </c>
      <c r="I264" s="36">
        <v>0.8746929</v>
      </c>
      <c r="J264" s="393">
        <v>1</v>
      </c>
      <c r="K264" s="36">
        <v>0.61014970000000002</v>
      </c>
      <c r="L264" s="36">
        <v>0.67062239999999995</v>
      </c>
      <c r="M264" s="36">
        <v>0.85247119999999998</v>
      </c>
      <c r="N264" s="36">
        <v>0.92005959999999998</v>
      </c>
      <c r="O264" s="36">
        <v>0.95726409999999995</v>
      </c>
      <c r="P264" s="393">
        <v>1</v>
      </c>
      <c r="Q264" s="36">
        <v>0.1217139</v>
      </c>
      <c r="R264" s="36">
        <v>0.19407440000000001</v>
      </c>
      <c r="S264" s="36">
        <v>0.27855279999999999</v>
      </c>
      <c r="T264" s="36">
        <v>0.28459899999999999</v>
      </c>
      <c r="U264" s="36">
        <v>0.31195309999999998</v>
      </c>
      <c r="V264" s="393">
        <v>1</v>
      </c>
      <c r="W264" s="36">
        <v>0.40075339999999998</v>
      </c>
      <c r="X264" s="36">
        <v>0.46210279999999998</v>
      </c>
      <c r="Y264" s="36">
        <v>0.56511929999999999</v>
      </c>
      <c r="Z264" s="36">
        <v>0.58707670000000001</v>
      </c>
      <c r="AA264" s="36">
        <v>0.62055899999999997</v>
      </c>
      <c r="AB264" s="393">
        <v>1</v>
      </c>
    </row>
    <row r="265" spans="2:28" ht="0.5" customHeight="1">
      <c r="B265" s="9" t="s">
        <v>41</v>
      </c>
      <c r="C265" s="9" t="str">
        <f t="shared" si="60"/>
        <v>Chile48</v>
      </c>
      <c r="D265" s="9">
        <v>48</v>
      </c>
      <c r="E265" s="36">
        <v>0.43394240000000001</v>
      </c>
      <c r="F265" s="36">
        <v>0.52749829999999998</v>
      </c>
      <c r="G265" s="36">
        <v>0.76686500000000002</v>
      </c>
      <c r="H265" s="36">
        <v>0.79439079999999995</v>
      </c>
      <c r="I265" s="36">
        <v>0.86893980000000004</v>
      </c>
      <c r="J265" s="393">
        <v>1</v>
      </c>
      <c r="K265" s="36">
        <v>0.60575570000000001</v>
      </c>
      <c r="L265" s="36">
        <v>0.66598780000000002</v>
      </c>
      <c r="M265" s="36">
        <v>0.85009069999999998</v>
      </c>
      <c r="N265" s="36">
        <v>0.91895939999999998</v>
      </c>
      <c r="O265" s="36">
        <v>0.95621140000000004</v>
      </c>
      <c r="P265" s="393">
        <v>1</v>
      </c>
      <c r="Q265" s="36">
        <v>0.1202582</v>
      </c>
      <c r="R265" s="36">
        <v>0.19132060000000001</v>
      </c>
      <c r="S265" s="36">
        <v>0.27694279999999999</v>
      </c>
      <c r="T265" s="36">
        <v>0.28310180000000001</v>
      </c>
      <c r="U265" s="36">
        <v>0.30949330000000003</v>
      </c>
      <c r="V265" s="393">
        <v>1</v>
      </c>
      <c r="W265" s="36">
        <v>0.39827810000000002</v>
      </c>
      <c r="X265" s="36">
        <v>0.4585378</v>
      </c>
      <c r="Y265" s="36">
        <v>0.56240670000000004</v>
      </c>
      <c r="Z265" s="36">
        <v>0.58473030000000004</v>
      </c>
      <c r="AA265" s="36">
        <v>0.61667959999999999</v>
      </c>
      <c r="AB265" s="393">
        <v>1</v>
      </c>
    </row>
    <row r="266" spans="2:28" ht="0.5" customHeight="1">
      <c r="B266" s="9" t="s">
        <v>41</v>
      </c>
      <c r="C266" s="9" t="str">
        <f t="shared" si="60"/>
        <v>Chile49</v>
      </c>
      <c r="D266" s="9">
        <v>49</v>
      </c>
      <c r="E266" s="36">
        <v>0.41918569999999999</v>
      </c>
      <c r="F266" s="36">
        <v>0.50914369999999998</v>
      </c>
      <c r="G266" s="36">
        <v>0.75293429999999995</v>
      </c>
      <c r="H266" s="36">
        <v>0.78126470000000003</v>
      </c>
      <c r="I266" s="36">
        <v>0.8538983</v>
      </c>
      <c r="J266" s="393">
        <v>1</v>
      </c>
      <c r="K266" s="36">
        <v>0.58768920000000002</v>
      </c>
      <c r="L266" s="36">
        <v>0.64673159999999996</v>
      </c>
      <c r="M266" s="36">
        <v>0.83565970000000001</v>
      </c>
      <c r="N266" s="36">
        <v>0.90669129999999998</v>
      </c>
      <c r="O266" s="36">
        <v>0.94411990000000001</v>
      </c>
      <c r="P266" s="393">
        <v>1</v>
      </c>
      <c r="Q266" s="36">
        <v>0.1159468</v>
      </c>
      <c r="R266" s="36">
        <v>0.18404770000000001</v>
      </c>
      <c r="S266" s="36">
        <v>0.27094489999999999</v>
      </c>
      <c r="T266" s="36">
        <v>0.27719290000000002</v>
      </c>
      <c r="U266" s="36">
        <v>0.30179980000000001</v>
      </c>
      <c r="V266" s="393">
        <v>1</v>
      </c>
      <c r="W266" s="36">
        <v>0.39252799999999999</v>
      </c>
      <c r="X266" s="36">
        <v>0.45002579999999998</v>
      </c>
      <c r="Y266" s="36">
        <v>0.55595649999999996</v>
      </c>
      <c r="Z266" s="36">
        <v>0.57875900000000002</v>
      </c>
      <c r="AA266" s="36">
        <v>0.60742030000000002</v>
      </c>
      <c r="AB266" s="393">
        <v>1</v>
      </c>
    </row>
    <row r="267" spans="2:28" ht="0.5" customHeight="1">
      <c r="B267" s="9" t="s">
        <v>41</v>
      </c>
      <c r="C267" s="9" t="str">
        <f t="shared" si="60"/>
        <v>Chile50</v>
      </c>
      <c r="D267" s="9">
        <v>50</v>
      </c>
      <c r="E267" s="36">
        <v>0.41292800000000002</v>
      </c>
      <c r="F267" s="36">
        <v>0.50105189999999999</v>
      </c>
      <c r="G267" s="36">
        <v>0.74608560000000002</v>
      </c>
      <c r="H267" s="36">
        <v>0.77478800000000003</v>
      </c>
      <c r="I267" s="36">
        <v>0.8463541</v>
      </c>
      <c r="J267" s="393">
        <v>1</v>
      </c>
      <c r="K267" s="36">
        <v>0.58148259999999996</v>
      </c>
      <c r="L267" s="36">
        <v>0.63977249999999997</v>
      </c>
      <c r="M267" s="36">
        <v>0.8308316</v>
      </c>
      <c r="N267" s="36">
        <v>0.90244250000000004</v>
      </c>
      <c r="O267" s="36">
        <v>0.93977849999999996</v>
      </c>
      <c r="P267" s="393">
        <v>1</v>
      </c>
      <c r="Q267" s="36">
        <v>0.1138528</v>
      </c>
      <c r="R267" s="36">
        <v>0.1803881</v>
      </c>
      <c r="S267" s="36">
        <v>0.26712330000000001</v>
      </c>
      <c r="T267" s="36">
        <v>0.2734103</v>
      </c>
      <c r="U267" s="36">
        <v>0.2972207</v>
      </c>
      <c r="V267" s="393">
        <v>1</v>
      </c>
      <c r="W267" s="36">
        <v>0.38953359999999998</v>
      </c>
      <c r="X267" s="36">
        <v>0.44647989999999999</v>
      </c>
      <c r="Y267" s="36">
        <v>0.55333069999999995</v>
      </c>
      <c r="Z267" s="36">
        <v>0.57635809999999998</v>
      </c>
      <c r="AA267" s="36">
        <v>0.60370140000000005</v>
      </c>
      <c r="AB267" s="393">
        <v>1</v>
      </c>
    </row>
    <row r="268" spans="2:28" ht="0.5" customHeight="1">
      <c r="B268" s="9" t="s">
        <v>41</v>
      </c>
      <c r="C268" s="9" t="str">
        <f t="shared" si="60"/>
        <v>Chile51</v>
      </c>
      <c r="D268" s="9">
        <v>51</v>
      </c>
      <c r="E268" s="36">
        <v>0.40719709999999998</v>
      </c>
      <c r="F268" s="36">
        <v>0.49343520000000002</v>
      </c>
      <c r="G268" s="36">
        <v>0.73903909999999995</v>
      </c>
      <c r="H268" s="36">
        <v>0.76810889999999998</v>
      </c>
      <c r="I268" s="36">
        <v>0.83873779999999998</v>
      </c>
      <c r="J268" s="393">
        <v>1</v>
      </c>
      <c r="K268" s="36">
        <v>0.57548719999999998</v>
      </c>
      <c r="L268" s="36">
        <v>0.63256809999999997</v>
      </c>
      <c r="M268" s="36">
        <v>0.82509089999999996</v>
      </c>
      <c r="N268" s="36">
        <v>0.89725659999999996</v>
      </c>
      <c r="O268" s="36">
        <v>0.93480470000000004</v>
      </c>
      <c r="P268" s="393">
        <v>1</v>
      </c>
      <c r="Q268" s="36">
        <v>0.111898</v>
      </c>
      <c r="R268" s="36">
        <v>0.17684269999999999</v>
      </c>
      <c r="S268" s="36">
        <v>0.26319090000000001</v>
      </c>
      <c r="T268" s="36">
        <v>0.2694916</v>
      </c>
      <c r="U268" s="36">
        <v>0.29248809999999997</v>
      </c>
      <c r="V268" s="393">
        <v>1</v>
      </c>
      <c r="W268" s="36">
        <v>0.3871367</v>
      </c>
      <c r="X268" s="36">
        <v>0.44371529999999998</v>
      </c>
      <c r="Y268" s="36">
        <v>0.55132250000000005</v>
      </c>
      <c r="Z268" s="36">
        <v>0.57445579999999996</v>
      </c>
      <c r="AA268" s="36">
        <v>0.6007844</v>
      </c>
      <c r="AB268" s="393">
        <v>1</v>
      </c>
    </row>
    <row r="269" spans="2:28" ht="0.5" customHeight="1">
      <c r="B269" s="9" t="s">
        <v>41</v>
      </c>
      <c r="C269" s="9" t="str">
        <f t="shared" si="60"/>
        <v>Chile52</v>
      </c>
      <c r="D269" s="9">
        <v>52</v>
      </c>
      <c r="E269" s="36">
        <v>0.3993795</v>
      </c>
      <c r="F269" s="36">
        <v>0.48224499999999998</v>
      </c>
      <c r="G269" s="36">
        <v>0.72689429999999999</v>
      </c>
      <c r="H269" s="36">
        <v>0.7565402</v>
      </c>
      <c r="I269" s="36">
        <v>0.82665339999999998</v>
      </c>
      <c r="J269" s="393">
        <v>1</v>
      </c>
      <c r="K269" s="36">
        <v>0.5636525</v>
      </c>
      <c r="L269" s="36">
        <v>0.61748899999999995</v>
      </c>
      <c r="M269" s="36">
        <v>0.8125116</v>
      </c>
      <c r="N269" s="36">
        <v>0.88581580000000004</v>
      </c>
      <c r="O269" s="36">
        <v>0.92345759999999999</v>
      </c>
      <c r="P269" s="393">
        <v>1</v>
      </c>
      <c r="Q269" s="36">
        <v>0.10738540000000001</v>
      </c>
      <c r="R269" s="36">
        <v>0.16876459999999999</v>
      </c>
      <c r="S269" s="36">
        <v>0.25374560000000002</v>
      </c>
      <c r="T269" s="36">
        <v>0.260098</v>
      </c>
      <c r="U269" s="36">
        <v>0.2809333</v>
      </c>
      <c r="V269" s="393">
        <v>1</v>
      </c>
      <c r="W269" s="36">
        <v>0.38415939999999998</v>
      </c>
      <c r="X269" s="36">
        <v>0.44005240000000001</v>
      </c>
      <c r="Y269" s="36">
        <v>0.54891780000000001</v>
      </c>
      <c r="Z269" s="36">
        <v>0.57163050000000004</v>
      </c>
      <c r="AA269" s="36">
        <v>0.59601040000000005</v>
      </c>
      <c r="AB269" s="393">
        <v>1</v>
      </c>
    </row>
    <row r="270" spans="2:28" ht="0.5" customHeight="1">
      <c r="B270" s="9" t="s">
        <v>41</v>
      </c>
      <c r="C270" s="9" t="str">
        <f t="shared" si="60"/>
        <v>Chile53</v>
      </c>
      <c r="D270" s="9">
        <v>53</v>
      </c>
      <c r="E270" s="36">
        <v>0.39385999999999999</v>
      </c>
      <c r="F270" s="36">
        <v>0.4747864</v>
      </c>
      <c r="G270" s="36">
        <v>0.71789899999999995</v>
      </c>
      <c r="H270" s="36">
        <v>0.74795590000000001</v>
      </c>
      <c r="I270" s="36">
        <v>0.81841019999999998</v>
      </c>
      <c r="J270" s="393">
        <v>1</v>
      </c>
      <c r="K270" s="36">
        <v>0.55248900000000001</v>
      </c>
      <c r="L270" s="36">
        <v>0.60465840000000004</v>
      </c>
      <c r="M270" s="36">
        <v>0.80067999999999995</v>
      </c>
      <c r="N270" s="36">
        <v>0.87442989999999998</v>
      </c>
      <c r="O270" s="36">
        <v>0.91215869999999999</v>
      </c>
      <c r="P270" s="393">
        <v>1</v>
      </c>
      <c r="Q270" s="36">
        <v>0.10484110000000001</v>
      </c>
      <c r="R270" s="36">
        <v>0.16408229999999999</v>
      </c>
      <c r="S270" s="36">
        <v>0.2482587</v>
      </c>
      <c r="T270" s="36">
        <v>0.25465450000000001</v>
      </c>
      <c r="U270" s="36">
        <v>0.27432010000000001</v>
      </c>
      <c r="V270" s="393">
        <v>1</v>
      </c>
      <c r="W270" s="36">
        <v>0.38195259999999998</v>
      </c>
      <c r="X270" s="36">
        <v>0.43713970000000002</v>
      </c>
      <c r="Y270" s="36">
        <v>0.54666729999999997</v>
      </c>
      <c r="Z270" s="36">
        <v>0.56913170000000002</v>
      </c>
      <c r="AA270" s="36">
        <v>0.59253840000000002</v>
      </c>
      <c r="AB270" s="393">
        <v>1</v>
      </c>
    </row>
    <row r="271" spans="2:28" ht="0.5" customHeight="1">
      <c r="B271" s="9" t="s">
        <v>41</v>
      </c>
      <c r="C271" s="9" t="str">
        <f t="shared" si="60"/>
        <v>Chile54</v>
      </c>
      <c r="D271" s="9">
        <v>54</v>
      </c>
      <c r="E271" s="36">
        <v>0.37356879999999998</v>
      </c>
      <c r="F271" s="36">
        <v>0.45123730000000001</v>
      </c>
      <c r="G271" s="36">
        <v>0.6910828</v>
      </c>
      <c r="H271" s="36">
        <v>0.72211210000000003</v>
      </c>
      <c r="I271" s="36">
        <v>0.7932922</v>
      </c>
      <c r="J271" s="393">
        <v>1</v>
      </c>
      <c r="K271" s="36">
        <v>0.53952849999999997</v>
      </c>
      <c r="L271" s="36">
        <v>0.58918079999999995</v>
      </c>
      <c r="M271" s="36">
        <v>0.78596449999999995</v>
      </c>
      <c r="N271" s="36">
        <v>0.86131599999999997</v>
      </c>
      <c r="O271" s="36">
        <v>0.89919150000000003</v>
      </c>
      <c r="P271" s="393">
        <v>1</v>
      </c>
      <c r="Q271" s="36">
        <v>0.1001906</v>
      </c>
      <c r="R271" s="36">
        <v>0.1548264</v>
      </c>
      <c r="S271" s="36">
        <v>0.23794019999999999</v>
      </c>
      <c r="T271" s="36">
        <v>0.24443000000000001</v>
      </c>
      <c r="U271" s="36">
        <v>0.26138850000000002</v>
      </c>
      <c r="V271" s="393">
        <v>1</v>
      </c>
      <c r="W271" s="36">
        <v>0.3713516</v>
      </c>
      <c r="X271" s="36">
        <v>0.42412539999999999</v>
      </c>
      <c r="Y271" s="36">
        <v>0.53430800000000001</v>
      </c>
      <c r="Z271" s="36">
        <v>0.55654780000000004</v>
      </c>
      <c r="AA271" s="36">
        <v>0.57817850000000004</v>
      </c>
      <c r="AB271" s="393">
        <v>1</v>
      </c>
    </row>
    <row r="272" spans="2:28" ht="0.5" customHeight="1">
      <c r="B272" s="9" t="s">
        <v>41</v>
      </c>
      <c r="C272" s="9" t="str">
        <f t="shared" si="60"/>
        <v>Chile55</v>
      </c>
      <c r="D272" s="9">
        <v>55</v>
      </c>
      <c r="E272" s="36">
        <v>0.35849599999999998</v>
      </c>
      <c r="F272" s="36">
        <v>0.43478810000000001</v>
      </c>
      <c r="G272" s="36">
        <v>0.67167189999999999</v>
      </c>
      <c r="H272" s="36">
        <v>0.70319659999999995</v>
      </c>
      <c r="I272" s="36">
        <v>0.77477269999999998</v>
      </c>
      <c r="J272" s="393">
        <v>1</v>
      </c>
      <c r="K272" s="36">
        <v>0.53547610000000001</v>
      </c>
      <c r="L272" s="36">
        <v>0.58315130000000004</v>
      </c>
      <c r="M272" s="36">
        <v>0.77955929999999996</v>
      </c>
      <c r="N272" s="36">
        <v>0.85541979999999995</v>
      </c>
      <c r="O272" s="36">
        <v>0.89433249999999997</v>
      </c>
      <c r="P272" s="393">
        <v>1</v>
      </c>
      <c r="Q272" s="36">
        <v>9.7415399999999999E-2</v>
      </c>
      <c r="R272" s="36">
        <v>0.14964720000000001</v>
      </c>
      <c r="S272" s="36">
        <v>0.23224159999999999</v>
      </c>
      <c r="T272" s="36">
        <v>0.2387136</v>
      </c>
      <c r="U272" s="36">
        <v>0.25446190000000002</v>
      </c>
      <c r="V272" s="393">
        <v>1</v>
      </c>
      <c r="W272" s="36">
        <v>0.36781130000000001</v>
      </c>
      <c r="X272" s="36">
        <v>0.41803430000000003</v>
      </c>
      <c r="Y272" s="36">
        <v>0.52720420000000001</v>
      </c>
      <c r="Z272" s="36">
        <v>0.54892870000000005</v>
      </c>
      <c r="AA272" s="36">
        <v>0.57009299999999996</v>
      </c>
      <c r="AB272" s="393">
        <v>1</v>
      </c>
    </row>
    <row r="273" spans="2:28" ht="0.5" customHeight="1">
      <c r="B273" s="9" t="s">
        <v>42</v>
      </c>
      <c r="C273" s="9" t="str">
        <f t="shared" si="60"/>
        <v>Colombia20</v>
      </c>
      <c r="D273" s="9">
        <v>20</v>
      </c>
      <c r="E273" s="36">
        <v>5.9132799999999999E-2</v>
      </c>
      <c r="F273" s="36">
        <v>0.32468259999999999</v>
      </c>
      <c r="G273" s="36">
        <v>0.58834509999999995</v>
      </c>
      <c r="H273" s="36">
        <v>0.59247090000000002</v>
      </c>
      <c r="I273" s="36">
        <v>0.77633220000000003</v>
      </c>
      <c r="J273" s="393">
        <v>1</v>
      </c>
      <c r="K273" s="36">
        <v>0.14302309999999999</v>
      </c>
      <c r="L273" s="36">
        <v>0.30084709999999998</v>
      </c>
      <c r="M273" s="36">
        <v>0.43609750000000003</v>
      </c>
      <c r="N273" s="36">
        <v>0.43921559999999998</v>
      </c>
      <c r="O273" s="36">
        <v>0.62891350000000001</v>
      </c>
      <c r="P273" s="393">
        <v>1</v>
      </c>
      <c r="Q273" s="36">
        <v>1.55435E-2</v>
      </c>
      <c r="R273" s="36">
        <v>0.18828249999999999</v>
      </c>
      <c r="S273" s="36">
        <v>0.28021849999999998</v>
      </c>
      <c r="T273" s="36">
        <v>0.28127479999999999</v>
      </c>
      <c r="U273" s="36">
        <v>0.43220940000000002</v>
      </c>
      <c r="V273" s="393">
        <v>1</v>
      </c>
      <c r="W273" s="36">
        <v>0.1092495</v>
      </c>
      <c r="X273" s="36">
        <v>0.2570365</v>
      </c>
      <c r="Y273" s="36">
        <v>0.33762930000000002</v>
      </c>
      <c r="Z273" s="36">
        <v>0.33916839999999998</v>
      </c>
      <c r="AA273" s="36">
        <v>0.5313042</v>
      </c>
      <c r="AB273" s="393">
        <v>1</v>
      </c>
    </row>
    <row r="274" spans="2:28" ht="0.5" customHeight="1">
      <c r="B274" s="9" t="s">
        <v>42</v>
      </c>
      <c r="C274" s="9" t="str">
        <f t="shared" si="60"/>
        <v>Colombia21</v>
      </c>
      <c r="D274" s="9">
        <v>21</v>
      </c>
      <c r="E274" s="36">
        <v>7.2613800000000006E-2</v>
      </c>
      <c r="F274" s="36">
        <v>0.3438098</v>
      </c>
      <c r="G274" s="36">
        <v>0.63340099999999999</v>
      </c>
      <c r="H274" s="36">
        <v>0.63883959999999995</v>
      </c>
      <c r="I274" s="36">
        <v>0.81469000000000003</v>
      </c>
      <c r="J274" s="393">
        <v>1</v>
      </c>
      <c r="K274" s="36">
        <v>0.1703133</v>
      </c>
      <c r="L274" s="36">
        <v>0.32928580000000002</v>
      </c>
      <c r="M274" s="36">
        <v>0.47717880000000001</v>
      </c>
      <c r="N274" s="36">
        <v>0.48140189999999999</v>
      </c>
      <c r="O274" s="36">
        <v>0.66585369999999999</v>
      </c>
      <c r="P274" s="393">
        <v>1</v>
      </c>
      <c r="Q274" s="36">
        <v>1.83111E-2</v>
      </c>
      <c r="R274" s="36">
        <v>0.1926349</v>
      </c>
      <c r="S274" s="36">
        <v>0.2938943</v>
      </c>
      <c r="T274" s="36">
        <v>0.29507879999999997</v>
      </c>
      <c r="U274" s="36">
        <v>0.44317469999999998</v>
      </c>
      <c r="V274" s="393">
        <v>1</v>
      </c>
      <c r="W274" s="36">
        <v>0.13532820000000001</v>
      </c>
      <c r="X274" s="36">
        <v>0.28222459999999999</v>
      </c>
      <c r="Y274" s="36">
        <v>0.37264950000000002</v>
      </c>
      <c r="Z274" s="36">
        <v>0.37493769999999998</v>
      </c>
      <c r="AA274" s="36">
        <v>0.56726770000000004</v>
      </c>
      <c r="AB274" s="393">
        <v>1</v>
      </c>
    </row>
    <row r="275" spans="2:28" ht="0.5" customHeight="1">
      <c r="B275" s="9" t="s">
        <v>42</v>
      </c>
      <c r="C275" s="9" t="str">
        <f t="shared" si="60"/>
        <v>Colombia22</v>
      </c>
      <c r="D275" s="9">
        <v>22</v>
      </c>
      <c r="E275" s="36">
        <v>9.5938399999999993E-2</v>
      </c>
      <c r="F275" s="36">
        <v>0.37291039999999998</v>
      </c>
      <c r="G275" s="36">
        <v>0.70351529999999995</v>
      </c>
      <c r="H275" s="36">
        <v>0.71162329999999996</v>
      </c>
      <c r="I275" s="36">
        <v>0.86858029999999997</v>
      </c>
      <c r="J275" s="393">
        <v>1</v>
      </c>
      <c r="K275" s="36">
        <v>0.2327795</v>
      </c>
      <c r="L275" s="36">
        <v>0.38935890000000001</v>
      </c>
      <c r="M275" s="36">
        <v>0.56099100000000002</v>
      </c>
      <c r="N275" s="36">
        <v>0.56833080000000002</v>
      </c>
      <c r="O275" s="36">
        <v>0.74088699999999996</v>
      </c>
      <c r="P275" s="393">
        <v>1</v>
      </c>
      <c r="Q275" s="36">
        <v>2.3622000000000001E-2</v>
      </c>
      <c r="R275" s="36">
        <v>0.199624</v>
      </c>
      <c r="S275" s="36">
        <v>0.31841520000000001</v>
      </c>
      <c r="T275" s="36">
        <v>0.31996849999999999</v>
      </c>
      <c r="U275" s="36">
        <v>0.46207589999999998</v>
      </c>
      <c r="V275" s="393">
        <v>1</v>
      </c>
      <c r="W275" s="36">
        <v>0.18559919999999999</v>
      </c>
      <c r="X275" s="36">
        <v>0.32928259999999998</v>
      </c>
      <c r="Y275" s="36">
        <v>0.44025449999999999</v>
      </c>
      <c r="Z275" s="36">
        <v>0.44403910000000002</v>
      </c>
      <c r="AA275" s="36">
        <v>0.63345510000000005</v>
      </c>
      <c r="AB275" s="393">
        <v>1</v>
      </c>
    </row>
    <row r="276" spans="2:28" ht="0.5" customHeight="1">
      <c r="B276" s="9" t="s">
        <v>42</v>
      </c>
      <c r="C276" s="9" t="str">
        <f t="shared" si="60"/>
        <v>Colombia23</v>
      </c>
      <c r="D276" s="9">
        <v>23</v>
      </c>
      <c r="E276" s="36">
        <v>0.10575180000000001</v>
      </c>
      <c r="F276" s="36">
        <v>0.3826312</v>
      </c>
      <c r="G276" s="36">
        <v>0.73040430000000001</v>
      </c>
      <c r="H276" s="36">
        <v>0.73997559999999996</v>
      </c>
      <c r="I276" s="36">
        <v>0.88796339999999996</v>
      </c>
      <c r="J276" s="393">
        <v>1</v>
      </c>
      <c r="K276" s="36">
        <v>0.26806600000000003</v>
      </c>
      <c r="L276" s="36">
        <v>0.42238819999999999</v>
      </c>
      <c r="M276" s="36">
        <v>0.60608320000000004</v>
      </c>
      <c r="N276" s="36">
        <v>0.61532189999999998</v>
      </c>
      <c r="O276" s="36">
        <v>0.78164040000000001</v>
      </c>
      <c r="P276" s="393">
        <v>1</v>
      </c>
      <c r="Q276" s="36">
        <v>2.6143099999999999E-2</v>
      </c>
      <c r="R276" s="36">
        <v>0.2024618</v>
      </c>
      <c r="S276" s="36">
        <v>0.33007930000000002</v>
      </c>
      <c r="T276" s="36">
        <v>0.33183960000000001</v>
      </c>
      <c r="U276" s="36">
        <v>0.47101599999999999</v>
      </c>
      <c r="V276" s="393">
        <v>1</v>
      </c>
      <c r="W276" s="36">
        <v>0.20977950000000001</v>
      </c>
      <c r="X276" s="36">
        <v>0.35142760000000001</v>
      </c>
      <c r="Y276" s="36">
        <v>0.47295229999999999</v>
      </c>
      <c r="Z276" s="36">
        <v>0.47749930000000002</v>
      </c>
      <c r="AA276" s="36">
        <v>0.66369889999999998</v>
      </c>
      <c r="AB276" s="393">
        <v>1</v>
      </c>
    </row>
    <row r="277" spans="2:28" ht="0.5" customHeight="1">
      <c r="B277" s="9" t="s">
        <v>42</v>
      </c>
      <c r="C277" s="9" t="str">
        <f t="shared" si="60"/>
        <v>Colombia24</v>
      </c>
      <c r="D277" s="9">
        <v>24</v>
      </c>
      <c r="E277" s="36">
        <v>0.1227896</v>
      </c>
      <c r="F277" s="36">
        <v>0.3954125</v>
      </c>
      <c r="G277" s="36">
        <v>0.7688296</v>
      </c>
      <c r="H277" s="36">
        <v>0.7818832</v>
      </c>
      <c r="I277" s="36">
        <v>0.9134004</v>
      </c>
      <c r="J277" s="393">
        <v>1</v>
      </c>
      <c r="K277" s="36">
        <v>0.33015719999999998</v>
      </c>
      <c r="L277" s="36">
        <v>0.47830549999999999</v>
      </c>
      <c r="M277" s="36">
        <v>0.68528160000000005</v>
      </c>
      <c r="N277" s="36">
        <v>0.69883949999999995</v>
      </c>
      <c r="O277" s="36">
        <v>0.85181470000000004</v>
      </c>
      <c r="P277" s="393">
        <v>1</v>
      </c>
      <c r="Q277" s="36">
        <v>3.06571E-2</v>
      </c>
      <c r="R277" s="36">
        <v>0.2068826</v>
      </c>
      <c r="S277" s="36">
        <v>0.3515316</v>
      </c>
      <c r="T277" s="36">
        <v>0.35368070000000001</v>
      </c>
      <c r="U277" s="36">
        <v>0.48687550000000002</v>
      </c>
      <c r="V277" s="393">
        <v>1</v>
      </c>
      <c r="W277" s="36">
        <v>0.25564360000000003</v>
      </c>
      <c r="X277" s="36">
        <v>0.39286080000000001</v>
      </c>
      <c r="Y277" s="36">
        <v>0.53571800000000003</v>
      </c>
      <c r="Z277" s="36">
        <v>0.5419737</v>
      </c>
      <c r="AA277" s="36">
        <v>0.71949280000000004</v>
      </c>
      <c r="AB277" s="393">
        <v>1</v>
      </c>
    </row>
    <row r="278" spans="2:28" ht="0.5" customHeight="1">
      <c r="B278" s="9" t="s">
        <v>42</v>
      </c>
      <c r="C278" s="9" t="str">
        <f t="shared" si="60"/>
        <v>Colombia25</v>
      </c>
      <c r="D278" s="9">
        <v>25</v>
      </c>
      <c r="E278" s="36">
        <v>0.1291881</v>
      </c>
      <c r="F278" s="36">
        <v>0.39815790000000001</v>
      </c>
      <c r="G278" s="36">
        <v>0.78161530000000001</v>
      </c>
      <c r="H278" s="36">
        <v>0.7965814</v>
      </c>
      <c r="I278" s="36">
        <v>0.92152009999999995</v>
      </c>
      <c r="J278" s="393">
        <v>1</v>
      </c>
      <c r="K278" s="36">
        <v>0.35542600000000002</v>
      </c>
      <c r="L278" s="36">
        <v>0.50003830000000005</v>
      </c>
      <c r="M278" s="36">
        <v>0.71842600000000001</v>
      </c>
      <c r="N278" s="36">
        <v>0.73435360000000005</v>
      </c>
      <c r="O278" s="36">
        <v>0.87981810000000005</v>
      </c>
      <c r="P278" s="393">
        <v>1</v>
      </c>
      <c r="Q278" s="36">
        <v>3.2565400000000001E-2</v>
      </c>
      <c r="R278" s="36">
        <v>0.20836730000000001</v>
      </c>
      <c r="S278" s="36">
        <v>0.3609677</v>
      </c>
      <c r="T278" s="36">
        <v>0.36337249999999999</v>
      </c>
      <c r="U278" s="36">
        <v>0.49354720000000002</v>
      </c>
      <c r="V278" s="393">
        <v>1</v>
      </c>
      <c r="W278" s="36">
        <v>0.27504689999999998</v>
      </c>
      <c r="X278" s="36">
        <v>0.40995120000000002</v>
      </c>
      <c r="Y278" s="36">
        <v>0.56329989999999996</v>
      </c>
      <c r="Z278" s="36">
        <v>0.57057860000000005</v>
      </c>
      <c r="AA278" s="36">
        <v>0.74219889999999999</v>
      </c>
      <c r="AB278" s="393">
        <v>1</v>
      </c>
    </row>
    <row r="279" spans="2:28" ht="0.5" customHeight="1">
      <c r="B279" s="9" t="s">
        <v>42</v>
      </c>
      <c r="C279" s="9" t="str">
        <f t="shared" si="60"/>
        <v>Colombia26</v>
      </c>
      <c r="D279" s="9">
        <v>26</v>
      </c>
      <c r="E279" s="36">
        <v>0.13411989999999999</v>
      </c>
      <c r="F279" s="36">
        <v>0.39902530000000003</v>
      </c>
      <c r="G279" s="36">
        <v>0.7917746</v>
      </c>
      <c r="H279" s="36">
        <v>0.80870679999999995</v>
      </c>
      <c r="I279" s="36">
        <v>0.92825809999999997</v>
      </c>
      <c r="J279" s="393">
        <v>1</v>
      </c>
      <c r="K279" s="36">
        <v>0.37670100000000001</v>
      </c>
      <c r="L279" s="36">
        <v>0.51720180000000004</v>
      </c>
      <c r="M279" s="36">
        <v>0.74637140000000002</v>
      </c>
      <c r="N279" s="36">
        <v>0.76484810000000003</v>
      </c>
      <c r="O279" s="36">
        <v>0.90271690000000004</v>
      </c>
      <c r="P279" s="393">
        <v>1</v>
      </c>
      <c r="Q279" s="36">
        <v>3.4180700000000001E-2</v>
      </c>
      <c r="R279" s="36">
        <v>0.20925830000000001</v>
      </c>
      <c r="S279" s="36">
        <v>0.36989129999999998</v>
      </c>
      <c r="T279" s="36">
        <v>0.37258849999999999</v>
      </c>
      <c r="U279" s="36">
        <v>0.49970609999999999</v>
      </c>
      <c r="V279" s="393">
        <v>1</v>
      </c>
      <c r="W279" s="36">
        <v>0.28757690000000002</v>
      </c>
      <c r="X279" s="36">
        <v>0.42013669999999997</v>
      </c>
      <c r="Y279" s="36">
        <v>0.58310099999999998</v>
      </c>
      <c r="Z279" s="36">
        <v>0.59145740000000002</v>
      </c>
      <c r="AA279" s="36">
        <v>0.75672810000000001</v>
      </c>
      <c r="AB279" s="393">
        <v>1</v>
      </c>
    </row>
    <row r="280" spans="2:28" ht="0.5" customHeight="1">
      <c r="B280" s="9" t="s">
        <v>42</v>
      </c>
      <c r="C280" s="9" t="str">
        <f t="shared" si="60"/>
        <v>Colombia27</v>
      </c>
      <c r="D280" s="9">
        <v>27</v>
      </c>
      <c r="E280" s="36">
        <v>0.14285880000000001</v>
      </c>
      <c r="F280" s="36">
        <v>0.3978797</v>
      </c>
      <c r="G280" s="36">
        <v>0.80431580000000003</v>
      </c>
      <c r="H280" s="36">
        <v>0.82517589999999996</v>
      </c>
      <c r="I280" s="36">
        <v>0.93587129999999996</v>
      </c>
      <c r="J280" s="393">
        <v>1</v>
      </c>
      <c r="K280" s="36">
        <v>0.41046670000000002</v>
      </c>
      <c r="L280" s="36">
        <v>0.54201790000000005</v>
      </c>
      <c r="M280" s="36">
        <v>0.78960189999999997</v>
      </c>
      <c r="N280" s="36">
        <v>0.8134285</v>
      </c>
      <c r="O280" s="36">
        <v>0.93609430000000005</v>
      </c>
      <c r="P280" s="393">
        <v>1</v>
      </c>
      <c r="Q280" s="36">
        <v>3.7627800000000003E-2</v>
      </c>
      <c r="R280" s="36">
        <v>0.2119327</v>
      </c>
      <c r="S280" s="36">
        <v>0.38823570000000002</v>
      </c>
      <c r="T280" s="36">
        <v>0.39146900000000001</v>
      </c>
      <c r="U280" s="36">
        <v>0.51217069999999998</v>
      </c>
      <c r="V280" s="393">
        <v>1</v>
      </c>
      <c r="W280" s="36">
        <v>0.3056567</v>
      </c>
      <c r="X280" s="36">
        <v>0.43366290000000002</v>
      </c>
      <c r="Y280" s="36">
        <v>0.61304939999999997</v>
      </c>
      <c r="Z280" s="36">
        <v>0.62364940000000002</v>
      </c>
      <c r="AA280" s="36">
        <v>0.77662430000000005</v>
      </c>
      <c r="AB280" s="393">
        <v>1</v>
      </c>
    </row>
    <row r="281" spans="2:28" ht="0.5" customHeight="1">
      <c r="B281" s="9" t="s">
        <v>42</v>
      </c>
      <c r="C281" s="9" t="str">
        <f t="shared" si="60"/>
        <v>Colombia28</v>
      </c>
      <c r="D281" s="9">
        <v>28</v>
      </c>
      <c r="E281" s="36">
        <v>0.14649570000000001</v>
      </c>
      <c r="F281" s="36">
        <v>0.39618920000000002</v>
      </c>
      <c r="G281" s="36">
        <v>0.80935670000000004</v>
      </c>
      <c r="H281" s="36">
        <v>0.832233</v>
      </c>
      <c r="I281" s="36">
        <v>0.93809109999999996</v>
      </c>
      <c r="J281" s="393">
        <v>1</v>
      </c>
      <c r="K281" s="36">
        <v>0.42258889999999999</v>
      </c>
      <c r="L281" s="36">
        <v>0.54970870000000005</v>
      </c>
      <c r="M281" s="36">
        <v>0.80487660000000005</v>
      </c>
      <c r="N281" s="36">
        <v>0.83147409999999999</v>
      </c>
      <c r="O281" s="36">
        <v>0.9464861</v>
      </c>
      <c r="P281" s="393">
        <v>1</v>
      </c>
      <c r="Q281" s="36">
        <v>3.9261999999999998E-2</v>
      </c>
      <c r="R281" s="36">
        <v>0.2129432</v>
      </c>
      <c r="S281" s="36">
        <v>0.39688410000000002</v>
      </c>
      <c r="T281" s="36">
        <v>0.40038309999999999</v>
      </c>
      <c r="U281" s="36">
        <v>0.51817150000000001</v>
      </c>
      <c r="V281" s="393">
        <v>1</v>
      </c>
      <c r="W281" s="36">
        <v>0.31387910000000002</v>
      </c>
      <c r="X281" s="36">
        <v>0.43948589999999998</v>
      </c>
      <c r="Y281" s="36">
        <v>0.62580659999999999</v>
      </c>
      <c r="Z281" s="36">
        <v>0.63760019999999995</v>
      </c>
      <c r="AA281" s="36">
        <v>0.7848176</v>
      </c>
      <c r="AB281" s="393">
        <v>1</v>
      </c>
    </row>
    <row r="282" spans="2:28" ht="0.5" customHeight="1">
      <c r="B282" s="9" t="s">
        <v>42</v>
      </c>
      <c r="C282" s="9" t="str">
        <f t="shared" si="60"/>
        <v>Colombia29</v>
      </c>
      <c r="D282" s="9">
        <v>29</v>
      </c>
      <c r="E282" s="36">
        <v>0.1532181</v>
      </c>
      <c r="F282" s="36">
        <v>0.39108080000000001</v>
      </c>
      <c r="G282" s="36">
        <v>0.81780889999999995</v>
      </c>
      <c r="H282" s="36">
        <v>0.84444019999999997</v>
      </c>
      <c r="I282" s="36">
        <v>0.94147380000000003</v>
      </c>
      <c r="J282" s="393">
        <v>1</v>
      </c>
      <c r="K282" s="36">
        <v>0.44205080000000002</v>
      </c>
      <c r="L282" s="36">
        <v>0.56063960000000002</v>
      </c>
      <c r="M282" s="36">
        <v>0.82843699999999998</v>
      </c>
      <c r="N282" s="36">
        <v>0.86067280000000002</v>
      </c>
      <c r="O282" s="36">
        <v>0.96193620000000002</v>
      </c>
      <c r="P282" s="393">
        <v>1</v>
      </c>
      <c r="Q282" s="36">
        <v>4.2301600000000002E-2</v>
      </c>
      <c r="R282" s="36">
        <v>0.21584970000000001</v>
      </c>
      <c r="S282" s="36">
        <v>0.41580739999999999</v>
      </c>
      <c r="T282" s="36">
        <v>0.41991519999999999</v>
      </c>
      <c r="U282" s="36">
        <v>0.53232690000000005</v>
      </c>
      <c r="V282" s="393">
        <v>1</v>
      </c>
      <c r="W282" s="36">
        <v>0.32459270000000001</v>
      </c>
      <c r="X282" s="36">
        <v>0.44506709999999999</v>
      </c>
      <c r="Y282" s="36">
        <v>0.64229210000000003</v>
      </c>
      <c r="Z282" s="36">
        <v>0.65646070000000001</v>
      </c>
      <c r="AA282" s="36">
        <v>0.793408</v>
      </c>
      <c r="AB282" s="393">
        <v>1</v>
      </c>
    </row>
    <row r="283" spans="2:28" ht="0.5" customHeight="1">
      <c r="B283" s="9" t="s">
        <v>42</v>
      </c>
      <c r="C283" s="9" t="str">
        <f t="shared" si="60"/>
        <v>Colombia30</v>
      </c>
      <c r="D283" s="9">
        <v>30</v>
      </c>
      <c r="E283" s="36">
        <v>0.15680730000000001</v>
      </c>
      <c r="F283" s="36">
        <v>0.3882312</v>
      </c>
      <c r="G283" s="36">
        <v>0.82248750000000004</v>
      </c>
      <c r="H283" s="36">
        <v>0.85078169999999997</v>
      </c>
      <c r="I283" s="36">
        <v>0.94421149999999998</v>
      </c>
      <c r="J283" s="393">
        <v>1</v>
      </c>
      <c r="K283" s="36">
        <v>0.45174989999999998</v>
      </c>
      <c r="L283" s="36">
        <v>0.56609710000000002</v>
      </c>
      <c r="M283" s="36">
        <v>0.83928020000000003</v>
      </c>
      <c r="N283" s="36">
        <v>0.87430079999999999</v>
      </c>
      <c r="O283" s="36">
        <v>0.97052020000000006</v>
      </c>
      <c r="P283" s="393">
        <v>1</v>
      </c>
      <c r="Q283" s="36">
        <v>4.3970799999999997E-2</v>
      </c>
      <c r="R283" s="36">
        <v>0.21793570000000001</v>
      </c>
      <c r="S283" s="36">
        <v>0.42522670000000001</v>
      </c>
      <c r="T283" s="36">
        <v>0.4296991</v>
      </c>
      <c r="U283" s="36">
        <v>0.53941689999999998</v>
      </c>
      <c r="V283" s="393">
        <v>1</v>
      </c>
      <c r="W283" s="36">
        <v>0.32881129999999997</v>
      </c>
      <c r="X283" s="36">
        <v>0.44672000000000001</v>
      </c>
      <c r="Y283" s="36">
        <v>0.64900049999999998</v>
      </c>
      <c r="Z283" s="36">
        <v>0.66430990000000001</v>
      </c>
      <c r="AA283" s="36">
        <v>0.79680850000000003</v>
      </c>
      <c r="AB283" s="393">
        <v>1</v>
      </c>
    </row>
    <row r="284" spans="2:28" ht="0.5" customHeight="1">
      <c r="B284" s="9" t="s">
        <v>42</v>
      </c>
      <c r="C284" s="9" t="str">
        <f t="shared" si="60"/>
        <v>Colombia31</v>
      </c>
      <c r="D284" s="9">
        <v>31</v>
      </c>
      <c r="E284" s="36">
        <v>0.16054080000000001</v>
      </c>
      <c r="F284" s="36">
        <v>0.38545420000000002</v>
      </c>
      <c r="G284" s="36">
        <v>0.82550710000000005</v>
      </c>
      <c r="H284" s="36">
        <v>0.85526150000000001</v>
      </c>
      <c r="I284" s="36">
        <v>0.94575580000000004</v>
      </c>
      <c r="J284" s="393">
        <v>1</v>
      </c>
      <c r="K284" s="36">
        <v>0.4546616</v>
      </c>
      <c r="L284" s="36">
        <v>0.56511800000000001</v>
      </c>
      <c r="M284" s="36">
        <v>0.84343360000000001</v>
      </c>
      <c r="N284" s="36">
        <v>0.88140300000000005</v>
      </c>
      <c r="O284" s="36">
        <v>0.9729949</v>
      </c>
      <c r="P284" s="393">
        <v>1</v>
      </c>
      <c r="Q284" s="36">
        <v>4.5678799999999999E-2</v>
      </c>
      <c r="R284" s="36">
        <v>0.21984509999999999</v>
      </c>
      <c r="S284" s="36">
        <v>0.43422280000000002</v>
      </c>
      <c r="T284" s="36">
        <v>0.43911149999999999</v>
      </c>
      <c r="U284" s="36">
        <v>0.54610440000000005</v>
      </c>
      <c r="V284" s="393">
        <v>1</v>
      </c>
      <c r="W284" s="36">
        <v>0.3312988</v>
      </c>
      <c r="X284" s="36">
        <v>0.44683230000000002</v>
      </c>
      <c r="Y284" s="36">
        <v>0.6536225</v>
      </c>
      <c r="Z284" s="36">
        <v>0.67004589999999997</v>
      </c>
      <c r="AA284" s="36">
        <v>0.79850980000000005</v>
      </c>
      <c r="AB284" s="393">
        <v>1</v>
      </c>
    </row>
    <row r="285" spans="2:28" ht="0.5" customHeight="1">
      <c r="B285" s="9" t="s">
        <v>42</v>
      </c>
      <c r="C285" s="9" t="str">
        <f t="shared" si="60"/>
        <v>Colombia32</v>
      </c>
      <c r="D285" s="9">
        <v>32</v>
      </c>
      <c r="E285" s="36">
        <v>0.1653896</v>
      </c>
      <c r="F285" s="36">
        <v>0.37664059999999999</v>
      </c>
      <c r="G285" s="36">
        <v>0.82756529999999995</v>
      </c>
      <c r="H285" s="36">
        <v>0.86054390000000003</v>
      </c>
      <c r="I285" s="36">
        <v>0.94750619999999997</v>
      </c>
      <c r="J285" s="393">
        <v>1</v>
      </c>
      <c r="K285" s="36">
        <v>0.45590540000000002</v>
      </c>
      <c r="L285" s="36">
        <v>0.55889069999999996</v>
      </c>
      <c r="M285" s="36">
        <v>0.84651140000000002</v>
      </c>
      <c r="N285" s="36">
        <v>0.89030520000000002</v>
      </c>
      <c r="O285" s="36">
        <v>0.97391799999999995</v>
      </c>
      <c r="P285" s="393">
        <v>1</v>
      </c>
      <c r="Q285" s="36">
        <v>4.8831399999999997E-2</v>
      </c>
      <c r="R285" s="36">
        <v>0.22372939999999999</v>
      </c>
      <c r="S285" s="36">
        <v>0.4524763</v>
      </c>
      <c r="T285" s="36">
        <v>0.45827289999999998</v>
      </c>
      <c r="U285" s="36">
        <v>0.55990479999999998</v>
      </c>
      <c r="V285" s="393">
        <v>1</v>
      </c>
      <c r="W285" s="36">
        <v>0.33456219999999998</v>
      </c>
      <c r="X285" s="36">
        <v>0.4455597</v>
      </c>
      <c r="Y285" s="36">
        <v>0.66141850000000002</v>
      </c>
      <c r="Z285" s="36">
        <v>0.67989820000000001</v>
      </c>
      <c r="AA285" s="36">
        <v>0.80127979999999999</v>
      </c>
      <c r="AB285" s="393">
        <v>1</v>
      </c>
    </row>
    <row r="286" spans="2:28" ht="0.5" customHeight="1">
      <c r="B286" s="9" t="s">
        <v>42</v>
      </c>
      <c r="C286" s="9" t="str">
        <f t="shared" si="60"/>
        <v>Colombia33</v>
      </c>
      <c r="D286" s="9">
        <v>33</v>
      </c>
      <c r="E286" s="36">
        <v>0.16663430000000001</v>
      </c>
      <c r="F286" s="36">
        <v>0.3724788</v>
      </c>
      <c r="G286" s="36">
        <v>0.82675419999999999</v>
      </c>
      <c r="H286" s="36">
        <v>0.86147450000000003</v>
      </c>
      <c r="I286" s="36">
        <v>0.94866139999999999</v>
      </c>
      <c r="J286" s="393">
        <v>1</v>
      </c>
      <c r="K286" s="36">
        <v>0.45571109999999998</v>
      </c>
      <c r="L286" s="36">
        <v>0.55572840000000001</v>
      </c>
      <c r="M286" s="36">
        <v>0.84791079999999996</v>
      </c>
      <c r="N286" s="36">
        <v>0.89425580000000005</v>
      </c>
      <c r="O286" s="36">
        <v>0.97480679999999997</v>
      </c>
      <c r="P286" s="393">
        <v>1</v>
      </c>
      <c r="Q286" s="36">
        <v>5.0174499999999997E-2</v>
      </c>
      <c r="R286" s="36">
        <v>0.22568740000000001</v>
      </c>
      <c r="S286" s="36">
        <v>0.46144879999999999</v>
      </c>
      <c r="T286" s="36">
        <v>0.46771020000000002</v>
      </c>
      <c r="U286" s="36">
        <v>0.56699750000000004</v>
      </c>
      <c r="V286" s="393">
        <v>1</v>
      </c>
      <c r="W286" s="36">
        <v>0.33329900000000001</v>
      </c>
      <c r="X286" s="36">
        <v>0.4421139</v>
      </c>
      <c r="Y286" s="36">
        <v>0.66251740000000003</v>
      </c>
      <c r="Z286" s="36">
        <v>0.68195079999999997</v>
      </c>
      <c r="AA286" s="36">
        <v>0.79981480000000005</v>
      </c>
      <c r="AB286" s="393">
        <v>1</v>
      </c>
    </row>
    <row r="287" spans="2:28" ht="0.5" customHeight="1">
      <c r="B287" s="9" t="s">
        <v>42</v>
      </c>
      <c r="C287" s="9" t="str">
        <f t="shared" si="60"/>
        <v>Colombia34</v>
      </c>
      <c r="D287" s="9">
        <v>34</v>
      </c>
      <c r="E287" s="36">
        <v>0.16751350000000001</v>
      </c>
      <c r="F287" s="36">
        <v>0.36525459999999998</v>
      </c>
      <c r="G287" s="36">
        <v>0.82428089999999998</v>
      </c>
      <c r="H287" s="36">
        <v>0.86239359999999998</v>
      </c>
      <c r="I287" s="36">
        <v>0.94769689999999995</v>
      </c>
      <c r="J287" s="393">
        <v>1</v>
      </c>
      <c r="K287" s="36">
        <v>0.45716089999999998</v>
      </c>
      <c r="L287" s="36">
        <v>0.55199399999999998</v>
      </c>
      <c r="M287" s="36">
        <v>0.85279959999999999</v>
      </c>
      <c r="N287" s="36">
        <v>0.90399750000000001</v>
      </c>
      <c r="O287" s="36">
        <v>0.97919330000000004</v>
      </c>
      <c r="P287" s="393">
        <v>1</v>
      </c>
      <c r="Q287" s="36">
        <v>5.28724E-2</v>
      </c>
      <c r="R287" s="36">
        <v>0.22796540000000001</v>
      </c>
      <c r="S287" s="36">
        <v>0.4759333</v>
      </c>
      <c r="T287" s="36">
        <v>0.48329430000000001</v>
      </c>
      <c r="U287" s="36">
        <v>0.57854749999999999</v>
      </c>
      <c r="V287" s="393">
        <v>1</v>
      </c>
      <c r="W287" s="36">
        <v>0.33672000000000002</v>
      </c>
      <c r="X287" s="36">
        <v>0.44115840000000001</v>
      </c>
      <c r="Y287" s="36">
        <v>0.67129059999999996</v>
      </c>
      <c r="Z287" s="36">
        <v>0.69250319999999999</v>
      </c>
      <c r="AA287" s="36">
        <v>0.80374000000000001</v>
      </c>
      <c r="AB287" s="393">
        <v>1</v>
      </c>
    </row>
    <row r="288" spans="2:28" ht="0.5" customHeight="1">
      <c r="B288" s="9" t="s">
        <v>42</v>
      </c>
      <c r="C288" s="9" t="str">
        <f t="shared" si="60"/>
        <v>Colombia35</v>
      </c>
      <c r="D288" s="9">
        <v>35</v>
      </c>
      <c r="E288" s="36">
        <v>0.16771530000000001</v>
      </c>
      <c r="F288" s="36">
        <v>0.36212650000000002</v>
      </c>
      <c r="G288" s="36">
        <v>0.82474959999999997</v>
      </c>
      <c r="H288" s="36">
        <v>0.86467079999999996</v>
      </c>
      <c r="I288" s="36">
        <v>0.94830360000000002</v>
      </c>
      <c r="J288" s="393">
        <v>1</v>
      </c>
      <c r="K288" s="36">
        <v>0.45671400000000001</v>
      </c>
      <c r="L288" s="36">
        <v>0.54912459999999996</v>
      </c>
      <c r="M288" s="36">
        <v>0.85333650000000005</v>
      </c>
      <c r="N288" s="36">
        <v>0.90669829999999996</v>
      </c>
      <c r="O288" s="36">
        <v>0.97941270000000002</v>
      </c>
      <c r="P288" s="393">
        <v>1</v>
      </c>
      <c r="Q288" s="36">
        <v>5.44631E-2</v>
      </c>
      <c r="R288" s="36">
        <v>0.22923160000000001</v>
      </c>
      <c r="S288" s="36">
        <v>0.48322749999999998</v>
      </c>
      <c r="T288" s="36">
        <v>0.49119109999999999</v>
      </c>
      <c r="U288" s="36">
        <v>0.584534</v>
      </c>
      <c r="V288" s="393">
        <v>1</v>
      </c>
      <c r="W288" s="36">
        <v>0.3392058</v>
      </c>
      <c r="X288" s="36">
        <v>0.44155349999999999</v>
      </c>
      <c r="Y288" s="36">
        <v>0.67648410000000003</v>
      </c>
      <c r="Z288" s="36">
        <v>0.69855029999999996</v>
      </c>
      <c r="AA288" s="36">
        <v>0.80674849999999998</v>
      </c>
      <c r="AB288" s="393">
        <v>1</v>
      </c>
    </row>
    <row r="289" spans="2:28" ht="0.5" customHeight="1">
      <c r="B289" s="9" t="s">
        <v>42</v>
      </c>
      <c r="C289" s="9" t="str">
        <f t="shared" si="60"/>
        <v>Colombia36</v>
      </c>
      <c r="D289" s="9">
        <v>36</v>
      </c>
      <c r="E289" s="36">
        <v>0.16755139999999999</v>
      </c>
      <c r="F289" s="36">
        <v>0.35882839999999999</v>
      </c>
      <c r="G289" s="36">
        <v>0.82637210000000005</v>
      </c>
      <c r="H289" s="36">
        <v>0.86824749999999995</v>
      </c>
      <c r="I289" s="36">
        <v>0.95018150000000001</v>
      </c>
      <c r="J289" s="393">
        <v>1</v>
      </c>
      <c r="K289" s="36">
        <v>0.45762360000000002</v>
      </c>
      <c r="L289" s="36">
        <v>0.5471433</v>
      </c>
      <c r="M289" s="36">
        <v>0.8548905</v>
      </c>
      <c r="N289" s="36">
        <v>0.91063099999999997</v>
      </c>
      <c r="O289" s="36">
        <v>0.98115350000000001</v>
      </c>
      <c r="P289" s="393">
        <v>1</v>
      </c>
      <c r="Q289" s="36">
        <v>5.6070299999999997E-2</v>
      </c>
      <c r="R289" s="36">
        <v>0.2299225</v>
      </c>
      <c r="S289" s="36">
        <v>0.48950569999999999</v>
      </c>
      <c r="T289" s="36">
        <v>0.49806149999999999</v>
      </c>
      <c r="U289" s="36">
        <v>0.58966859999999999</v>
      </c>
      <c r="V289" s="393">
        <v>1</v>
      </c>
      <c r="W289" s="36">
        <v>0.3383524</v>
      </c>
      <c r="X289" s="36">
        <v>0.43874879999999999</v>
      </c>
      <c r="Y289" s="36">
        <v>0.67875390000000002</v>
      </c>
      <c r="Z289" s="36">
        <v>0.70158140000000002</v>
      </c>
      <c r="AA289" s="36">
        <v>0.80679489999999998</v>
      </c>
      <c r="AB289" s="393">
        <v>1</v>
      </c>
    </row>
    <row r="290" spans="2:28" ht="0.5" customHeight="1">
      <c r="B290" s="9" t="s">
        <v>42</v>
      </c>
      <c r="C290" s="9" t="str">
        <f t="shared" si="60"/>
        <v>Colombia37</v>
      </c>
      <c r="D290" s="9">
        <v>37</v>
      </c>
      <c r="E290" s="36">
        <v>0.16823189999999999</v>
      </c>
      <c r="F290" s="36">
        <v>0.35276489999999999</v>
      </c>
      <c r="G290" s="36">
        <v>0.82653350000000003</v>
      </c>
      <c r="H290" s="36">
        <v>0.87244940000000004</v>
      </c>
      <c r="I290" s="36">
        <v>0.95069219999999999</v>
      </c>
      <c r="J290" s="393">
        <v>1</v>
      </c>
      <c r="K290" s="36">
        <v>0.45759060000000001</v>
      </c>
      <c r="L290" s="36">
        <v>0.54165099999999999</v>
      </c>
      <c r="M290" s="36">
        <v>0.85517810000000005</v>
      </c>
      <c r="N290" s="36">
        <v>0.91557160000000004</v>
      </c>
      <c r="O290" s="36">
        <v>0.98381870000000005</v>
      </c>
      <c r="P290" s="393">
        <v>1</v>
      </c>
      <c r="Q290" s="36">
        <v>5.8950200000000001E-2</v>
      </c>
      <c r="R290" s="36">
        <v>0.22988939999999999</v>
      </c>
      <c r="S290" s="36">
        <v>0.49704540000000003</v>
      </c>
      <c r="T290" s="36">
        <v>0.50657589999999997</v>
      </c>
      <c r="U290" s="36">
        <v>0.59462820000000005</v>
      </c>
      <c r="V290" s="393">
        <v>1</v>
      </c>
      <c r="W290" s="36">
        <v>0.33641759999999998</v>
      </c>
      <c r="X290" s="36">
        <v>0.43307420000000002</v>
      </c>
      <c r="Y290" s="36">
        <v>0.68014350000000001</v>
      </c>
      <c r="Z290" s="36">
        <v>0.70427479999999998</v>
      </c>
      <c r="AA290" s="36">
        <v>0.80369840000000003</v>
      </c>
      <c r="AB290" s="393">
        <v>1</v>
      </c>
    </row>
    <row r="291" spans="2:28" ht="0.5" customHeight="1">
      <c r="B291" s="9" t="s">
        <v>42</v>
      </c>
      <c r="C291" s="9" t="str">
        <f t="shared" si="60"/>
        <v>Colombia38</v>
      </c>
      <c r="D291" s="9">
        <v>38</v>
      </c>
      <c r="E291" s="36">
        <v>0.16912869999999999</v>
      </c>
      <c r="F291" s="36">
        <v>0.3500414</v>
      </c>
      <c r="G291" s="36">
        <v>0.82676879999999997</v>
      </c>
      <c r="H291" s="36">
        <v>0.87460269999999996</v>
      </c>
      <c r="I291" s="36">
        <v>0.95115850000000002</v>
      </c>
      <c r="J291" s="393">
        <v>1</v>
      </c>
      <c r="K291" s="36">
        <v>0.45504309999999998</v>
      </c>
      <c r="L291" s="36">
        <v>0.53606909999999997</v>
      </c>
      <c r="M291" s="36">
        <v>0.85214469999999998</v>
      </c>
      <c r="N291" s="36">
        <v>0.9145162</v>
      </c>
      <c r="O291" s="36">
        <v>0.9815237</v>
      </c>
      <c r="P291" s="393">
        <v>1</v>
      </c>
      <c r="Q291" s="36">
        <v>6.0361699999999997E-2</v>
      </c>
      <c r="R291" s="36">
        <v>0.22918240000000001</v>
      </c>
      <c r="S291" s="36">
        <v>0.49934119999999999</v>
      </c>
      <c r="T291" s="36">
        <v>0.50933249999999997</v>
      </c>
      <c r="U291" s="36">
        <v>0.59549790000000002</v>
      </c>
      <c r="V291" s="393">
        <v>1</v>
      </c>
      <c r="W291" s="36">
        <v>0.33658480000000002</v>
      </c>
      <c r="X291" s="36">
        <v>0.43154480000000001</v>
      </c>
      <c r="Y291" s="36">
        <v>0.68120780000000003</v>
      </c>
      <c r="Z291" s="36">
        <v>0.7059839</v>
      </c>
      <c r="AA291" s="36">
        <v>0.80291650000000003</v>
      </c>
      <c r="AB291" s="393">
        <v>1</v>
      </c>
    </row>
    <row r="292" spans="2:28" ht="0.5" customHeight="1">
      <c r="B292" s="9" t="s">
        <v>42</v>
      </c>
      <c r="C292" s="9" t="str">
        <f t="shared" si="60"/>
        <v>Colombia39</v>
      </c>
      <c r="D292" s="9">
        <v>39</v>
      </c>
      <c r="E292" s="36">
        <v>0.17062169999999999</v>
      </c>
      <c r="F292" s="36">
        <v>0.3440376</v>
      </c>
      <c r="G292" s="36">
        <v>0.82342769999999998</v>
      </c>
      <c r="H292" s="36">
        <v>0.87414970000000003</v>
      </c>
      <c r="I292" s="36">
        <v>0.94971640000000002</v>
      </c>
      <c r="J292" s="393">
        <v>1</v>
      </c>
      <c r="K292" s="36">
        <v>0.44989309999999999</v>
      </c>
      <c r="L292" s="36">
        <v>0.52648989999999996</v>
      </c>
      <c r="M292" s="36">
        <v>0.84731270000000003</v>
      </c>
      <c r="N292" s="36">
        <v>0.91327670000000005</v>
      </c>
      <c r="O292" s="36">
        <v>0.97711349999999997</v>
      </c>
      <c r="P292" s="393">
        <v>1</v>
      </c>
      <c r="Q292" s="36">
        <v>6.2834299999999996E-2</v>
      </c>
      <c r="R292" s="36">
        <v>0.22653209999999999</v>
      </c>
      <c r="S292" s="36">
        <v>0.50288290000000002</v>
      </c>
      <c r="T292" s="36">
        <v>0.51375289999999996</v>
      </c>
      <c r="U292" s="36">
        <v>0.59637589999999996</v>
      </c>
      <c r="V292" s="393">
        <v>1</v>
      </c>
      <c r="W292" s="36">
        <v>0.34104010000000001</v>
      </c>
      <c r="X292" s="36">
        <v>0.43249979999999999</v>
      </c>
      <c r="Y292" s="36">
        <v>0.68458960000000002</v>
      </c>
      <c r="Z292" s="36">
        <v>0.7103159</v>
      </c>
      <c r="AA292" s="36">
        <v>0.8027339</v>
      </c>
      <c r="AB292" s="393">
        <v>1</v>
      </c>
    </row>
    <row r="293" spans="2:28" ht="0.5" customHeight="1">
      <c r="B293" s="9" t="s">
        <v>42</v>
      </c>
      <c r="C293" s="9" t="str">
        <f t="shared" si="60"/>
        <v>Colombia40</v>
      </c>
      <c r="D293" s="9">
        <v>40</v>
      </c>
      <c r="E293" s="36">
        <v>0.17104150000000001</v>
      </c>
      <c r="F293" s="36">
        <v>0.34043780000000001</v>
      </c>
      <c r="G293" s="36">
        <v>0.82033440000000002</v>
      </c>
      <c r="H293" s="36">
        <v>0.8722628</v>
      </c>
      <c r="I293" s="36">
        <v>0.94762679999999999</v>
      </c>
      <c r="J293" s="393">
        <v>1</v>
      </c>
      <c r="K293" s="36">
        <v>0.44914959999999998</v>
      </c>
      <c r="L293" s="36">
        <v>0.52390590000000004</v>
      </c>
      <c r="M293" s="36">
        <v>0.84635360000000004</v>
      </c>
      <c r="N293" s="36">
        <v>0.91419249999999996</v>
      </c>
      <c r="O293" s="36">
        <v>0.97679079999999996</v>
      </c>
      <c r="P293" s="393">
        <v>1</v>
      </c>
      <c r="Q293" s="36">
        <v>6.3534400000000005E-2</v>
      </c>
      <c r="R293" s="36">
        <v>0.22452630000000001</v>
      </c>
      <c r="S293" s="36">
        <v>0.5032179</v>
      </c>
      <c r="T293" s="36">
        <v>0.51444979999999996</v>
      </c>
      <c r="U293" s="36">
        <v>0.59525309999999998</v>
      </c>
      <c r="V293" s="393">
        <v>1</v>
      </c>
      <c r="W293" s="36">
        <v>0.34220329999999999</v>
      </c>
      <c r="X293" s="36">
        <v>0.43186419999999998</v>
      </c>
      <c r="Y293" s="36">
        <v>0.68428489999999997</v>
      </c>
      <c r="Z293" s="36">
        <v>0.71041770000000004</v>
      </c>
      <c r="AA293" s="36">
        <v>0.80013529999999999</v>
      </c>
      <c r="AB293" s="393">
        <v>1</v>
      </c>
    </row>
    <row r="294" spans="2:28" ht="0.5" customHeight="1">
      <c r="B294" s="9" t="s">
        <v>42</v>
      </c>
      <c r="C294" s="9" t="str">
        <f t="shared" si="60"/>
        <v>Colombia41</v>
      </c>
      <c r="D294" s="9">
        <v>41</v>
      </c>
      <c r="E294" s="36">
        <v>0.17006080000000001</v>
      </c>
      <c r="F294" s="36">
        <v>0.33597300000000002</v>
      </c>
      <c r="G294" s="36">
        <v>0.81951309999999999</v>
      </c>
      <c r="H294" s="36">
        <v>0.87260159999999998</v>
      </c>
      <c r="I294" s="36">
        <v>0.94774789999999998</v>
      </c>
      <c r="J294" s="393">
        <v>1</v>
      </c>
      <c r="K294" s="36">
        <v>0.44837749999999998</v>
      </c>
      <c r="L294" s="36">
        <v>0.5214664</v>
      </c>
      <c r="M294" s="36">
        <v>0.84483090000000005</v>
      </c>
      <c r="N294" s="36">
        <v>0.9141724</v>
      </c>
      <c r="O294" s="36">
        <v>0.97565729999999995</v>
      </c>
      <c r="P294" s="393">
        <v>1</v>
      </c>
      <c r="Q294" s="36">
        <v>6.4005000000000006E-2</v>
      </c>
      <c r="R294" s="36">
        <v>0.2221783</v>
      </c>
      <c r="S294" s="36">
        <v>0.50243890000000002</v>
      </c>
      <c r="T294" s="36">
        <v>0.5139591</v>
      </c>
      <c r="U294" s="36">
        <v>0.59291450000000001</v>
      </c>
      <c r="V294" s="393">
        <v>1</v>
      </c>
      <c r="W294" s="36">
        <v>0.343779</v>
      </c>
      <c r="X294" s="36">
        <v>0.431593</v>
      </c>
      <c r="Y294" s="36">
        <v>0.68404699999999996</v>
      </c>
      <c r="Z294" s="36">
        <v>0.71066720000000005</v>
      </c>
      <c r="AA294" s="36">
        <v>0.79773959999999999</v>
      </c>
      <c r="AB294" s="393">
        <v>1</v>
      </c>
    </row>
    <row r="295" spans="2:28" ht="0.5" customHeight="1">
      <c r="B295" s="9" t="s">
        <v>42</v>
      </c>
      <c r="C295" s="9" t="str">
        <f t="shared" si="60"/>
        <v>Colombia42</v>
      </c>
      <c r="D295" s="9">
        <v>42</v>
      </c>
      <c r="E295" s="36">
        <v>0.16609360000000001</v>
      </c>
      <c r="F295" s="36">
        <v>0.32570339999999998</v>
      </c>
      <c r="G295" s="36">
        <v>0.81585099999999999</v>
      </c>
      <c r="H295" s="36">
        <v>0.87075389999999997</v>
      </c>
      <c r="I295" s="36">
        <v>0.94633259999999997</v>
      </c>
      <c r="J295" s="393">
        <v>1</v>
      </c>
      <c r="K295" s="36">
        <v>0.44280570000000002</v>
      </c>
      <c r="L295" s="36">
        <v>0.51313489999999995</v>
      </c>
      <c r="M295" s="36">
        <v>0.83977299999999999</v>
      </c>
      <c r="N295" s="36">
        <v>0.91167889999999996</v>
      </c>
      <c r="O295" s="36">
        <v>0.97101009999999999</v>
      </c>
      <c r="P295" s="393">
        <v>1</v>
      </c>
      <c r="Q295" s="36">
        <v>6.4533999999999994E-2</v>
      </c>
      <c r="R295" s="36">
        <v>0.21698539999999999</v>
      </c>
      <c r="S295" s="36">
        <v>0.4979711</v>
      </c>
      <c r="T295" s="36">
        <v>0.50979960000000002</v>
      </c>
      <c r="U295" s="36">
        <v>0.58464939999999999</v>
      </c>
      <c r="V295" s="393">
        <v>1</v>
      </c>
      <c r="W295" s="36">
        <v>0.35047850000000003</v>
      </c>
      <c r="X295" s="36">
        <v>0.43438850000000001</v>
      </c>
      <c r="Y295" s="36">
        <v>0.68897640000000004</v>
      </c>
      <c r="Z295" s="36">
        <v>0.71685370000000004</v>
      </c>
      <c r="AA295" s="36">
        <v>0.79874160000000005</v>
      </c>
      <c r="AB295" s="393">
        <v>1</v>
      </c>
    </row>
    <row r="296" spans="2:28" ht="0.5" customHeight="1">
      <c r="B296" s="9" t="s">
        <v>42</v>
      </c>
      <c r="C296" s="9" t="str">
        <f t="shared" si="60"/>
        <v>Colombia43</v>
      </c>
      <c r="D296" s="9">
        <v>43</v>
      </c>
      <c r="E296" s="36">
        <v>0.16345870000000001</v>
      </c>
      <c r="F296" s="36">
        <v>0.31997019999999998</v>
      </c>
      <c r="G296" s="36">
        <v>0.81270659999999995</v>
      </c>
      <c r="H296" s="36">
        <v>0.86815520000000002</v>
      </c>
      <c r="I296" s="36">
        <v>0.94393459999999996</v>
      </c>
      <c r="J296" s="393">
        <v>1</v>
      </c>
      <c r="K296" s="36">
        <v>0.4385809</v>
      </c>
      <c r="L296" s="36">
        <v>0.50807740000000001</v>
      </c>
      <c r="M296" s="36">
        <v>0.83679590000000004</v>
      </c>
      <c r="N296" s="36">
        <v>0.90940049999999995</v>
      </c>
      <c r="O296" s="36">
        <v>0.96827169999999996</v>
      </c>
      <c r="P296" s="393">
        <v>1</v>
      </c>
      <c r="Q296" s="36">
        <v>6.4890699999999996E-2</v>
      </c>
      <c r="R296" s="36">
        <v>0.21417259999999999</v>
      </c>
      <c r="S296" s="36">
        <v>0.49515029999999999</v>
      </c>
      <c r="T296" s="36">
        <v>0.50713229999999998</v>
      </c>
      <c r="U296" s="36">
        <v>0.57985089999999995</v>
      </c>
      <c r="V296" s="393">
        <v>1</v>
      </c>
      <c r="W296" s="36">
        <v>0.35371540000000001</v>
      </c>
      <c r="X296" s="36">
        <v>0.43543189999999998</v>
      </c>
      <c r="Y296" s="36">
        <v>0.6908379</v>
      </c>
      <c r="Z296" s="36">
        <v>0.71935490000000002</v>
      </c>
      <c r="AA296" s="36">
        <v>0.79875300000000005</v>
      </c>
      <c r="AB296" s="393">
        <v>1</v>
      </c>
    </row>
    <row r="297" spans="2:28" ht="0.5" customHeight="1">
      <c r="B297" s="9" t="s">
        <v>42</v>
      </c>
      <c r="C297" s="9" t="str">
        <f t="shared" si="60"/>
        <v>Colombia44</v>
      </c>
      <c r="D297" s="9">
        <v>44</v>
      </c>
      <c r="E297" s="36">
        <v>0.15918850000000001</v>
      </c>
      <c r="F297" s="36">
        <v>0.30987409999999999</v>
      </c>
      <c r="G297" s="36">
        <v>0.80751260000000002</v>
      </c>
      <c r="H297" s="36">
        <v>0.8635893</v>
      </c>
      <c r="I297" s="36">
        <v>0.93951130000000005</v>
      </c>
      <c r="J297" s="393">
        <v>1</v>
      </c>
      <c r="K297" s="36">
        <v>0.42929719999999999</v>
      </c>
      <c r="L297" s="36">
        <v>0.49692819999999999</v>
      </c>
      <c r="M297" s="36">
        <v>0.82937399999999994</v>
      </c>
      <c r="N297" s="36">
        <v>0.90343390000000001</v>
      </c>
      <c r="O297" s="36">
        <v>0.96382480000000004</v>
      </c>
      <c r="P297" s="393">
        <v>1</v>
      </c>
      <c r="Q297" s="36">
        <v>6.4978599999999997E-2</v>
      </c>
      <c r="R297" s="36">
        <v>0.2073132</v>
      </c>
      <c r="S297" s="36">
        <v>0.4887455</v>
      </c>
      <c r="T297" s="36">
        <v>0.50084240000000002</v>
      </c>
      <c r="U297" s="36">
        <v>0.56920950000000003</v>
      </c>
      <c r="V297" s="393">
        <v>1</v>
      </c>
      <c r="W297" s="36">
        <v>0.3546725</v>
      </c>
      <c r="X297" s="36">
        <v>0.43163240000000003</v>
      </c>
      <c r="Y297" s="36">
        <v>0.68962380000000001</v>
      </c>
      <c r="Z297" s="36">
        <v>0.71937510000000005</v>
      </c>
      <c r="AA297" s="36">
        <v>0.79472529999999997</v>
      </c>
      <c r="AB297" s="393">
        <v>1</v>
      </c>
    </row>
    <row r="298" spans="2:28" ht="0.5" customHeight="1">
      <c r="B298" s="9" t="s">
        <v>42</v>
      </c>
      <c r="C298" s="9" t="str">
        <f t="shared" si="60"/>
        <v>Colombia45</v>
      </c>
      <c r="D298" s="9">
        <v>45</v>
      </c>
      <c r="E298" s="36">
        <v>0.15748219999999999</v>
      </c>
      <c r="F298" s="36">
        <v>0.30496010000000001</v>
      </c>
      <c r="G298" s="36">
        <v>0.80414830000000004</v>
      </c>
      <c r="H298" s="36">
        <v>0.86040320000000003</v>
      </c>
      <c r="I298" s="36">
        <v>0.93683139999999998</v>
      </c>
      <c r="J298" s="393">
        <v>1</v>
      </c>
      <c r="K298" s="36">
        <v>0.4253017</v>
      </c>
      <c r="L298" s="36">
        <v>0.4916237</v>
      </c>
      <c r="M298" s="36">
        <v>0.82735590000000003</v>
      </c>
      <c r="N298" s="36">
        <v>0.90225469999999997</v>
      </c>
      <c r="O298" s="36">
        <v>0.96396409999999999</v>
      </c>
      <c r="P298" s="393">
        <v>1</v>
      </c>
      <c r="Q298" s="36">
        <v>6.4868899999999993E-2</v>
      </c>
      <c r="R298" s="36">
        <v>0.20328769999999999</v>
      </c>
      <c r="S298" s="36">
        <v>0.4859773</v>
      </c>
      <c r="T298" s="36">
        <v>0.49801770000000001</v>
      </c>
      <c r="U298" s="36">
        <v>0.56408780000000003</v>
      </c>
      <c r="V298" s="393">
        <v>1</v>
      </c>
      <c r="W298" s="36">
        <v>0.35105819999999999</v>
      </c>
      <c r="X298" s="36">
        <v>0.42565649999999999</v>
      </c>
      <c r="Y298" s="36">
        <v>0.6843823</v>
      </c>
      <c r="Z298" s="36">
        <v>0.71458489999999997</v>
      </c>
      <c r="AA298" s="36">
        <v>0.78859219999999997</v>
      </c>
      <c r="AB298" s="393">
        <v>1</v>
      </c>
    </row>
    <row r="299" spans="2:28" ht="0.5" customHeight="1">
      <c r="B299" s="9" t="s">
        <v>42</v>
      </c>
      <c r="C299" s="9" t="str">
        <f t="shared" si="60"/>
        <v>Colombia46</v>
      </c>
      <c r="D299" s="9">
        <v>46</v>
      </c>
      <c r="E299" s="36">
        <v>0.15605949999999999</v>
      </c>
      <c r="F299" s="36">
        <v>0.30021829999999999</v>
      </c>
      <c r="G299" s="36">
        <v>0.80084089999999997</v>
      </c>
      <c r="H299" s="36">
        <v>0.85724690000000003</v>
      </c>
      <c r="I299" s="36">
        <v>0.93441079999999999</v>
      </c>
      <c r="J299" s="393">
        <v>1</v>
      </c>
      <c r="K299" s="36">
        <v>0.41742699999999999</v>
      </c>
      <c r="L299" s="36">
        <v>0.48210730000000002</v>
      </c>
      <c r="M299" s="36">
        <v>0.82107370000000002</v>
      </c>
      <c r="N299" s="36">
        <v>0.89646009999999998</v>
      </c>
      <c r="O299" s="36">
        <v>0.95985520000000002</v>
      </c>
      <c r="P299" s="393">
        <v>1</v>
      </c>
      <c r="Q299" s="36">
        <v>6.4832299999999995E-2</v>
      </c>
      <c r="R299" s="36">
        <v>0.19897139999999999</v>
      </c>
      <c r="S299" s="36">
        <v>0.48308240000000002</v>
      </c>
      <c r="T299" s="36">
        <v>0.4950426</v>
      </c>
      <c r="U299" s="36">
        <v>0.5589518</v>
      </c>
      <c r="V299" s="393">
        <v>1</v>
      </c>
      <c r="W299" s="36">
        <v>0.34803859999999998</v>
      </c>
      <c r="X299" s="36">
        <v>0.42024299999999998</v>
      </c>
      <c r="Y299" s="36">
        <v>0.6781507</v>
      </c>
      <c r="Z299" s="36">
        <v>0.7087791</v>
      </c>
      <c r="AA299" s="36">
        <v>0.78159829999999997</v>
      </c>
      <c r="AB299" s="393">
        <v>1</v>
      </c>
    </row>
    <row r="300" spans="2:28" ht="0.5" customHeight="1">
      <c r="B300" s="9" t="s">
        <v>42</v>
      </c>
      <c r="C300" s="9" t="str">
        <f t="shared" si="60"/>
        <v>Colombia47</v>
      </c>
      <c r="D300" s="9">
        <v>47</v>
      </c>
      <c r="E300" s="36">
        <v>0.15326200000000001</v>
      </c>
      <c r="F300" s="36">
        <v>0.29088989999999998</v>
      </c>
      <c r="G300" s="36">
        <v>0.79572089999999995</v>
      </c>
      <c r="H300" s="36">
        <v>0.85226550000000001</v>
      </c>
      <c r="I300" s="36">
        <v>0.9306314</v>
      </c>
      <c r="J300" s="393">
        <v>1</v>
      </c>
      <c r="K300" s="36">
        <v>0.40413830000000001</v>
      </c>
      <c r="L300" s="36">
        <v>0.46572629999999998</v>
      </c>
      <c r="M300" s="36">
        <v>0.80694869999999996</v>
      </c>
      <c r="N300" s="36">
        <v>0.88363219999999998</v>
      </c>
      <c r="O300" s="36">
        <v>0.95100859999999998</v>
      </c>
      <c r="P300" s="393">
        <v>1</v>
      </c>
      <c r="Q300" s="36">
        <v>6.4218300000000006E-2</v>
      </c>
      <c r="R300" s="36">
        <v>0.18896940000000001</v>
      </c>
      <c r="S300" s="36">
        <v>0.4742941</v>
      </c>
      <c r="T300" s="36">
        <v>0.48603220000000003</v>
      </c>
      <c r="U300" s="36">
        <v>0.54567759999999998</v>
      </c>
      <c r="V300" s="393">
        <v>1</v>
      </c>
      <c r="W300" s="36">
        <v>0.34302890000000003</v>
      </c>
      <c r="X300" s="36">
        <v>0.41066720000000001</v>
      </c>
      <c r="Y300" s="36">
        <v>0.66529199999999999</v>
      </c>
      <c r="Z300" s="36">
        <v>0.69678870000000004</v>
      </c>
      <c r="AA300" s="36">
        <v>0.76593999999999995</v>
      </c>
      <c r="AB300" s="393">
        <v>1</v>
      </c>
    </row>
    <row r="301" spans="2:28" ht="0.5" customHeight="1">
      <c r="B301" s="9" t="s">
        <v>42</v>
      </c>
      <c r="C301" s="9" t="str">
        <f t="shared" si="60"/>
        <v>Colombia48</v>
      </c>
      <c r="D301" s="9">
        <v>48</v>
      </c>
      <c r="E301" s="36">
        <v>0.1514276</v>
      </c>
      <c r="F301" s="36">
        <v>0.28533550000000002</v>
      </c>
      <c r="G301" s="36">
        <v>0.79155189999999997</v>
      </c>
      <c r="H301" s="36">
        <v>0.84789749999999997</v>
      </c>
      <c r="I301" s="36">
        <v>0.92702410000000002</v>
      </c>
      <c r="J301" s="393">
        <v>1</v>
      </c>
      <c r="K301" s="36">
        <v>0.3989472</v>
      </c>
      <c r="L301" s="36">
        <v>0.45908060000000001</v>
      </c>
      <c r="M301" s="36">
        <v>0.80037780000000003</v>
      </c>
      <c r="N301" s="36">
        <v>0.87816419999999995</v>
      </c>
      <c r="O301" s="36">
        <v>0.94664490000000001</v>
      </c>
      <c r="P301" s="393">
        <v>1</v>
      </c>
      <c r="Q301" s="36">
        <v>6.3432600000000006E-2</v>
      </c>
      <c r="R301" s="36">
        <v>0.1830936</v>
      </c>
      <c r="S301" s="36">
        <v>0.46790159999999997</v>
      </c>
      <c r="T301" s="36">
        <v>0.47956520000000002</v>
      </c>
      <c r="U301" s="36">
        <v>0.53712800000000005</v>
      </c>
      <c r="V301" s="393">
        <v>1</v>
      </c>
      <c r="W301" s="36">
        <v>0.3444641</v>
      </c>
      <c r="X301" s="36">
        <v>0.40977980000000003</v>
      </c>
      <c r="Y301" s="36">
        <v>0.66190550000000004</v>
      </c>
      <c r="Z301" s="36">
        <v>0.69364570000000003</v>
      </c>
      <c r="AA301" s="36">
        <v>0.76056310000000005</v>
      </c>
      <c r="AB301" s="393">
        <v>1</v>
      </c>
    </row>
    <row r="302" spans="2:28" ht="0.5" customHeight="1">
      <c r="B302" s="9" t="s">
        <v>42</v>
      </c>
      <c r="C302" s="9" t="str">
        <f t="shared" si="60"/>
        <v>Colombia49</v>
      </c>
      <c r="D302" s="9">
        <v>49</v>
      </c>
      <c r="E302" s="36">
        <v>0.14936070000000001</v>
      </c>
      <c r="F302" s="36">
        <v>0.27573979999999998</v>
      </c>
      <c r="G302" s="36">
        <v>0.78081730000000005</v>
      </c>
      <c r="H302" s="36">
        <v>0.83615980000000001</v>
      </c>
      <c r="I302" s="36">
        <v>0.91658300000000004</v>
      </c>
      <c r="J302" s="393">
        <v>1</v>
      </c>
      <c r="K302" s="36">
        <v>0.39282830000000002</v>
      </c>
      <c r="L302" s="36">
        <v>0.45015759999999999</v>
      </c>
      <c r="M302" s="36">
        <v>0.79273570000000004</v>
      </c>
      <c r="N302" s="36">
        <v>0.87234849999999997</v>
      </c>
      <c r="O302" s="36">
        <v>0.94050389999999995</v>
      </c>
      <c r="P302" s="393">
        <v>1</v>
      </c>
      <c r="Q302" s="36">
        <v>6.1932300000000003E-2</v>
      </c>
      <c r="R302" s="36">
        <v>0.1718594</v>
      </c>
      <c r="S302" s="36">
        <v>0.45263740000000002</v>
      </c>
      <c r="T302" s="36">
        <v>0.46425420000000001</v>
      </c>
      <c r="U302" s="36">
        <v>0.51740540000000002</v>
      </c>
      <c r="V302" s="393">
        <v>1</v>
      </c>
      <c r="W302" s="36">
        <v>0.34392020000000001</v>
      </c>
      <c r="X302" s="36">
        <v>0.405414</v>
      </c>
      <c r="Y302" s="36">
        <v>0.65052600000000005</v>
      </c>
      <c r="Z302" s="36">
        <v>0.68209120000000001</v>
      </c>
      <c r="AA302" s="36">
        <v>0.74379240000000002</v>
      </c>
      <c r="AB302" s="393">
        <v>1</v>
      </c>
    </row>
    <row r="303" spans="2:28" ht="0.5" customHeight="1">
      <c r="B303" s="9" t="s">
        <v>42</v>
      </c>
      <c r="C303" s="9" t="str">
        <f t="shared" si="60"/>
        <v>Colombia50</v>
      </c>
      <c r="D303" s="9">
        <v>50</v>
      </c>
      <c r="E303" s="36">
        <v>0.14834739999999999</v>
      </c>
      <c r="F303" s="36">
        <v>0.2713604</v>
      </c>
      <c r="G303" s="36">
        <v>0.77535600000000005</v>
      </c>
      <c r="H303" s="36">
        <v>0.83002920000000002</v>
      </c>
      <c r="I303" s="36">
        <v>0.9109429</v>
      </c>
      <c r="J303" s="393">
        <v>1</v>
      </c>
      <c r="K303" s="36">
        <v>0.38806239999999997</v>
      </c>
      <c r="L303" s="36">
        <v>0.44406220000000002</v>
      </c>
      <c r="M303" s="36">
        <v>0.78736220000000001</v>
      </c>
      <c r="N303" s="36">
        <v>0.86784600000000001</v>
      </c>
      <c r="O303" s="36">
        <v>0.93512459999999997</v>
      </c>
      <c r="P303" s="393">
        <v>1</v>
      </c>
      <c r="Q303" s="36">
        <v>6.07194E-2</v>
      </c>
      <c r="R303" s="36">
        <v>0.16609879999999999</v>
      </c>
      <c r="S303" s="36">
        <v>0.44333929999999999</v>
      </c>
      <c r="T303" s="36">
        <v>0.45490799999999998</v>
      </c>
      <c r="U303" s="36">
        <v>0.50578650000000003</v>
      </c>
      <c r="V303" s="393">
        <v>1</v>
      </c>
      <c r="W303" s="36">
        <v>0.34439540000000002</v>
      </c>
      <c r="X303" s="36">
        <v>0.40418959999999998</v>
      </c>
      <c r="Y303" s="36">
        <v>0.64643669999999998</v>
      </c>
      <c r="Z303" s="36">
        <v>0.67777719999999997</v>
      </c>
      <c r="AA303" s="36">
        <v>0.73610880000000001</v>
      </c>
      <c r="AB303" s="393">
        <v>1</v>
      </c>
    </row>
    <row r="304" spans="2:28" ht="0.5" customHeight="1">
      <c r="B304" s="9" t="s">
        <v>42</v>
      </c>
      <c r="C304" s="9" t="str">
        <f t="shared" si="60"/>
        <v>Colombia51</v>
      </c>
      <c r="D304" s="9">
        <v>51</v>
      </c>
      <c r="E304" s="36">
        <v>0.1469511</v>
      </c>
      <c r="F304" s="36">
        <v>0.26696199999999998</v>
      </c>
      <c r="G304" s="36">
        <v>0.77033839999999998</v>
      </c>
      <c r="H304" s="36">
        <v>0.82433179999999995</v>
      </c>
      <c r="I304" s="36">
        <v>0.90595239999999999</v>
      </c>
      <c r="J304" s="393">
        <v>1</v>
      </c>
      <c r="K304" s="36">
        <v>0.3807198</v>
      </c>
      <c r="L304" s="36">
        <v>0.4357123</v>
      </c>
      <c r="M304" s="36">
        <v>0.78084120000000001</v>
      </c>
      <c r="N304" s="36">
        <v>0.86183460000000001</v>
      </c>
      <c r="O304" s="36">
        <v>0.92845429999999995</v>
      </c>
      <c r="P304" s="393">
        <v>1</v>
      </c>
      <c r="Q304" s="36">
        <v>5.9598600000000002E-2</v>
      </c>
      <c r="R304" s="36">
        <v>0.16051360000000001</v>
      </c>
      <c r="S304" s="36">
        <v>0.43423299999999998</v>
      </c>
      <c r="T304" s="36">
        <v>0.4457044</v>
      </c>
      <c r="U304" s="36">
        <v>0.49432939999999997</v>
      </c>
      <c r="V304" s="393">
        <v>1</v>
      </c>
      <c r="W304" s="36">
        <v>0.3431728</v>
      </c>
      <c r="X304" s="36">
        <v>0.40157490000000001</v>
      </c>
      <c r="Y304" s="36">
        <v>0.63981279999999996</v>
      </c>
      <c r="Z304" s="36">
        <v>0.67084739999999998</v>
      </c>
      <c r="AA304" s="36">
        <v>0.7256977</v>
      </c>
      <c r="AB304" s="393">
        <v>1</v>
      </c>
    </row>
    <row r="305" spans="2:28" ht="0.5" customHeight="1">
      <c r="B305" s="9" t="s">
        <v>42</v>
      </c>
      <c r="C305" s="9" t="str">
        <f t="shared" si="60"/>
        <v>Colombia52</v>
      </c>
      <c r="D305" s="9">
        <v>52</v>
      </c>
      <c r="E305" s="36">
        <v>0.14440169999999999</v>
      </c>
      <c r="F305" s="36">
        <v>0.25953549999999997</v>
      </c>
      <c r="G305" s="36">
        <v>0.75987020000000005</v>
      </c>
      <c r="H305" s="36">
        <v>0.81248779999999998</v>
      </c>
      <c r="I305" s="36">
        <v>0.89597439999999995</v>
      </c>
      <c r="J305" s="393">
        <v>1</v>
      </c>
      <c r="K305" s="36">
        <v>0.36622490000000002</v>
      </c>
      <c r="L305" s="36">
        <v>0.42008469999999998</v>
      </c>
      <c r="M305" s="36">
        <v>0.76788590000000001</v>
      </c>
      <c r="N305" s="36">
        <v>0.8488137</v>
      </c>
      <c r="O305" s="36">
        <v>0.91562940000000004</v>
      </c>
      <c r="P305" s="393">
        <v>1</v>
      </c>
      <c r="Q305" s="36">
        <v>5.6357499999999998E-2</v>
      </c>
      <c r="R305" s="36">
        <v>0.14886779999999999</v>
      </c>
      <c r="S305" s="36">
        <v>0.41415109999999999</v>
      </c>
      <c r="T305" s="36">
        <v>0.42536400000000002</v>
      </c>
      <c r="U305" s="36">
        <v>0.46928789999999998</v>
      </c>
      <c r="V305" s="393">
        <v>1</v>
      </c>
      <c r="W305" s="36">
        <v>0.34561570000000003</v>
      </c>
      <c r="X305" s="36">
        <v>0.4023273</v>
      </c>
      <c r="Y305" s="36">
        <v>0.63138119999999998</v>
      </c>
      <c r="Z305" s="36">
        <v>0.66135100000000002</v>
      </c>
      <c r="AA305" s="36">
        <v>0.71005529999999994</v>
      </c>
      <c r="AB305" s="393">
        <v>1</v>
      </c>
    </row>
    <row r="306" spans="2:28" ht="0.5" customHeight="1">
      <c r="B306" s="9" t="s">
        <v>42</v>
      </c>
      <c r="C306" s="9" t="str">
        <f t="shared" si="60"/>
        <v>Colombia53</v>
      </c>
      <c r="D306" s="9">
        <v>53</v>
      </c>
      <c r="E306" s="36">
        <v>0.1423035</v>
      </c>
      <c r="F306" s="36">
        <v>0.2554052</v>
      </c>
      <c r="G306" s="36">
        <v>0.75365740000000003</v>
      </c>
      <c r="H306" s="36">
        <v>0.80534269999999997</v>
      </c>
      <c r="I306" s="36">
        <v>0.88964240000000006</v>
      </c>
      <c r="J306" s="393">
        <v>1</v>
      </c>
      <c r="K306" s="36">
        <v>0.36319099999999999</v>
      </c>
      <c r="L306" s="36">
        <v>0.41667779999999999</v>
      </c>
      <c r="M306" s="36">
        <v>0.76555410000000002</v>
      </c>
      <c r="N306" s="36">
        <v>0.84585010000000005</v>
      </c>
      <c r="O306" s="36">
        <v>0.91419709999999998</v>
      </c>
      <c r="P306" s="393">
        <v>1</v>
      </c>
      <c r="Q306" s="36">
        <v>5.4508000000000001E-2</v>
      </c>
      <c r="R306" s="36">
        <v>0.14293449999999999</v>
      </c>
      <c r="S306" s="36">
        <v>0.40290039999999999</v>
      </c>
      <c r="T306" s="36">
        <v>0.41391349999999999</v>
      </c>
      <c r="U306" s="36">
        <v>0.45547120000000002</v>
      </c>
      <c r="V306" s="393">
        <v>1</v>
      </c>
      <c r="W306" s="36">
        <v>0.34144289999999999</v>
      </c>
      <c r="X306" s="36">
        <v>0.39789099999999999</v>
      </c>
      <c r="Y306" s="36">
        <v>0.6225231</v>
      </c>
      <c r="Z306" s="36">
        <v>0.65173669999999995</v>
      </c>
      <c r="AA306" s="36">
        <v>0.69764780000000004</v>
      </c>
      <c r="AB306" s="393">
        <v>1</v>
      </c>
    </row>
    <row r="307" spans="2:28" ht="0.5" customHeight="1">
      <c r="B307" s="9" t="s">
        <v>42</v>
      </c>
      <c r="C307" s="9" t="str">
        <f t="shared" si="60"/>
        <v>Colombia54</v>
      </c>
      <c r="D307" s="9">
        <v>54</v>
      </c>
      <c r="E307" s="36">
        <v>0.13673489999999999</v>
      </c>
      <c r="F307" s="36">
        <v>0.24700349999999999</v>
      </c>
      <c r="G307" s="36">
        <v>0.7396703</v>
      </c>
      <c r="H307" s="36">
        <v>0.78983519999999996</v>
      </c>
      <c r="I307" s="36">
        <v>0.87502729999999995</v>
      </c>
      <c r="J307" s="393">
        <v>1</v>
      </c>
      <c r="K307" s="36">
        <v>0.35175200000000001</v>
      </c>
      <c r="L307" s="36">
        <v>0.40555720000000001</v>
      </c>
      <c r="M307" s="36">
        <v>0.75273820000000002</v>
      </c>
      <c r="N307" s="36">
        <v>0.82989380000000001</v>
      </c>
      <c r="O307" s="36">
        <v>0.90265720000000005</v>
      </c>
      <c r="P307" s="393">
        <v>1</v>
      </c>
      <c r="Q307" s="36">
        <v>4.9777399999999999E-2</v>
      </c>
      <c r="R307" s="36">
        <v>0.13072259999999999</v>
      </c>
      <c r="S307" s="36">
        <v>0.37856010000000001</v>
      </c>
      <c r="T307" s="36">
        <v>0.38879279999999999</v>
      </c>
      <c r="U307" s="36">
        <v>0.42547160000000001</v>
      </c>
      <c r="V307" s="393">
        <v>1</v>
      </c>
      <c r="W307" s="36">
        <v>0.3182971</v>
      </c>
      <c r="X307" s="36">
        <v>0.37543539999999997</v>
      </c>
      <c r="Y307" s="36">
        <v>0.58942609999999995</v>
      </c>
      <c r="Z307" s="36">
        <v>0.61659509999999995</v>
      </c>
      <c r="AA307" s="36">
        <v>0.65704050000000003</v>
      </c>
      <c r="AB307" s="393">
        <v>1</v>
      </c>
    </row>
    <row r="308" spans="2:28" ht="0.5" customHeight="1">
      <c r="B308" s="9" t="s">
        <v>42</v>
      </c>
      <c r="C308" s="9" t="str">
        <f t="shared" ref="C308:C371" si="61">CONCATENATE(B308,D308)</f>
        <v>Colombia55</v>
      </c>
      <c r="D308" s="9">
        <v>55</v>
      </c>
      <c r="E308" s="36">
        <v>0.1342354</v>
      </c>
      <c r="F308" s="36">
        <v>0.24273059999999999</v>
      </c>
      <c r="G308" s="36">
        <v>0.73083279999999995</v>
      </c>
      <c r="H308" s="36">
        <v>0.78086560000000005</v>
      </c>
      <c r="I308" s="36">
        <v>0.86529040000000002</v>
      </c>
      <c r="J308" s="393">
        <v>1</v>
      </c>
      <c r="K308" s="36">
        <v>0.33849410000000002</v>
      </c>
      <c r="L308" s="36">
        <v>0.3920228</v>
      </c>
      <c r="M308" s="36">
        <v>0.73549220000000004</v>
      </c>
      <c r="N308" s="36">
        <v>0.81119280000000005</v>
      </c>
      <c r="O308" s="36">
        <v>0.88623010000000002</v>
      </c>
      <c r="P308" s="393">
        <v>1</v>
      </c>
      <c r="Q308" s="36">
        <v>4.6321099999999997E-2</v>
      </c>
      <c r="R308" s="36">
        <v>0.1234669</v>
      </c>
      <c r="S308" s="36">
        <v>0.36390359999999999</v>
      </c>
      <c r="T308" s="36">
        <v>0.37343660000000001</v>
      </c>
      <c r="U308" s="36">
        <v>0.40736630000000001</v>
      </c>
      <c r="V308" s="393">
        <v>1</v>
      </c>
      <c r="W308" s="36">
        <v>0.2988323</v>
      </c>
      <c r="X308" s="36">
        <v>0.3568846</v>
      </c>
      <c r="Y308" s="36">
        <v>0.56741770000000002</v>
      </c>
      <c r="Z308" s="36">
        <v>0.59345780000000004</v>
      </c>
      <c r="AA308" s="36">
        <v>0.63214919999999997</v>
      </c>
      <c r="AB308" s="393">
        <v>1</v>
      </c>
    </row>
    <row r="309" spans="2:28" ht="0.5" customHeight="1">
      <c r="B309" s="9" t="s">
        <v>56</v>
      </c>
      <c r="C309" s="9" t="str">
        <f t="shared" si="61"/>
        <v>Peru20</v>
      </c>
      <c r="D309" s="9">
        <v>20</v>
      </c>
      <c r="E309" s="36">
        <v>3.4757999999999997E-2</v>
      </c>
      <c r="F309" s="36">
        <v>0.51386989999999999</v>
      </c>
      <c r="G309" s="36">
        <v>0.68635740000000001</v>
      </c>
      <c r="H309" s="36">
        <v>0.69476009999999999</v>
      </c>
      <c r="I309" s="36">
        <v>0.75460050000000001</v>
      </c>
      <c r="J309" s="393">
        <v>1</v>
      </c>
      <c r="K309" s="36">
        <v>5.7500700000000002E-2</v>
      </c>
      <c r="L309" s="36">
        <v>0.42377290000000001</v>
      </c>
      <c r="M309" s="36">
        <v>0.52310699999999999</v>
      </c>
      <c r="N309" s="36">
        <v>0.52893159999999995</v>
      </c>
      <c r="O309" s="36">
        <v>0.59998960000000001</v>
      </c>
      <c r="P309" s="393">
        <v>1</v>
      </c>
      <c r="Q309" s="36">
        <v>6.9569000000000002E-3</v>
      </c>
      <c r="R309" s="36">
        <v>0.26144519999999999</v>
      </c>
      <c r="S309" s="36">
        <v>0.39566669999999998</v>
      </c>
      <c r="T309" s="36">
        <v>0.39970080000000002</v>
      </c>
      <c r="U309" s="36">
        <v>0.43956010000000001</v>
      </c>
      <c r="V309" s="393">
        <v>1</v>
      </c>
      <c r="W309" s="36">
        <v>4.1089500000000001E-2</v>
      </c>
      <c r="X309" s="36">
        <v>0.33247019999999999</v>
      </c>
      <c r="Y309" s="36">
        <v>0.4092462</v>
      </c>
      <c r="Z309" s="36">
        <v>0.41208090000000003</v>
      </c>
      <c r="AA309" s="36">
        <v>0.48997020000000002</v>
      </c>
      <c r="AB309" s="393">
        <v>1</v>
      </c>
    </row>
    <row r="310" spans="2:28" ht="0.5" customHeight="1">
      <c r="B310" s="9" t="s">
        <v>56</v>
      </c>
      <c r="C310" s="9" t="str">
        <f t="shared" si="61"/>
        <v>Peru21</v>
      </c>
      <c r="D310" s="9">
        <v>21</v>
      </c>
      <c r="E310" s="36">
        <v>3.8298499999999999E-2</v>
      </c>
      <c r="F310" s="36">
        <v>0.52054069999999997</v>
      </c>
      <c r="G310" s="36">
        <v>0.70476470000000002</v>
      </c>
      <c r="H310" s="36">
        <v>0.71479199999999998</v>
      </c>
      <c r="I310" s="36">
        <v>0.77279969999999998</v>
      </c>
      <c r="J310" s="393">
        <v>1</v>
      </c>
      <c r="K310" s="36">
        <v>7.6049699999999998E-2</v>
      </c>
      <c r="L310" s="36">
        <v>0.45016440000000002</v>
      </c>
      <c r="M310" s="36">
        <v>0.56139470000000002</v>
      </c>
      <c r="N310" s="36">
        <v>0.56953540000000002</v>
      </c>
      <c r="O310" s="36">
        <v>0.64044009999999996</v>
      </c>
      <c r="P310" s="393">
        <v>1</v>
      </c>
      <c r="Q310" s="36">
        <v>7.5281000000000002E-3</v>
      </c>
      <c r="R310" s="36">
        <v>0.25205850000000002</v>
      </c>
      <c r="S310" s="36">
        <v>0.4060397</v>
      </c>
      <c r="T310" s="36">
        <v>0.41046280000000002</v>
      </c>
      <c r="U310" s="36">
        <v>0.4497873</v>
      </c>
      <c r="V310" s="393">
        <v>1</v>
      </c>
      <c r="W310" s="36">
        <v>5.1686700000000002E-2</v>
      </c>
      <c r="X310" s="36">
        <v>0.35011819999999999</v>
      </c>
      <c r="Y310" s="36">
        <v>0.43500680000000003</v>
      </c>
      <c r="Z310" s="36">
        <v>0.43923879999999998</v>
      </c>
      <c r="AA310" s="36">
        <v>0.51618109999999995</v>
      </c>
      <c r="AB310" s="393">
        <v>1</v>
      </c>
    </row>
    <row r="311" spans="2:28" ht="0.5" customHeight="1">
      <c r="B311" s="9" t="s">
        <v>56</v>
      </c>
      <c r="C311" s="9" t="str">
        <f t="shared" si="61"/>
        <v>Peru22</v>
      </c>
      <c r="D311" s="9">
        <v>22</v>
      </c>
      <c r="E311" s="36">
        <v>4.5938800000000002E-2</v>
      </c>
      <c r="F311" s="36">
        <v>0.52791759999999999</v>
      </c>
      <c r="G311" s="36">
        <v>0.73741699999999999</v>
      </c>
      <c r="H311" s="36">
        <v>0.75279019999999996</v>
      </c>
      <c r="I311" s="36">
        <v>0.8067221</v>
      </c>
      <c r="J311" s="393">
        <v>1</v>
      </c>
      <c r="K311" s="36">
        <v>0.1191333</v>
      </c>
      <c r="L311" s="36">
        <v>0.50012460000000003</v>
      </c>
      <c r="M311" s="36">
        <v>0.6321968</v>
      </c>
      <c r="N311" s="36">
        <v>0.64556219999999997</v>
      </c>
      <c r="O311" s="36">
        <v>0.71465889999999999</v>
      </c>
      <c r="P311" s="393">
        <v>1</v>
      </c>
      <c r="Q311" s="36">
        <v>8.4302999999999999E-3</v>
      </c>
      <c r="R311" s="36">
        <v>0.230965</v>
      </c>
      <c r="S311" s="36">
        <v>0.42535729999999999</v>
      </c>
      <c r="T311" s="36">
        <v>0.43067499999999997</v>
      </c>
      <c r="U311" s="36">
        <v>0.46818739999999998</v>
      </c>
      <c r="V311" s="393">
        <v>1</v>
      </c>
      <c r="W311" s="36">
        <v>8.11833E-2</v>
      </c>
      <c r="X311" s="36">
        <v>0.3880035</v>
      </c>
      <c r="Y311" s="36">
        <v>0.49155579999999999</v>
      </c>
      <c r="Z311" s="36">
        <v>0.49845699999999998</v>
      </c>
      <c r="AA311" s="36">
        <v>0.57299290000000003</v>
      </c>
      <c r="AB311" s="393">
        <v>1</v>
      </c>
    </row>
    <row r="312" spans="2:28" ht="0.5" customHeight="1">
      <c r="B312" s="9" t="s">
        <v>56</v>
      </c>
      <c r="C312" s="9" t="str">
        <f t="shared" si="61"/>
        <v>Peru23</v>
      </c>
      <c r="D312" s="9">
        <v>23</v>
      </c>
      <c r="E312" s="36">
        <v>5.0282599999999997E-2</v>
      </c>
      <c r="F312" s="36">
        <v>0.5296265</v>
      </c>
      <c r="G312" s="36">
        <v>0.7515944</v>
      </c>
      <c r="H312" s="36">
        <v>0.77048170000000005</v>
      </c>
      <c r="I312" s="36">
        <v>0.82214739999999997</v>
      </c>
      <c r="J312" s="393">
        <v>1</v>
      </c>
      <c r="K312" s="36">
        <v>0.14056479999999999</v>
      </c>
      <c r="L312" s="36">
        <v>0.52369969999999999</v>
      </c>
      <c r="M312" s="36">
        <v>0.66542599999999996</v>
      </c>
      <c r="N312" s="36">
        <v>0.68178240000000001</v>
      </c>
      <c r="O312" s="36">
        <v>0.74945850000000003</v>
      </c>
      <c r="P312" s="393">
        <v>1</v>
      </c>
      <c r="Q312" s="36">
        <v>8.8375999999999993E-3</v>
      </c>
      <c r="R312" s="36">
        <v>0.222023</v>
      </c>
      <c r="S312" s="36">
        <v>0.43483149999999998</v>
      </c>
      <c r="T312" s="36">
        <v>0.44070749999999997</v>
      </c>
      <c r="U312" s="36">
        <v>0.4772824</v>
      </c>
      <c r="V312" s="393">
        <v>1</v>
      </c>
      <c r="W312" s="36">
        <v>9.6882099999999999E-2</v>
      </c>
      <c r="X312" s="36">
        <v>0.40497480000000002</v>
      </c>
      <c r="Y312" s="36">
        <v>0.51852730000000002</v>
      </c>
      <c r="Z312" s="36">
        <v>0.52682680000000004</v>
      </c>
      <c r="AA312" s="36">
        <v>0.59989729999999997</v>
      </c>
      <c r="AB312" s="393">
        <v>1</v>
      </c>
    </row>
    <row r="313" spans="2:28" ht="0.5" customHeight="1">
      <c r="B313" s="9" t="s">
        <v>56</v>
      </c>
      <c r="C313" s="9" t="str">
        <f t="shared" si="61"/>
        <v>Peru24</v>
      </c>
      <c r="D313" s="9">
        <v>24</v>
      </c>
      <c r="E313" s="36">
        <v>5.9351300000000003E-2</v>
      </c>
      <c r="F313" s="36">
        <v>0.52953669999999997</v>
      </c>
      <c r="G313" s="36">
        <v>0.77596750000000003</v>
      </c>
      <c r="H313" s="36">
        <v>0.80152440000000003</v>
      </c>
      <c r="I313" s="36">
        <v>0.84835090000000002</v>
      </c>
      <c r="J313" s="393">
        <v>1</v>
      </c>
      <c r="K313" s="36">
        <v>0.1833727</v>
      </c>
      <c r="L313" s="36">
        <v>0.56527760000000005</v>
      </c>
      <c r="M313" s="36">
        <v>0.72589959999999998</v>
      </c>
      <c r="N313" s="36">
        <v>0.74906740000000005</v>
      </c>
      <c r="O313" s="36">
        <v>0.81330650000000004</v>
      </c>
      <c r="P313" s="393">
        <v>1</v>
      </c>
      <c r="Q313" s="36">
        <v>9.6459000000000007E-3</v>
      </c>
      <c r="R313" s="36">
        <v>0.20629690000000001</v>
      </c>
      <c r="S313" s="36">
        <v>0.4538645</v>
      </c>
      <c r="T313" s="36">
        <v>0.46126149999999999</v>
      </c>
      <c r="U313" s="36">
        <v>0.49604399999999998</v>
      </c>
      <c r="V313" s="393">
        <v>1</v>
      </c>
      <c r="W313" s="36">
        <v>0.13033620000000001</v>
      </c>
      <c r="X313" s="36">
        <v>0.43608089999999999</v>
      </c>
      <c r="Y313" s="36">
        <v>0.57001270000000004</v>
      </c>
      <c r="Z313" s="36">
        <v>0.58135780000000004</v>
      </c>
      <c r="AA313" s="36">
        <v>0.65106900000000001</v>
      </c>
      <c r="AB313" s="393">
        <v>1</v>
      </c>
    </row>
    <row r="314" spans="2:28" ht="0.5" customHeight="1">
      <c r="B314" s="9" t="s">
        <v>56</v>
      </c>
      <c r="C314" s="9" t="str">
        <f t="shared" si="61"/>
        <v>Peru25</v>
      </c>
      <c r="D314" s="9">
        <v>25</v>
      </c>
      <c r="E314" s="36">
        <v>6.3836299999999999E-2</v>
      </c>
      <c r="F314" s="36">
        <v>0.52928070000000005</v>
      </c>
      <c r="G314" s="36">
        <v>0.78726280000000004</v>
      </c>
      <c r="H314" s="36">
        <v>0.81572979999999995</v>
      </c>
      <c r="I314" s="36">
        <v>0.86033939999999998</v>
      </c>
      <c r="J314" s="393">
        <v>1</v>
      </c>
      <c r="K314" s="36">
        <v>0.20273969999999999</v>
      </c>
      <c r="L314" s="36">
        <v>0.58122969999999996</v>
      </c>
      <c r="M314" s="36">
        <v>0.75027140000000003</v>
      </c>
      <c r="N314" s="36">
        <v>0.77720659999999997</v>
      </c>
      <c r="O314" s="36">
        <v>0.83922799999999997</v>
      </c>
      <c r="P314" s="393">
        <v>1</v>
      </c>
      <c r="Q314" s="36">
        <v>1.00894E-2</v>
      </c>
      <c r="R314" s="36">
        <v>0.19928399999999999</v>
      </c>
      <c r="S314" s="36">
        <v>0.46432960000000001</v>
      </c>
      <c r="T314" s="36">
        <v>0.47254170000000001</v>
      </c>
      <c r="U314" s="36">
        <v>0.50647470000000006</v>
      </c>
      <c r="V314" s="393">
        <v>1</v>
      </c>
      <c r="W314" s="36">
        <v>0.14496310000000001</v>
      </c>
      <c r="X314" s="36">
        <v>0.44684940000000001</v>
      </c>
      <c r="Y314" s="36">
        <v>0.5907559</v>
      </c>
      <c r="Z314" s="36">
        <v>0.60363829999999996</v>
      </c>
      <c r="AA314" s="36">
        <v>0.67133080000000001</v>
      </c>
      <c r="AB314" s="393">
        <v>1</v>
      </c>
    </row>
    <row r="315" spans="2:28" ht="0.5" customHeight="1">
      <c r="B315" s="9" t="s">
        <v>56</v>
      </c>
      <c r="C315" s="9" t="str">
        <f t="shared" si="61"/>
        <v>Peru26</v>
      </c>
      <c r="D315" s="9">
        <v>26</v>
      </c>
      <c r="E315" s="36">
        <v>6.7824300000000004E-2</v>
      </c>
      <c r="F315" s="36">
        <v>0.52857140000000002</v>
      </c>
      <c r="G315" s="36">
        <v>0.7972224</v>
      </c>
      <c r="H315" s="36">
        <v>0.82846330000000001</v>
      </c>
      <c r="I315" s="36">
        <v>0.87104820000000005</v>
      </c>
      <c r="J315" s="393">
        <v>1</v>
      </c>
      <c r="K315" s="36">
        <v>0.21988460000000001</v>
      </c>
      <c r="L315" s="36">
        <v>0.59497420000000001</v>
      </c>
      <c r="M315" s="36">
        <v>0.77156389999999997</v>
      </c>
      <c r="N315" s="36">
        <v>0.80248330000000001</v>
      </c>
      <c r="O315" s="36">
        <v>0.8619329</v>
      </c>
      <c r="P315" s="393">
        <v>1</v>
      </c>
      <c r="Q315" s="36">
        <v>1.0573600000000001E-2</v>
      </c>
      <c r="R315" s="36">
        <v>0.19332920000000001</v>
      </c>
      <c r="S315" s="36">
        <v>0.47610380000000002</v>
      </c>
      <c r="T315" s="36">
        <v>0.48507929999999999</v>
      </c>
      <c r="U315" s="36">
        <v>0.51815520000000004</v>
      </c>
      <c r="V315" s="393">
        <v>1</v>
      </c>
      <c r="W315" s="36">
        <v>0.1572808</v>
      </c>
      <c r="X315" s="36">
        <v>0.4545109</v>
      </c>
      <c r="Y315" s="36">
        <v>0.60909690000000005</v>
      </c>
      <c r="Z315" s="36">
        <v>0.62351160000000005</v>
      </c>
      <c r="AA315" s="36">
        <v>0.68895070000000003</v>
      </c>
      <c r="AB315" s="393">
        <v>1</v>
      </c>
    </row>
    <row r="316" spans="2:28" ht="0.5" customHeight="1">
      <c r="B316" s="9" t="s">
        <v>56</v>
      </c>
      <c r="C316" s="9" t="str">
        <f t="shared" si="61"/>
        <v>Peru27</v>
      </c>
      <c r="D316" s="9">
        <v>27</v>
      </c>
      <c r="E316" s="36">
        <v>7.4958800000000006E-2</v>
      </c>
      <c r="F316" s="36">
        <v>0.52351380000000003</v>
      </c>
      <c r="G316" s="36">
        <v>0.81099019999999999</v>
      </c>
      <c r="H316" s="36">
        <v>0.84835240000000001</v>
      </c>
      <c r="I316" s="36">
        <v>0.8871386</v>
      </c>
      <c r="J316" s="393">
        <v>1</v>
      </c>
      <c r="K316" s="36">
        <v>0.25271080000000001</v>
      </c>
      <c r="L316" s="36">
        <v>0.61469200000000002</v>
      </c>
      <c r="M316" s="36">
        <v>0.80473459999999997</v>
      </c>
      <c r="N316" s="36">
        <v>0.8436342</v>
      </c>
      <c r="O316" s="36">
        <v>0.89763579999999998</v>
      </c>
      <c r="P316" s="393">
        <v>1</v>
      </c>
      <c r="Q316" s="36">
        <v>1.15823E-2</v>
      </c>
      <c r="R316" s="36">
        <v>0.18498210000000001</v>
      </c>
      <c r="S316" s="36">
        <v>0.50356860000000003</v>
      </c>
      <c r="T316" s="36">
        <v>0.5140247</v>
      </c>
      <c r="U316" s="36">
        <v>0.54545639999999995</v>
      </c>
      <c r="V316" s="393">
        <v>1</v>
      </c>
      <c r="W316" s="36">
        <v>0.1787156</v>
      </c>
      <c r="X316" s="36">
        <v>0.46081850000000002</v>
      </c>
      <c r="Y316" s="36">
        <v>0.63451380000000002</v>
      </c>
      <c r="Z316" s="36">
        <v>0.65201880000000001</v>
      </c>
      <c r="AA316" s="36">
        <v>0.71269700000000002</v>
      </c>
      <c r="AB316" s="393">
        <v>1</v>
      </c>
    </row>
    <row r="317" spans="2:28" ht="0.5" customHeight="1">
      <c r="B317" s="9" t="s">
        <v>56</v>
      </c>
      <c r="C317" s="9" t="str">
        <f t="shared" si="61"/>
        <v>Peru28</v>
      </c>
      <c r="D317" s="9">
        <v>28</v>
      </c>
      <c r="E317" s="36">
        <v>7.7254600000000007E-2</v>
      </c>
      <c r="F317" s="36">
        <v>0.5199627</v>
      </c>
      <c r="G317" s="36">
        <v>0.81546850000000004</v>
      </c>
      <c r="H317" s="36">
        <v>0.85586890000000004</v>
      </c>
      <c r="I317" s="36">
        <v>0.89290250000000004</v>
      </c>
      <c r="J317" s="393">
        <v>1</v>
      </c>
      <c r="K317" s="36">
        <v>0.26776899999999998</v>
      </c>
      <c r="L317" s="36">
        <v>0.62072159999999998</v>
      </c>
      <c r="M317" s="36">
        <v>0.81658370000000002</v>
      </c>
      <c r="N317" s="36">
        <v>0.85928420000000005</v>
      </c>
      <c r="O317" s="36">
        <v>0.91049139999999995</v>
      </c>
      <c r="P317" s="393">
        <v>1</v>
      </c>
      <c r="Q317" s="36">
        <v>1.20783E-2</v>
      </c>
      <c r="R317" s="36">
        <v>0.18167639999999999</v>
      </c>
      <c r="S317" s="36">
        <v>0.5188623</v>
      </c>
      <c r="T317" s="36">
        <v>0.53003730000000004</v>
      </c>
      <c r="U317" s="36">
        <v>0.56062380000000001</v>
      </c>
      <c r="V317" s="393">
        <v>1</v>
      </c>
      <c r="W317" s="36">
        <v>0.1870233</v>
      </c>
      <c r="X317" s="36">
        <v>0.45940540000000002</v>
      </c>
      <c r="Y317" s="36">
        <v>0.64177039999999996</v>
      </c>
      <c r="Z317" s="36">
        <v>0.66080329999999998</v>
      </c>
      <c r="AA317" s="36">
        <v>0.71909040000000002</v>
      </c>
      <c r="AB317" s="393">
        <v>1</v>
      </c>
    </row>
    <row r="318" spans="2:28" ht="0.5" customHeight="1">
      <c r="B318" s="9" t="s">
        <v>56</v>
      </c>
      <c r="C318" s="9" t="str">
        <f t="shared" si="61"/>
        <v>Peru29</v>
      </c>
      <c r="D318" s="9">
        <v>29</v>
      </c>
      <c r="E318" s="36">
        <v>8.3400000000000002E-2</v>
      </c>
      <c r="F318" s="36">
        <v>0.51704899999999998</v>
      </c>
      <c r="G318" s="36">
        <v>0.82395289999999999</v>
      </c>
      <c r="H318" s="36">
        <v>0.86999389999999999</v>
      </c>
      <c r="I318" s="36">
        <v>0.903169</v>
      </c>
      <c r="J318" s="393">
        <v>1</v>
      </c>
      <c r="K318" s="36">
        <v>0.29471219999999998</v>
      </c>
      <c r="L318" s="36">
        <v>0.62970349999999997</v>
      </c>
      <c r="M318" s="36">
        <v>0.83585949999999998</v>
      </c>
      <c r="N318" s="36">
        <v>0.88464949999999998</v>
      </c>
      <c r="O318" s="36">
        <v>0.92998210000000003</v>
      </c>
      <c r="P318" s="393">
        <v>1</v>
      </c>
      <c r="Q318" s="36">
        <v>1.2956000000000001E-2</v>
      </c>
      <c r="R318" s="36">
        <v>0.1744907</v>
      </c>
      <c r="S318" s="36">
        <v>0.54896199999999995</v>
      </c>
      <c r="T318" s="36">
        <v>0.56141319999999995</v>
      </c>
      <c r="U318" s="36">
        <v>0.59046010000000004</v>
      </c>
      <c r="V318" s="393">
        <v>1</v>
      </c>
      <c r="W318" s="36">
        <v>0.20005490000000001</v>
      </c>
      <c r="X318" s="36">
        <v>0.450345</v>
      </c>
      <c r="Y318" s="36">
        <v>0.64937509999999998</v>
      </c>
      <c r="Z318" s="36">
        <v>0.67115829999999999</v>
      </c>
      <c r="AA318" s="36">
        <v>0.72450020000000004</v>
      </c>
      <c r="AB318" s="393">
        <v>1</v>
      </c>
    </row>
    <row r="319" spans="2:28" ht="0.5" customHeight="1">
      <c r="B319" s="9" t="s">
        <v>56</v>
      </c>
      <c r="C319" s="9" t="str">
        <f t="shared" si="61"/>
        <v>Peru30</v>
      </c>
      <c r="D319" s="9">
        <v>30</v>
      </c>
      <c r="E319" s="36">
        <v>8.6674799999999996E-2</v>
      </c>
      <c r="F319" s="36">
        <v>0.51504229999999995</v>
      </c>
      <c r="G319" s="36">
        <v>0.82787359999999999</v>
      </c>
      <c r="H319" s="36">
        <v>0.87662759999999995</v>
      </c>
      <c r="I319" s="36">
        <v>0.90843759999999996</v>
      </c>
      <c r="J319" s="393">
        <v>1</v>
      </c>
      <c r="K319" s="36">
        <v>0.30589719999999998</v>
      </c>
      <c r="L319" s="36">
        <v>0.6324843</v>
      </c>
      <c r="M319" s="36">
        <v>0.84338409999999997</v>
      </c>
      <c r="N319" s="36">
        <v>0.89502420000000005</v>
      </c>
      <c r="O319" s="36">
        <v>0.93730329999999995</v>
      </c>
      <c r="P319" s="393">
        <v>1</v>
      </c>
      <c r="Q319" s="36">
        <v>1.3318699999999999E-2</v>
      </c>
      <c r="R319" s="36">
        <v>0.1714183</v>
      </c>
      <c r="S319" s="36">
        <v>0.56164099999999995</v>
      </c>
      <c r="T319" s="36">
        <v>0.57463850000000005</v>
      </c>
      <c r="U319" s="36">
        <v>0.60300560000000003</v>
      </c>
      <c r="V319" s="393">
        <v>1</v>
      </c>
      <c r="W319" s="36">
        <v>0.2053102</v>
      </c>
      <c r="X319" s="36">
        <v>0.44594679999999998</v>
      </c>
      <c r="Y319" s="36">
        <v>0.65385320000000002</v>
      </c>
      <c r="Z319" s="36">
        <v>0.67689279999999996</v>
      </c>
      <c r="AA319" s="36">
        <v>0.72774570000000005</v>
      </c>
      <c r="AB319" s="393">
        <v>1</v>
      </c>
    </row>
    <row r="320" spans="2:28" ht="0.5" customHeight="1">
      <c r="B320" s="9" t="s">
        <v>56</v>
      </c>
      <c r="C320" s="9" t="str">
        <f t="shared" si="61"/>
        <v>Peru31</v>
      </c>
      <c r="D320" s="9">
        <v>31</v>
      </c>
      <c r="E320" s="36">
        <v>8.9557999999999999E-2</v>
      </c>
      <c r="F320" s="36">
        <v>0.51200210000000002</v>
      </c>
      <c r="G320" s="36">
        <v>0.83093680000000003</v>
      </c>
      <c r="H320" s="36">
        <v>0.88254639999999995</v>
      </c>
      <c r="I320" s="36">
        <v>0.91324890000000003</v>
      </c>
      <c r="J320" s="393">
        <v>1</v>
      </c>
      <c r="K320" s="36">
        <v>0.31544749999999999</v>
      </c>
      <c r="L320" s="36">
        <v>0.63318490000000005</v>
      </c>
      <c r="M320" s="36">
        <v>0.84801510000000002</v>
      </c>
      <c r="N320" s="36">
        <v>0.90249060000000003</v>
      </c>
      <c r="O320" s="36">
        <v>0.94195470000000003</v>
      </c>
      <c r="P320" s="393">
        <v>1</v>
      </c>
      <c r="Q320" s="36">
        <v>1.3653200000000001E-2</v>
      </c>
      <c r="R320" s="36">
        <v>0.1688895</v>
      </c>
      <c r="S320" s="36">
        <v>0.57327209999999995</v>
      </c>
      <c r="T320" s="36">
        <v>0.58681740000000004</v>
      </c>
      <c r="U320" s="36">
        <v>0.61430390000000001</v>
      </c>
      <c r="V320" s="393">
        <v>1</v>
      </c>
      <c r="W320" s="36">
        <v>0.2094733</v>
      </c>
      <c r="X320" s="36">
        <v>0.44067620000000002</v>
      </c>
      <c r="Y320" s="36">
        <v>0.65746099999999996</v>
      </c>
      <c r="Z320" s="36">
        <v>0.68176550000000002</v>
      </c>
      <c r="AA320" s="36">
        <v>0.73019420000000002</v>
      </c>
      <c r="AB320" s="393">
        <v>1</v>
      </c>
    </row>
    <row r="321" spans="2:28" ht="0.5" customHeight="1">
      <c r="B321" s="9" t="s">
        <v>56</v>
      </c>
      <c r="C321" s="9" t="str">
        <f t="shared" si="61"/>
        <v>Peru32</v>
      </c>
      <c r="D321" s="9">
        <v>32</v>
      </c>
      <c r="E321" s="36">
        <v>9.5698900000000003E-2</v>
      </c>
      <c r="F321" s="36">
        <v>0.50397069999999999</v>
      </c>
      <c r="G321" s="36">
        <v>0.83267650000000004</v>
      </c>
      <c r="H321" s="36">
        <v>0.89102110000000001</v>
      </c>
      <c r="I321" s="36">
        <v>0.92018739999999999</v>
      </c>
      <c r="J321" s="393">
        <v>1</v>
      </c>
      <c r="K321" s="36">
        <v>0.33300819999999998</v>
      </c>
      <c r="L321" s="36">
        <v>0.63243780000000005</v>
      </c>
      <c r="M321" s="36">
        <v>0.85505710000000001</v>
      </c>
      <c r="N321" s="36">
        <v>0.91522780000000004</v>
      </c>
      <c r="O321" s="36">
        <v>0.94969729999999997</v>
      </c>
      <c r="P321" s="393">
        <v>1</v>
      </c>
      <c r="Q321" s="36">
        <v>1.42974E-2</v>
      </c>
      <c r="R321" s="36">
        <v>0.16472059999999999</v>
      </c>
      <c r="S321" s="36">
        <v>0.59218479999999996</v>
      </c>
      <c r="T321" s="36">
        <v>0.60680630000000002</v>
      </c>
      <c r="U321" s="36">
        <v>0.63268100000000005</v>
      </c>
      <c r="V321" s="393">
        <v>1</v>
      </c>
      <c r="W321" s="36">
        <v>0.2144616</v>
      </c>
      <c r="X321" s="36">
        <v>0.4314095</v>
      </c>
      <c r="Y321" s="36">
        <v>0.66480740000000005</v>
      </c>
      <c r="Z321" s="36">
        <v>0.69147099999999995</v>
      </c>
      <c r="AA321" s="36">
        <v>0.73590920000000004</v>
      </c>
      <c r="AB321" s="393">
        <v>1</v>
      </c>
    </row>
    <row r="322" spans="2:28" ht="0.5" customHeight="1">
      <c r="B322" s="9" t="s">
        <v>56</v>
      </c>
      <c r="C322" s="9" t="str">
        <f t="shared" si="61"/>
        <v>Peru33</v>
      </c>
      <c r="D322" s="9">
        <v>33</v>
      </c>
      <c r="E322" s="36">
        <v>9.9685499999999996E-2</v>
      </c>
      <c r="F322" s="36">
        <v>0.49949209999999999</v>
      </c>
      <c r="G322" s="36">
        <v>0.83301119999999995</v>
      </c>
      <c r="H322" s="36">
        <v>0.89532319999999999</v>
      </c>
      <c r="I322" s="36">
        <v>0.92400629999999995</v>
      </c>
      <c r="J322" s="393">
        <v>1</v>
      </c>
      <c r="K322" s="36">
        <v>0.34083039999999998</v>
      </c>
      <c r="L322" s="36">
        <v>0.63116510000000003</v>
      </c>
      <c r="M322" s="36">
        <v>0.85701090000000002</v>
      </c>
      <c r="N322" s="36">
        <v>0.92012850000000002</v>
      </c>
      <c r="O322" s="36">
        <v>0.95247230000000005</v>
      </c>
      <c r="P322" s="393">
        <v>1</v>
      </c>
      <c r="Q322" s="36">
        <v>1.46021E-2</v>
      </c>
      <c r="R322" s="36">
        <v>0.16253690000000001</v>
      </c>
      <c r="S322" s="36">
        <v>0.60076669999999999</v>
      </c>
      <c r="T322" s="36">
        <v>0.6158264</v>
      </c>
      <c r="U322" s="36">
        <v>0.64105049999999997</v>
      </c>
      <c r="V322" s="393">
        <v>1</v>
      </c>
      <c r="W322" s="36">
        <v>0.2191592</v>
      </c>
      <c r="X322" s="36">
        <v>0.42884139999999998</v>
      </c>
      <c r="Y322" s="36">
        <v>0.66838129999999996</v>
      </c>
      <c r="Z322" s="36">
        <v>0.69612019999999997</v>
      </c>
      <c r="AA322" s="36">
        <v>0.73900739999999998</v>
      </c>
      <c r="AB322" s="393">
        <v>1</v>
      </c>
    </row>
    <row r="323" spans="2:28" ht="0.5" customHeight="1">
      <c r="B323" s="9" t="s">
        <v>56</v>
      </c>
      <c r="C323" s="9" t="str">
        <f t="shared" si="61"/>
        <v>Peru34</v>
      </c>
      <c r="D323" s="9">
        <v>34</v>
      </c>
      <c r="E323" s="36">
        <v>0.1057082</v>
      </c>
      <c r="F323" s="36">
        <v>0.48874450000000003</v>
      </c>
      <c r="G323" s="36">
        <v>0.83166130000000005</v>
      </c>
      <c r="H323" s="36">
        <v>0.90187989999999996</v>
      </c>
      <c r="I323" s="36">
        <v>0.92973099999999997</v>
      </c>
      <c r="J323" s="393">
        <v>1</v>
      </c>
      <c r="K323" s="36">
        <v>0.35452400000000001</v>
      </c>
      <c r="L323" s="36">
        <v>0.62724729999999995</v>
      </c>
      <c r="M323" s="36">
        <v>0.85905679999999995</v>
      </c>
      <c r="N323" s="36">
        <v>0.92896590000000001</v>
      </c>
      <c r="O323" s="36">
        <v>0.95756989999999997</v>
      </c>
      <c r="P323" s="393">
        <v>1</v>
      </c>
      <c r="Q323" s="36">
        <v>1.50089E-2</v>
      </c>
      <c r="R323" s="36">
        <v>0.15906210000000001</v>
      </c>
      <c r="S323" s="36">
        <v>0.61606709999999998</v>
      </c>
      <c r="T323" s="36">
        <v>0.63232330000000003</v>
      </c>
      <c r="U323" s="36">
        <v>0.65652860000000002</v>
      </c>
      <c r="V323" s="393">
        <v>1</v>
      </c>
      <c r="W323" s="36">
        <v>0.2301675</v>
      </c>
      <c r="X323" s="36">
        <v>0.4272454</v>
      </c>
      <c r="Y323" s="36">
        <v>0.67890550000000005</v>
      </c>
      <c r="Z323" s="36">
        <v>0.70888320000000005</v>
      </c>
      <c r="AA323" s="36">
        <v>0.74959500000000001</v>
      </c>
      <c r="AB323" s="393">
        <v>1</v>
      </c>
    </row>
    <row r="324" spans="2:28" ht="0.5" customHeight="1">
      <c r="B324" s="9" t="s">
        <v>56</v>
      </c>
      <c r="C324" s="9" t="str">
        <f t="shared" si="61"/>
        <v>Peru35</v>
      </c>
      <c r="D324" s="9">
        <v>35</v>
      </c>
      <c r="E324" s="36">
        <v>0.1077022</v>
      </c>
      <c r="F324" s="36">
        <v>0.48304009999999997</v>
      </c>
      <c r="G324" s="36">
        <v>0.83035899999999996</v>
      </c>
      <c r="H324" s="36">
        <v>0.90423070000000005</v>
      </c>
      <c r="I324" s="36">
        <v>0.93159939999999997</v>
      </c>
      <c r="J324" s="393">
        <v>1</v>
      </c>
      <c r="K324" s="36">
        <v>0.36083929999999997</v>
      </c>
      <c r="L324" s="36">
        <v>0.62414069999999999</v>
      </c>
      <c r="M324" s="36">
        <v>0.85902199999999995</v>
      </c>
      <c r="N324" s="36">
        <v>0.93229459999999997</v>
      </c>
      <c r="O324" s="36">
        <v>0.95936239999999995</v>
      </c>
      <c r="P324" s="393">
        <v>1</v>
      </c>
      <c r="Q324" s="36">
        <v>1.5192199999999999E-2</v>
      </c>
      <c r="R324" s="36">
        <v>0.15852620000000001</v>
      </c>
      <c r="S324" s="36">
        <v>0.62338749999999998</v>
      </c>
      <c r="T324" s="36">
        <v>0.64036550000000003</v>
      </c>
      <c r="U324" s="36">
        <v>0.6641319</v>
      </c>
      <c r="V324" s="393">
        <v>1</v>
      </c>
      <c r="W324" s="36">
        <v>0.23480960000000001</v>
      </c>
      <c r="X324" s="36">
        <v>0.42596289999999998</v>
      </c>
      <c r="Y324" s="36">
        <v>0.68254349999999997</v>
      </c>
      <c r="Z324" s="36">
        <v>0.71352539999999998</v>
      </c>
      <c r="AA324" s="36">
        <v>0.75309210000000004</v>
      </c>
      <c r="AB324" s="393">
        <v>1</v>
      </c>
    </row>
    <row r="325" spans="2:28" ht="0.5" customHeight="1">
      <c r="B325" s="9" t="s">
        <v>56</v>
      </c>
      <c r="C325" s="9" t="str">
        <f t="shared" si="61"/>
        <v>Peru36</v>
      </c>
      <c r="D325" s="9">
        <v>36</v>
      </c>
      <c r="E325" s="36">
        <v>0.109233</v>
      </c>
      <c r="F325" s="36">
        <v>0.47678579999999998</v>
      </c>
      <c r="G325" s="36">
        <v>0.82857800000000004</v>
      </c>
      <c r="H325" s="36">
        <v>0.90570629999999996</v>
      </c>
      <c r="I325" s="36">
        <v>0.9325194</v>
      </c>
      <c r="J325" s="393">
        <v>1</v>
      </c>
      <c r="K325" s="36">
        <v>0.36536669999999999</v>
      </c>
      <c r="L325" s="36">
        <v>0.62114100000000005</v>
      </c>
      <c r="M325" s="36">
        <v>0.85879159999999999</v>
      </c>
      <c r="N325" s="36">
        <v>0.93509719999999996</v>
      </c>
      <c r="O325" s="36">
        <v>0.96091579999999999</v>
      </c>
      <c r="P325" s="393">
        <v>1</v>
      </c>
      <c r="Q325" s="36">
        <v>1.53863E-2</v>
      </c>
      <c r="R325" s="36">
        <v>0.15771789999999999</v>
      </c>
      <c r="S325" s="36">
        <v>0.62988719999999998</v>
      </c>
      <c r="T325" s="36">
        <v>0.64761230000000003</v>
      </c>
      <c r="U325" s="36">
        <v>0.67098579999999997</v>
      </c>
      <c r="V325" s="393">
        <v>1</v>
      </c>
      <c r="W325" s="36">
        <v>0.2394067</v>
      </c>
      <c r="X325" s="36">
        <v>0.42472959999999998</v>
      </c>
      <c r="Y325" s="36">
        <v>0.68536660000000005</v>
      </c>
      <c r="Z325" s="36">
        <v>0.71723740000000002</v>
      </c>
      <c r="AA325" s="36">
        <v>0.75601300000000005</v>
      </c>
      <c r="AB325" s="393">
        <v>1</v>
      </c>
    </row>
    <row r="326" spans="2:28" ht="0.5" customHeight="1">
      <c r="B326" s="9" t="s">
        <v>56</v>
      </c>
      <c r="C326" s="9" t="str">
        <f t="shared" si="61"/>
        <v>Peru37</v>
      </c>
      <c r="D326" s="9">
        <v>37</v>
      </c>
      <c r="E326" s="36">
        <v>0.11047269999999999</v>
      </c>
      <c r="F326" s="36">
        <v>0.46489570000000002</v>
      </c>
      <c r="G326" s="36">
        <v>0.8238799</v>
      </c>
      <c r="H326" s="36">
        <v>0.90618790000000005</v>
      </c>
      <c r="I326" s="36">
        <v>0.93221869999999996</v>
      </c>
      <c r="J326" s="393">
        <v>1</v>
      </c>
      <c r="K326" s="36">
        <v>0.37281930000000002</v>
      </c>
      <c r="L326" s="36">
        <v>0.61463829999999997</v>
      </c>
      <c r="M326" s="36">
        <v>0.85825169999999995</v>
      </c>
      <c r="N326" s="36">
        <v>0.94006020000000001</v>
      </c>
      <c r="O326" s="36">
        <v>0.96386360000000004</v>
      </c>
      <c r="P326" s="393">
        <v>1</v>
      </c>
      <c r="Q326" s="36">
        <v>1.56046E-2</v>
      </c>
      <c r="R326" s="36">
        <v>0.15532360000000001</v>
      </c>
      <c r="S326" s="36">
        <v>0.64058760000000003</v>
      </c>
      <c r="T326" s="36">
        <v>0.65988210000000003</v>
      </c>
      <c r="U326" s="36">
        <v>0.6824964</v>
      </c>
      <c r="V326" s="393">
        <v>1</v>
      </c>
      <c r="W326" s="36">
        <v>0.2468487</v>
      </c>
      <c r="X326" s="36">
        <v>0.41961189999999998</v>
      </c>
      <c r="Y326" s="36">
        <v>0.68674250000000003</v>
      </c>
      <c r="Z326" s="36">
        <v>0.72005580000000002</v>
      </c>
      <c r="AA326" s="36">
        <v>0.75707270000000004</v>
      </c>
      <c r="AB326" s="393">
        <v>1</v>
      </c>
    </row>
    <row r="327" spans="2:28" ht="0.5" customHeight="1">
      <c r="B327" s="9" t="s">
        <v>56</v>
      </c>
      <c r="C327" s="9" t="str">
        <f t="shared" si="61"/>
        <v>Peru38</v>
      </c>
      <c r="D327" s="9">
        <v>38</v>
      </c>
      <c r="E327" s="36">
        <v>0.1121904</v>
      </c>
      <c r="F327" s="36">
        <v>0.46143269999999997</v>
      </c>
      <c r="G327" s="36">
        <v>0.82253710000000002</v>
      </c>
      <c r="H327" s="36">
        <v>0.90686889999999998</v>
      </c>
      <c r="I327" s="36">
        <v>0.93250010000000005</v>
      </c>
      <c r="J327" s="393">
        <v>1</v>
      </c>
      <c r="K327" s="36">
        <v>0.37708120000000001</v>
      </c>
      <c r="L327" s="36">
        <v>0.61120589999999997</v>
      </c>
      <c r="M327" s="36">
        <v>0.85779190000000005</v>
      </c>
      <c r="N327" s="36">
        <v>0.94192980000000004</v>
      </c>
      <c r="O327" s="36">
        <v>0.96503240000000001</v>
      </c>
      <c r="P327" s="393">
        <v>1</v>
      </c>
      <c r="Q327" s="36">
        <v>1.5663699999999999E-2</v>
      </c>
      <c r="R327" s="36">
        <v>0.1538496</v>
      </c>
      <c r="S327" s="36">
        <v>0.64479390000000003</v>
      </c>
      <c r="T327" s="36">
        <v>0.66485760000000005</v>
      </c>
      <c r="U327" s="36">
        <v>0.68715850000000001</v>
      </c>
      <c r="V327" s="393">
        <v>1</v>
      </c>
      <c r="W327" s="36">
        <v>0.24911829999999999</v>
      </c>
      <c r="X327" s="36">
        <v>0.41696270000000002</v>
      </c>
      <c r="Y327" s="36">
        <v>0.68667069999999997</v>
      </c>
      <c r="Z327" s="36">
        <v>0.72058500000000003</v>
      </c>
      <c r="AA327" s="36">
        <v>0.75660910000000003</v>
      </c>
      <c r="AB327" s="393">
        <v>1</v>
      </c>
    </row>
    <row r="328" spans="2:28" ht="0.5" customHeight="1">
      <c r="B328" s="9" t="s">
        <v>56</v>
      </c>
      <c r="C328" s="9" t="str">
        <f t="shared" si="61"/>
        <v>Peru39</v>
      </c>
      <c r="D328" s="9">
        <v>39</v>
      </c>
      <c r="E328" s="36">
        <v>0.11529209999999999</v>
      </c>
      <c r="F328" s="36">
        <v>0.45605859999999998</v>
      </c>
      <c r="G328" s="36">
        <v>0.82147599999999998</v>
      </c>
      <c r="H328" s="36">
        <v>0.90931830000000002</v>
      </c>
      <c r="I328" s="36">
        <v>0.93411040000000001</v>
      </c>
      <c r="J328" s="393">
        <v>1</v>
      </c>
      <c r="K328" s="36">
        <v>0.3834707</v>
      </c>
      <c r="L328" s="36">
        <v>0.60559870000000005</v>
      </c>
      <c r="M328" s="36">
        <v>0.85581249999999998</v>
      </c>
      <c r="N328" s="36">
        <v>0.94231600000000004</v>
      </c>
      <c r="O328" s="36">
        <v>0.96476329999999999</v>
      </c>
      <c r="P328" s="393">
        <v>1</v>
      </c>
      <c r="Q328" s="36">
        <v>1.5703499999999999E-2</v>
      </c>
      <c r="R328" s="36">
        <v>0.1497259</v>
      </c>
      <c r="S328" s="36">
        <v>0.64824800000000005</v>
      </c>
      <c r="T328" s="36">
        <v>0.66992499999999999</v>
      </c>
      <c r="U328" s="36">
        <v>0.69176729999999997</v>
      </c>
      <c r="V328" s="393">
        <v>1</v>
      </c>
      <c r="W328" s="36">
        <v>0.2612718</v>
      </c>
      <c r="X328" s="36">
        <v>0.42178589999999999</v>
      </c>
      <c r="Y328" s="36">
        <v>0.69556830000000003</v>
      </c>
      <c r="Z328" s="36">
        <v>0.73058630000000002</v>
      </c>
      <c r="AA328" s="36">
        <v>0.76505599999999996</v>
      </c>
      <c r="AB328" s="393">
        <v>1</v>
      </c>
    </row>
    <row r="329" spans="2:28" ht="0.5" customHeight="1">
      <c r="B329" s="9" t="s">
        <v>56</v>
      </c>
      <c r="C329" s="9" t="str">
        <f t="shared" si="61"/>
        <v>Peru40</v>
      </c>
      <c r="D329" s="9">
        <v>40</v>
      </c>
      <c r="E329" s="36">
        <v>0.116463</v>
      </c>
      <c r="F329" s="36">
        <v>0.45338529999999999</v>
      </c>
      <c r="G329" s="36">
        <v>0.820882</v>
      </c>
      <c r="H329" s="36">
        <v>0.90997030000000001</v>
      </c>
      <c r="I329" s="36">
        <v>0.93440420000000002</v>
      </c>
      <c r="J329" s="393">
        <v>1</v>
      </c>
      <c r="K329" s="36">
        <v>0.3868858</v>
      </c>
      <c r="L329" s="36">
        <v>0.60575069999999998</v>
      </c>
      <c r="M329" s="36">
        <v>0.85634390000000005</v>
      </c>
      <c r="N329" s="36">
        <v>0.94357159999999995</v>
      </c>
      <c r="O329" s="36">
        <v>0.96580920000000003</v>
      </c>
      <c r="P329" s="393">
        <v>1</v>
      </c>
      <c r="Q329" s="36">
        <v>1.5711900000000001E-2</v>
      </c>
      <c r="R329" s="36">
        <v>0.1471295</v>
      </c>
      <c r="S329" s="36">
        <v>0.64889719999999995</v>
      </c>
      <c r="T329" s="36">
        <v>0.67139859999999996</v>
      </c>
      <c r="U329" s="36">
        <v>0.69302220000000003</v>
      </c>
      <c r="V329" s="393">
        <v>1</v>
      </c>
      <c r="W329" s="36">
        <v>0.26974189999999998</v>
      </c>
      <c r="X329" s="36">
        <v>0.42849219999999999</v>
      </c>
      <c r="Y329" s="36">
        <v>0.70331889999999997</v>
      </c>
      <c r="Z329" s="36">
        <v>0.73864600000000002</v>
      </c>
      <c r="AA329" s="36">
        <v>0.7724645</v>
      </c>
      <c r="AB329" s="393">
        <v>1</v>
      </c>
    </row>
    <row r="330" spans="2:28" ht="0.5" customHeight="1">
      <c r="B330" s="9" t="s">
        <v>56</v>
      </c>
      <c r="C330" s="9" t="str">
        <f t="shared" si="61"/>
        <v>Peru41</v>
      </c>
      <c r="D330" s="9">
        <v>41</v>
      </c>
      <c r="E330" s="36">
        <v>0.1175368</v>
      </c>
      <c r="F330" s="36">
        <v>0.45038430000000002</v>
      </c>
      <c r="G330" s="36">
        <v>0.81987650000000001</v>
      </c>
      <c r="H330" s="36">
        <v>0.9098754</v>
      </c>
      <c r="I330" s="36">
        <v>0.93394739999999998</v>
      </c>
      <c r="J330" s="393">
        <v>1</v>
      </c>
      <c r="K330" s="36">
        <v>0.39310509999999999</v>
      </c>
      <c r="L330" s="36">
        <v>0.60625910000000005</v>
      </c>
      <c r="M330" s="36">
        <v>0.85617759999999998</v>
      </c>
      <c r="N330" s="36">
        <v>0.94429859999999999</v>
      </c>
      <c r="O330" s="36">
        <v>0.96635230000000005</v>
      </c>
      <c r="P330" s="393">
        <v>1</v>
      </c>
      <c r="Q330" s="36">
        <v>1.57004E-2</v>
      </c>
      <c r="R330" s="36">
        <v>0.14411189999999999</v>
      </c>
      <c r="S330" s="36">
        <v>0.64903160000000004</v>
      </c>
      <c r="T330" s="36">
        <v>0.67237250000000004</v>
      </c>
      <c r="U330" s="36">
        <v>0.69383320000000004</v>
      </c>
      <c r="V330" s="393">
        <v>1</v>
      </c>
      <c r="W330" s="36">
        <v>0.27628180000000002</v>
      </c>
      <c r="X330" s="36">
        <v>0.43399840000000001</v>
      </c>
      <c r="Y330" s="36">
        <v>0.70865040000000001</v>
      </c>
      <c r="Z330" s="36">
        <v>0.74424109999999999</v>
      </c>
      <c r="AA330" s="36">
        <v>0.77711110000000005</v>
      </c>
      <c r="AB330" s="393">
        <v>1</v>
      </c>
    </row>
    <row r="331" spans="2:28" ht="0.5" customHeight="1">
      <c r="B331" s="9" t="s">
        <v>56</v>
      </c>
      <c r="C331" s="9" t="str">
        <f t="shared" si="61"/>
        <v>Peru42</v>
      </c>
      <c r="D331" s="9">
        <v>42</v>
      </c>
      <c r="E331" s="36">
        <v>0.11855250000000001</v>
      </c>
      <c r="F331" s="36">
        <v>0.44302209999999997</v>
      </c>
      <c r="G331" s="36">
        <v>0.81720959999999998</v>
      </c>
      <c r="H331" s="36">
        <v>0.90822250000000004</v>
      </c>
      <c r="I331" s="36">
        <v>0.93223860000000003</v>
      </c>
      <c r="J331" s="393">
        <v>1</v>
      </c>
      <c r="K331" s="36">
        <v>0.40609240000000002</v>
      </c>
      <c r="L331" s="36">
        <v>0.60939880000000002</v>
      </c>
      <c r="M331" s="36">
        <v>0.85760099999999995</v>
      </c>
      <c r="N331" s="36">
        <v>0.94917989999999997</v>
      </c>
      <c r="O331" s="36">
        <v>0.97087650000000003</v>
      </c>
      <c r="P331" s="393">
        <v>1</v>
      </c>
      <c r="Q331" s="36">
        <v>1.5719E-2</v>
      </c>
      <c r="R331" s="36">
        <v>0.1401665</v>
      </c>
      <c r="S331" s="36">
        <v>0.64782689999999998</v>
      </c>
      <c r="T331" s="36">
        <v>0.67287039999999998</v>
      </c>
      <c r="U331" s="36">
        <v>0.69394699999999998</v>
      </c>
      <c r="V331" s="393">
        <v>1</v>
      </c>
      <c r="W331" s="36">
        <v>0.28588229999999998</v>
      </c>
      <c r="X331" s="36">
        <v>0.44178070000000003</v>
      </c>
      <c r="Y331" s="36">
        <v>0.7146981</v>
      </c>
      <c r="Z331" s="36">
        <v>0.75104130000000002</v>
      </c>
      <c r="AA331" s="36">
        <v>0.78216600000000003</v>
      </c>
      <c r="AB331" s="393">
        <v>1</v>
      </c>
    </row>
    <row r="332" spans="2:28" ht="0.5" customHeight="1">
      <c r="B332" s="9" t="s">
        <v>56</v>
      </c>
      <c r="C332" s="9" t="str">
        <f t="shared" si="61"/>
        <v>Peru43</v>
      </c>
      <c r="D332" s="9">
        <v>43</v>
      </c>
      <c r="E332" s="36">
        <v>0.1180886</v>
      </c>
      <c r="F332" s="36">
        <v>0.43910939999999998</v>
      </c>
      <c r="G332" s="36">
        <v>0.81515859999999996</v>
      </c>
      <c r="H332" s="36">
        <v>0.90702579999999999</v>
      </c>
      <c r="I332" s="36">
        <v>0.93119289999999999</v>
      </c>
      <c r="J332" s="393">
        <v>1</v>
      </c>
      <c r="K332" s="36">
        <v>0.40920590000000001</v>
      </c>
      <c r="L332" s="36">
        <v>0.60840349999999999</v>
      </c>
      <c r="M332" s="36">
        <v>0.85586890000000004</v>
      </c>
      <c r="N332" s="36">
        <v>0.94948440000000001</v>
      </c>
      <c r="O332" s="36">
        <v>0.97097560000000005</v>
      </c>
      <c r="P332" s="393">
        <v>1</v>
      </c>
      <c r="Q332" s="36">
        <v>1.5708799999999998E-2</v>
      </c>
      <c r="R332" s="36">
        <v>0.13898050000000001</v>
      </c>
      <c r="S332" s="36">
        <v>0.64584090000000005</v>
      </c>
      <c r="T332" s="36">
        <v>0.67155730000000002</v>
      </c>
      <c r="U332" s="36">
        <v>0.69245029999999996</v>
      </c>
      <c r="V332" s="393">
        <v>1</v>
      </c>
      <c r="W332" s="36">
        <v>0.28927249999999999</v>
      </c>
      <c r="X332" s="36">
        <v>0.44309340000000003</v>
      </c>
      <c r="Y332" s="36">
        <v>0.7154971</v>
      </c>
      <c r="Z332" s="36">
        <v>0.75203129999999996</v>
      </c>
      <c r="AA332" s="36">
        <v>0.78251499999999996</v>
      </c>
      <c r="AB332" s="393">
        <v>1</v>
      </c>
    </row>
    <row r="333" spans="2:28" ht="0.5" customHeight="1">
      <c r="B333" s="9" t="s">
        <v>56</v>
      </c>
      <c r="C333" s="9" t="str">
        <f t="shared" si="61"/>
        <v>Peru44</v>
      </c>
      <c r="D333" s="9">
        <v>44</v>
      </c>
      <c r="E333" s="36">
        <v>0.1180682</v>
      </c>
      <c r="F333" s="36">
        <v>0.43192340000000001</v>
      </c>
      <c r="G333" s="36">
        <v>0.81111080000000002</v>
      </c>
      <c r="H333" s="36">
        <v>0.90543479999999998</v>
      </c>
      <c r="I333" s="36">
        <v>0.93041309999999999</v>
      </c>
      <c r="J333" s="393">
        <v>1</v>
      </c>
      <c r="K333" s="36">
        <v>0.41307129999999997</v>
      </c>
      <c r="L333" s="36">
        <v>0.603182</v>
      </c>
      <c r="M333" s="36">
        <v>0.84835450000000001</v>
      </c>
      <c r="N333" s="36">
        <v>0.94508499999999995</v>
      </c>
      <c r="O333" s="36">
        <v>0.96654530000000005</v>
      </c>
      <c r="P333" s="393">
        <v>1</v>
      </c>
      <c r="Q333" s="36">
        <v>1.56045E-2</v>
      </c>
      <c r="R333" s="36">
        <v>0.13578689999999999</v>
      </c>
      <c r="S333" s="36">
        <v>0.64252849999999995</v>
      </c>
      <c r="T333" s="36">
        <v>0.66912159999999998</v>
      </c>
      <c r="U333" s="36">
        <v>0.68955610000000001</v>
      </c>
      <c r="V333" s="393">
        <v>1</v>
      </c>
      <c r="W333" s="36">
        <v>0.28802109999999997</v>
      </c>
      <c r="X333" s="36">
        <v>0.4354017</v>
      </c>
      <c r="Y333" s="36">
        <v>0.70765999999999996</v>
      </c>
      <c r="Z333" s="36">
        <v>0.74422010000000005</v>
      </c>
      <c r="AA333" s="36">
        <v>0.77373510000000001</v>
      </c>
      <c r="AB333" s="393">
        <v>1</v>
      </c>
    </row>
    <row r="334" spans="2:28" ht="0.5" customHeight="1">
      <c r="B334" s="9" t="s">
        <v>56</v>
      </c>
      <c r="C334" s="9" t="str">
        <f t="shared" si="61"/>
        <v>Peru45</v>
      </c>
      <c r="D334" s="9">
        <v>45</v>
      </c>
      <c r="E334" s="36">
        <v>0.1169655</v>
      </c>
      <c r="F334" s="36">
        <v>0.42714669999999999</v>
      </c>
      <c r="G334" s="36">
        <v>0.80814050000000004</v>
      </c>
      <c r="H334" s="36">
        <v>0.90361970000000003</v>
      </c>
      <c r="I334" s="36">
        <v>0.92937639999999999</v>
      </c>
      <c r="J334" s="393">
        <v>1</v>
      </c>
      <c r="K334" s="36">
        <v>0.41437839999999998</v>
      </c>
      <c r="L334" s="36">
        <v>0.5995142</v>
      </c>
      <c r="M334" s="36">
        <v>0.84511670000000005</v>
      </c>
      <c r="N334" s="36">
        <v>0.94362279999999998</v>
      </c>
      <c r="O334" s="36">
        <v>0.96489380000000002</v>
      </c>
      <c r="P334" s="393">
        <v>1</v>
      </c>
      <c r="Q334" s="36">
        <v>1.5515299999999999E-2</v>
      </c>
      <c r="R334" s="36">
        <v>0.1336879</v>
      </c>
      <c r="S334" s="36">
        <v>0.6416868</v>
      </c>
      <c r="T334" s="36">
        <v>0.66856740000000003</v>
      </c>
      <c r="U334" s="36">
        <v>0.68877650000000001</v>
      </c>
      <c r="V334" s="393">
        <v>1</v>
      </c>
      <c r="W334" s="36">
        <v>0.28919070000000002</v>
      </c>
      <c r="X334" s="36">
        <v>0.43247229999999998</v>
      </c>
      <c r="Y334" s="36">
        <v>0.70555650000000003</v>
      </c>
      <c r="Z334" s="36">
        <v>0.74202259999999998</v>
      </c>
      <c r="AA334" s="36">
        <v>0.77100769999999996</v>
      </c>
      <c r="AB334" s="393">
        <v>1</v>
      </c>
    </row>
    <row r="335" spans="2:28" ht="0.5" customHeight="1">
      <c r="B335" s="9" t="s">
        <v>56</v>
      </c>
      <c r="C335" s="9" t="str">
        <f t="shared" si="61"/>
        <v>Peru46</v>
      </c>
      <c r="D335" s="9">
        <v>46</v>
      </c>
      <c r="E335" s="36">
        <v>0.1163665</v>
      </c>
      <c r="F335" s="36">
        <v>0.42283150000000003</v>
      </c>
      <c r="G335" s="36">
        <v>0.80563989999999996</v>
      </c>
      <c r="H335" s="36">
        <v>0.90200959999999997</v>
      </c>
      <c r="I335" s="36">
        <v>0.9285563</v>
      </c>
      <c r="J335" s="393">
        <v>1</v>
      </c>
      <c r="K335" s="36">
        <v>0.41226040000000003</v>
      </c>
      <c r="L335" s="36">
        <v>0.59580599999999995</v>
      </c>
      <c r="M335" s="36">
        <v>0.84294749999999996</v>
      </c>
      <c r="N335" s="36">
        <v>0.94337950000000004</v>
      </c>
      <c r="O335" s="36">
        <v>0.9644066</v>
      </c>
      <c r="P335" s="393">
        <v>1</v>
      </c>
      <c r="Q335" s="36">
        <v>1.5369499999999999E-2</v>
      </c>
      <c r="R335" s="36">
        <v>0.13145229999999999</v>
      </c>
      <c r="S335" s="36">
        <v>0.64035719999999996</v>
      </c>
      <c r="T335" s="36">
        <v>0.66750339999999997</v>
      </c>
      <c r="U335" s="36">
        <v>0.68752670000000005</v>
      </c>
      <c r="V335" s="393">
        <v>1</v>
      </c>
      <c r="W335" s="36">
        <v>0.28949029999999998</v>
      </c>
      <c r="X335" s="36">
        <v>0.42805850000000001</v>
      </c>
      <c r="Y335" s="36">
        <v>0.70242490000000002</v>
      </c>
      <c r="Z335" s="36">
        <v>0.73870670000000005</v>
      </c>
      <c r="AA335" s="36">
        <v>0.767625</v>
      </c>
      <c r="AB335" s="393">
        <v>1</v>
      </c>
    </row>
    <row r="336" spans="2:28" ht="0.5" customHeight="1">
      <c r="B336" s="9" t="s">
        <v>56</v>
      </c>
      <c r="C336" s="9" t="str">
        <f t="shared" si="61"/>
        <v>Peru47</v>
      </c>
      <c r="D336" s="9">
        <v>47</v>
      </c>
      <c r="E336" s="36">
        <v>0.11601</v>
      </c>
      <c r="F336" s="36">
        <v>0.4133985</v>
      </c>
      <c r="G336" s="36">
        <v>0.80065120000000001</v>
      </c>
      <c r="H336" s="36">
        <v>0.89755050000000003</v>
      </c>
      <c r="I336" s="36">
        <v>0.925763</v>
      </c>
      <c r="J336" s="393">
        <v>1</v>
      </c>
      <c r="K336" s="36">
        <v>0.41323339999999997</v>
      </c>
      <c r="L336" s="36">
        <v>0.58955500000000005</v>
      </c>
      <c r="M336" s="36">
        <v>0.83964269999999996</v>
      </c>
      <c r="N336" s="36">
        <v>0.94171229999999995</v>
      </c>
      <c r="O336" s="36">
        <v>0.96312960000000003</v>
      </c>
      <c r="P336" s="393">
        <v>1</v>
      </c>
      <c r="Q336" s="36">
        <v>1.50095E-2</v>
      </c>
      <c r="R336" s="36">
        <v>0.12599769999999999</v>
      </c>
      <c r="S336" s="36">
        <v>0.63424659999999999</v>
      </c>
      <c r="T336" s="36">
        <v>0.6615491</v>
      </c>
      <c r="U336" s="36">
        <v>0.68107200000000001</v>
      </c>
      <c r="V336" s="393">
        <v>1</v>
      </c>
      <c r="W336" s="36">
        <v>0.28719729999999999</v>
      </c>
      <c r="X336" s="36">
        <v>0.41315429999999997</v>
      </c>
      <c r="Y336" s="36">
        <v>0.68776559999999998</v>
      </c>
      <c r="Z336" s="36">
        <v>0.7235374</v>
      </c>
      <c r="AA336" s="36">
        <v>0.75232180000000004</v>
      </c>
      <c r="AB336" s="393">
        <v>1</v>
      </c>
    </row>
    <row r="337" spans="2:28" ht="0.5" customHeight="1">
      <c r="B337" s="9" t="s">
        <v>56</v>
      </c>
      <c r="C337" s="9" t="str">
        <f t="shared" si="61"/>
        <v>Peru48</v>
      </c>
      <c r="D337" s="9">
        <v>48</v>
      </c>
      <c r="E337" s="36">
        <v>0.11657339999999999</v>
      </c>
      <c r="F337" s="36">
        <v>0.40893990000000002</v>
      </c>
      <c r="G337" s="36">
        <v>0.79874650000000003</v>
      </c>
      <c r="H337" s="36">
        <v>0.89545929999999996</v>
      </c>
      <c r="I337" s="36">
        <v>0.92449890000000001</v>
      </c>
      <c r="J337" s="393">
        <v>1</v>
      </c>
      <c r="K337" s="36">
        <v>0.41249449999999999</v>
      </c>
      <c r="L337" s="36">
        <v>0.58698139999999999</v>
      </c>
      <c r="M337" s="36">
        <v>0.83813539999999997</v>
      </c>
      <c r="N337" s="36">
        <v>0.93931310000000001</v>
      </c>
      <c r="O337" s="36">
        <v>0.96093779999999995</v>
      </c>
      <c r="P337" s="393">
        <v>1</v>
      </c>
      <c r="Q337" s="36">
        <v>1.4808099999999999E-2</v>
      </c>
      <c r="R337" s="36">
        <v>0.1229415</v>
      </c>
      <c r="S337" s="36">
        <v>0.63132670000000002</v>
      </c>
      <c r="T337" s="36">
        <v>0.65848150000000005</v>
      </c>
      <c r="U337" s="36">
        <v>0.67772520000000003</v>
      </c>
      <c r="V337" s="393">
        <v>1</v>
      </c>
      <c r="W337" s="36">
        <v>0.28510530000000001</v>
      </c>
      <c r="X337" s="36">
        <v>0.4070531</v>
      </c>
      <c r="Y337" s="36">
        <v>0.68151470000000003</v>
      </c>
      <c r="Z337" s="36">
        <v>0.71710130000000005</v>
      </c>
      <c r="AA337" s="36">
        <v>0.74559690000000001</v>
      </c>
      <c r="AB337" s="393">
        <v>1</v>
      </c>
    </row>
    <row r="338" spans="2:28" ht="0.5" customHeight="1">
      <c r="B338" s="9" t="s">
        <v>56</v>
      </c>
      <c r="C338" s="9" t="str">
        <f t="shared" si="61"/>
        <v>Peru49</v>
      </c>
      <c r="D338" s="9">
        <v>49</v>
      </c>
      <c r="E338" s="36">
        <v>0.1193659</v>
      </c>
      <c r="F338" s="36">
        <v>0.40027560000000001</v>
      </c>
      <c r="G338" s="36">
        <v>0.79461959999999998</v>
      </c>
      <c r="H338" s="36">
        <v>0.89022049999999997</v>
      </c>
      <c r="I338" s="36">
        <v>0.92075879999999999</v>
      </c>
      <c r="J338" s="393">
        <v>1</v>
      </c>
      <c r="K338" s="36">
        <v>0.40895130000000002</v>
      </c>
      <c r="L338" s="36">
        <v>0.58024200000000004</v>
      </c>
      <c r="M338" s="36">
        <v>0.83472179999999996</v>
      </c>
      <c r="N338" s="36">
        <v>0.93275549999999996</v>
      </c>
      <c r="O338" s="36">
        <v>0.95513190000000003</v>
      </c>
      <c r="P338" s="393">
        <v>1</v>
      </c>
      <c r="Q338" s="36">
        <v>1.4326999999999999E-2</v>
      </c>
      <c r="R338" s="36">
        <v>0.1172209</v>
      </c>
      <c r="S338" s="36">
        <v>0.62130390000000002</v>
      </c>
      <c r="T338" s="36">
        <v>0.64774759999999998</v>
      </c>
      <c r="U338" s="36">
        <v>0.66643280000000005</v>
      </c>
      <c r="V338" s="393">
        <v>1</v>
      </c>
      <c r="W338" s="36">
        <v>0.27870089999999997</v>
      </c>
      <c r="X338" s="36">
        <v>0.39439849999999999</v>
      </c>
      <c r="Y338" s="36">
        <v>0.66578230000000005</v>
      </c>
      <c r="Z338" s="36">
        <v>0.70084179999999996</v>
      </c>
      <c r="AA338" s="36">
        <v>0.72897140000000005</v>
      </c>
      <c r="AB338" s="393">
        <v>1</v>
      </c>
    </row>
    <row r="339" spans="2:28" ht="0.5" customHeight="1">
      <c r="B339" s="9" t="s">
        <v>56</v>
      </c>
      <c r="C339" s="9" t="str">
        <f t="shared" si="61"/>
        <v>Peru50</v>
      </c>
      <c r="D339" s="9">
        <v>50</v>
      </c>
      <c r="E339" s="36">
        <v>0.1224186</v>
      </c>
      <c r="F339" s="36">
        <v>0.39642640000000001</v>
      </c>
      <c r="G339" s="36">
        <v>0.79239459999999995</v>
      </c>
      <c r="H339" s="36">
        <v>0.88764140000000002</v>
      </c>
      <c r="I339" s="36">
        <v>0.91858450000000003</v>
      </c>
      <c r="J339" s="393">
        <v>1</v>
      </c>
      <c r="K339" s="36">
        <v>0.40641270000000002</v>
      </c>
      <c r="L339" s="36">
        <v>0.57505099999999998</v>
      </c>
      <c r="M339" s="36">
        <v>0.83239719999999995</v>
      </c>
      <c r="N339" s="36">
        <v>0.92851539999999999</v>
      </c>
      <c r="O339" s="36">
        <v>0.95129980000000003</v>
      </c>
      <c r="P339" s="393">
        <v>1</v>
      </c>
      <c r="Q339" s="36">
        <v>1.4062099999999999E-2</v>
      </c>
      <c r="R339" s="36">
        <v>0.11505659999999999</v>
      </c>
      <c r="S339" s="36">
        <v>0.61434449999999996</v>
      </c>
      <c r="T339" s="36">
        <v>0.64041780000000004</v>
      </c>
      <c r="U339" s="36">
        <v>0.6589043</v>
      </c>
      <c r="V339" s="393">
        <v>1</v>
      </c>
      <c r="W339" s="36">
        <v>0.27181569999999999</v>
      </c>
      <c r="X339" s="36">
        <v>0.38586300000000001</v>
      </c>
      <c r="Y339" s="36">
        <v>0.65428660000000005</v>
      </c>
      <c r="Z339" s="36">
        <v>0.68903709999999996</v>
      </c>
      <c r="AA339" s="36">
        <v>0.71705839999999998</v>
      </c>
      <c r="AB339" s="393">
        <v>1</v>
      </c>
    </row>
    <row r="340" spans="2:28" ht="0.5" customHeight="1">
      <c r="B340" s="9" t="s">
        <v>56</v>
      </c>
      <c r="C340" s="9" t="str">
        <f t="shared" si="61"/>
        <v>Peru51</v>
      </c>
      <c r="D340" s="9">
        <v>51</v>
      </c>
      <c r="E340" s="36">
        <v>0.12618599999999999</v>
      </c>
      <c r="F340" s="36">
        <v>0.39312140000000001</v>
      </c>
      <c r="G340" s="36">
        <v>0.79061380000000003</v>
      </c>
      <c r="H340" s="36">
        <v>0.88530089999999995</v>
      </c>
      <c r="I340" s="36">
        <v>0.91659020000000002</v>
      </c>
      <c r="J340" s="393">
        <v>1</v>
      </c>
      <c r="K340" s="36">
        <v>0.40371069999999998</v>
      </c>
      <c r="L340" s="36">
        <v>0.56946949999999996</v>
      </c>
      <c r="M340" s="36">
        <v>0.82984579999999997</v>
      </c>
      <c r="N340" s="36">
        <v>0.92373349999999999</v>
      </c>
      <c r="O340" s="36">
        <v>0.94700969999999995</v>
      </c>
      <c r="P340" s="393">
        <v>1</v>
      </c>
      <c r="Q340" s="36">
        <v>1.3790999999999999E-2</v>
      </c>
      <c r="R340" s="36">
        <v>0.1129156</v>
      </c>
      <c r="S340" s="36">
        <v>0.6070972</v>
      </c>
      <c r="T340" s="36">
        <v>0.6328433</v>
      </c>
      <c r="U340" s="36">
        <v>0.65116909999999995</v>
      </c>
      <c r="V340" s="393">
        <v>1</v>
      </c>
      <c r="W340" s="36">
        <v>0.26594899999999999</v>
      </c>
      <c r="X340" s="36">
        <v>0.37894260000000002</v>
      </c>
      <c r="Y340" s="36">
        <v>0.64411110000000005</v>
      </c>
      <c r="Z340" s="36">
        <v>0.67849250000000005</v>
      </c>
      <c r="AA340" s="36">
        <v>0.70654950000000005</v>
      </c>
      <c r="AB340" s="393">
        <v>1</v>
      </c>
    </row>
    <row r="341" spans="2:28" ht="0.5" customHeight="1">
      <c r="B341" s="9" t="s">
        <v>56</v>
      </c>
      <c r="C341" s="9" t="str">
        <f t="shared" si="61"/>
        <v>Peru52</v>
      </c>
      <c r="D341" s="9">
        <v>52</v>
      </c>
      <c r="E341" s="36">
        <v>0.13511049999999999</v>
      </c>
      <c r="F341" s="36">
        <v>0.38822269999999998</v>
      </c>
      <c r="G341" s="36">
        <v>0.7879813</v>
      </c>
      <c r="H341" s="36">
        <v>0.88008909999999996</v>
      </c>
      <c r="I341" s="36">
        <v>0.91191979999999995</v>
      </c>
      <c r="J341" s="393">
        <v>1</v>
      </c>
      <c r="K341" s="36">
        <v>0.39442110000000002</v>
      </c>
      <c r="L341" s="36">
        <v>0.55676250000000005</v>
      </c>
      <c r="M341" s="36">
        <v>0.82156850000000003</v>
      </c>
      <c r="N341" s="36">
        <v>0.91194549999999996</v>
      </c>
      <c r="O341" s="36">
        <v>0.9378396</v>
      </c>
      <c r="P341" s="393">
        <v>1</v>
      </c>
      <c r="Q341" s="36">
        <v>1.32952E-2</v>
      </c>
      <c r="R341" s="36">
        <v>0.1081461</v>
      </c>
      <c r="S341" s="36">
        <v>0.58896970000000004</v>
      </c>
      <c r="T341" s="36">
        <v>0.61424619999999996</v>
      </c>
      <c r="U341" s="36">
        <v>0.63244809999999996</v>
      </c>
      <c r="V341" s="393">
        <v>1</v>
      </c>
      <c r="W341" s="36">
        <v>0.25482680000000002</v>
      </c>
      <c r="X341" s="36">
        <v>0.36343940000000002</v>
      </c>
      <c r="Y341" s="36">
        <v>0.61983750000000004</v>
      </c>
      <c r="Z341" s="36">
        <v>0.65384249999999999</v>
      </c>
      <c r="AA341" s="36">
        <v>0.68182019999999999</v>
      </c>
      <c r="AB341" s="393">
        <v>1</v>
      </c>
    </row>
    <row r="342" spans="2:28" ht="0.5" customHeight="1">
      <c r="B342" s="9" t="s">
        <v>56</v>
      </c>
      <c r="C342" s="9" t="str">
        <f t="shared" si="61"/>
        <v>Peru53</v>
      </c>
      <c r="D342" s="9">
        <v>53</v>
      </c>
      <c r="E342" s="36">
        <v>0.14080999999999999</v>
      </c>
      <c r="F342" s="36">
        <v>0.38749729999999999</v>
      </c>
      <c r="G342" s="36">
        <v>0.78682490000000005</v>
      </c>
      <c r="H342" s="36">
        <v>0.87756199999999995</v>
      </c>
      <c r="I342" s="36">
        <v>0.90954069999999998</v>
      </c>
      <c r="J342" s="393">
        <v>1</v>
      </c>
      <c r="K342" s="36">
        <v>0.38946409999999998</v>
      </c>
      <c r="L342" s="36">
        <v>0.54710700000000001</v>
      </c>
      <c r="M342" s="36">
        <v>0.81499750000000004</v>
      </c>
      <c r="N342" s="36">
        <v>0.90374889999999997</v>
      </c>
      <c r="O342" s="36">
        <v>0.93119470000000004</v>
      </c>
      <c r="P342" s="393">
        <v>1</v>
      </c>
      <c r="Q342" s="36">
        <v>1.3056399999999999E-2</v>
      </c>
      <c r="R342" s="36">
        <v>0.1055648</v>
      </c>
      <c r="S342" s="36">
        <v>0.57775160000000003</v>
      </c>
      <c r="T342" s="36">
        <v>0.60282239999999998</v>
      </c>
      <c r="U342" s="36">
        <v>0.62106669999999997</v>
      </c>
      <c r="V342" s="393">
        <v>1</v>
      </c>
      <c r="W342" s="36">
        <v>0.25141809999999998</v>
      </c>
      <c r="X342" s="36">
        <v>0.35631279999999999</v>
      </c>
      <c r="Y342" s="36">
        <v>0.60810989999999998</v>
      </c>
      <c r="Z342" s="36">
        <v>0.64194150000000005</v>
      </c>
      <c r="AA342" s="36">
        <v>0.6698288</v>
      </c>
      <c r="AB342" s="393">
        <v>1</v>
      </c>
    </row>
    <row r="343" spans="2:28" ht="0.5" customHeight="1">
      <c r="B343" s="9" t="s">
        <v>56</v>
      </c>
      <c r="C343" s="9" t="str">
        <f t="shared" si="61"/>
        <v>Peru54</v>
      </c>
      <c r="D343" s="9">
        <v>54</v>
      </c>
      <c r="E343" s="36">
        <v>0.1528881</v>
      </c>
      <c r="F343" s="36">
        <v>0.38776060000000001</v>
      </c>
      <c r="G343" s="36">
        <v>0.78321980000000002</v>
      </c>
      <c r="H343" s="36">
        <v>0.87302939999999996</v>
      </c>
      <c r="I343" s="36">
        <v>0.90468959999999998</v>
      </c>
      <c r="J343" s="393">
        <v>1</v>
      </c>
      <c r="K343" s="36">
        <v>0.37599569999999999</v>
      </c>
      <c r="L343" s="36">
        <v>0.52630909999999997</v>
      </c>
      <c r="M343" s="36">
        <v>0.79868189999999994</v>
      </c>
      <c r="N343" s="36">
        <v>0.88661160000000006</v>
      </c>
      <c r="O343" s="36">
        <v>0.91866499999999995</v>
      </c>
      <c r="P343" s="393">
        <v>1</v>
      </c>
      <c r="Q343" s="36">
        <v>1.2733400000000001E-2</v>
      </c>
      <c r="R343" s="36">
        <v>9.93613E-2</v>
      </c>
      <c r="S343" s="36">
        <v>0.55052480000000004</v>
      </c>
      <c r="T343" s="36">
        <v>0.57503309999999996</v>
      </c>
      <c r="U343" s="36">
        <v>0.59370210000000001</v>
      </c>
      <c r="V343" s="393">
        <v>1</v>
      </c>
      <c r="W343" s="36">
        <v>0.25132660000000001</v>
      </c>
      <c r="X343" s="36">
        <v>0.34893740000000001</v>
      </c>
      <c r="Y343" s="36">
        <v>0.59026970000000001</v>
      </c>
      <c r="Z343" s="36">
        <v>0.6226121</v>
      </c>
      <c r="AA343" s="36">
        <v>0.6502135</v>
      </c>
      <c r="AB343" s="393">
        <v>1</v>
      </c>
    </row>
    <row r="344" spans="2:28" ht="0.5" customHeight="1">
      <c r="B344" s="9" t="s">
        <v>56</v>
      </c>
      <c r="C344" s="9" t="str">
        <f t="shared" si="61"/>
        <v>Peru55</v>
      </c>
      <c r="D344" s="9">
        <v>55</v>
      </c>
      <c r="E344" s="36">
        <v>0.1576448</v>
      </c>
      <c r="F344" s="36">
        <v>0.3881462</v>
      </c>
      <c r="G344" s="36">
        <v>0.78130390000000005</v>
      </c>
      <c r="H344" s="36">
        <v>0.87099680000000002</v>
      </c>
      <c r="I344" s="36">
        <v>0.90209850000000003</v>
      </c>
      <c r="J344" s="393">
        <v>1</v>
      </c>
      <c r="K344" s="36">
        <v>0.36945919999999999</v>
      </c>
      <c r="L344" s="36">
        <v>0.51013799999999998</v>
      </c>
      <c r="M344" s="36">
        <v>0.78036950000000005</v>
      </c>
      <c r="N344" s="36">
        <v>0.86955970000000005</v>
      </c>
      <c r="O344" s="36">
        <v>0.90474860000000001</v>
      </c>
      <c r="P344" s="393">
        <v>1</v>
      </c>
      <c r="Q344" s="36">
        <v>1.26882E-2</v>
      </c>
      <c r="R344" s="36">
        <v>9.5434699999999997E-2</v>
      </c>
      <c r="S344" s="36">
        <v>0.53282459999999998</v>
      </c>
      <c r="T344" s="36">
        <v>0.55691840000000004</v>
      </c>
      <c r="U344" s="36">
        <v>0.57592410000000005</v>
      </c>
      <c r="V344" s="393">
        <v>1</v>
      </c>
      <c r="W344" s="36">
        <v>0.24989130000000001</v>
      </c>
      <c r="X344" s="36">
        <v>0.34557549999999998</v>
      </c>
      <c r="Y344" s="36">
        <v>0.58141089999999995</v>
      </c>
      <c r="Z344" s="36">
        <v>0.6118304</v>
      </c>
      <c r="AA344" s="36">
        <v>0.64082209999999995</v>
      </c>
      <c r="AB344" s="393">
        <v>1</v>
      </c>
    </row>
    <row r="345" spans="2:28" ht="0.5" customHeight="1">
      <c r="B345" s="9" t="s">
        <v>45</v>
      </c>
      <c r="C345" s="9" t="str">
        <f t="shared" si="61"/>
        <v>Ecuador20</v>
      </c>
      <c r="D345" s="9">
        <v>20</v>
      </c>
      <c r="E345" s="36">
        <v>6.4560900000000004E-2</v>
      </c>
      <c r="F345" s="36">
        <v>0.56088819999999995</v>
      </c>
      <c r="G345" s="36">
        <v>0.6483447</v>
      </c>
      <c r="H345" s="36">
        <v>0.65496160000000003</v>
      </c>
      <c r="I345" s="36">
        <v>0.73491479999999998</v>
      </c>
      <c r="J345" s="393">
        <v>1</v>
      </c>
      <c r="K345" s="36">
        <v>0.1039394</v>
      </c>
      <c r="L345" s="36">
        <v>0.35038799999999998</v>
      </c>
      <c r="M345" s="36">
        <v>0.3884281</v>
      </c>
      <c r="N345" s="36">
        <v>0.39481460000000002</v>
      </c>
      <c r="O345" s="36">
        <v>0.49458429999999998</v>
      </c>
      <c r="P345" s="393">
        <v>1</v>
      </c>
      <c r="Q345" s="36">
        <v>2.19309E-2</v>
      </c>
      <c r="R345" s="36">
        <v>0.19903109999999999</v>
      </c>
      <c r="S345" s="36">
        <v>0.25812760000000001</v>
      </c>
      <c r="T345" s="36">
        <v>0.26039859999999998</v>
      </c>
      <c r="U345" s="36">
        <v>0.30776690000000001</v>
      </c>
      <c r="V345" s="393">
        <v>1</v>
      </c>
      <c r="W345" s="36">
        <v>7.7904500000000002E-2</v>
      </c>
      <c r="X345" s="36">
        <v>0.22981940000000001</v>
      </c>
      <c r="Y345" s="36">
        <v>0.25887640000000001</v>
      </c>
      <c r="Z345" s="36">
        <v>0.26229140000000001</v>
      </c>
      <c r="AA345" s="36">
        <v>0.34882629999999998</v>
      </c>
      <c r="AB345" s="393">
        <v>1</v>
      </c>
    </row>
    <row r="346" spans="2:28" ht="0.5" customHeight="1">
      <c r="B346" s="9" t="s">
        <v>45</v>
      </c>
      <c r="C346" s="9" t="str">
        <f t="shared" si="61"/>
        <v>Ecuador21</v>
      </c>
      <c r="D346" s="9">
        <v>21</v>
      </c>
      <c r="E346" s="36">
        <v>8.2592600000000002E-2</v>
      </c>
      <c r="F346" s="36">
        <v>0.59020410000000001</v>
      </c>
      <c r="G346" s="36">
        <v>0.69001849999999998</v>
      </c>
      <c r="H346" s="36">
        <v>0.69973949999999996</v>
      </c>
      <c r="I346" s="36">
        <v>0.77711859999999999</v>
      </c>
      <c r="J346" s="393">
        <v>1</v>
      </c>
      <c r="K346" s="36">
        <v>0.13609009999999999</v>
      </c>
      <c r="L346" s="36">
        <v>0.38986470000000001</v>
      </c>
      <c r="M346" s="36">
        <v>0.43714459999999999</v>
      </c>
      <c r="N346" s="36">
        <v>0.44685760000000002</v>
      </c>
      <c r="O346" s="36">
        <v>0.54321759999999997</v>
      </c>
      <c r="P346" s="393">
        <v>1</v>
      </c>
      <c r="Q346" s="36">
        <v>2.5181499999999999E-2</v>
      </c>
      <c r="R346" s="36">
        <v>0.20020370000000001</v>
      </c>
      <c r="S346" s="36">
        <v>0.26606809999999997</v>
      </c>
      <c r="T346" s="36">
        <v>0.26876990000000001</v>
      </c>
      <c r="U346" s="36">
        <v>0.31569999999999998</v>
      </c>
      <c r="V346" s="393">
        <v>1</v>
      </c>
      <c r="W346" s="36">
        <v>0.1009168</v>
      </c>
      <c r="X346" s="36">
        <v>0.25995699999999999</v>
      </c>
      <c r="Y346" s="36">
        <v>0.2948211</v>
      </c>
      <c r="Z346" s="36">
        <v>0.29899199999999998</v>
      </c>
      <c r="AA346" s="36">
        <v>0.38481860000000001</v>
      </c>
      <c r="AB346" s="393">
        <v>1</v>
      </c>
    </row>
    <row r="347" spans="2:28" ht="0.5" customHeight="1">
      <c r="B347" s="9" t="s">
        <v>45</v>
      </c>
      <c r="C347" s="9" t="str">
        <f t="shared" si="61"/>
        <v>Ecuador22</v>
      </c>
      <c r="D347" s="9">
        <v>22</v>
      </c>
      <c r="E347" s="36">
        <v>0.1131458</v>
      </c>
      <c r="F347" s="36">
        <v>0.63107650000000004</v>
      </c>
      <c r="G347" s="36">
        <v>0.75445059999999997</v>
      </c>
      <c r="H347" s="36">
        <v>0.76939729999999995</v>
      </c>
      <c r="I347" s="36">
        <v>0.84026909999999999</v>
      </c>
      <c r="J347" s="393">
        <v>1</v>
      </c>
      <c r="K347" s="36">
        <v>0.20043050000000001</v>
      </c>
      <c r="L347" s="36">
        <v>0.46445249999999999</v>
      </c>
      <c r="M347" s="36">
        <v>0.53150209999999998</v>
      </c>
      <c r="N347" s="36">
        <v>0.54744720000000002</v>
      </c>
      <c r="O347" s="36">
        <v>0.63688199999999995</v>
      </c>
      <c r="P347" s="393">
        <v>1</v>
      </c>
      <c r="Q347" s="36">
        <v>3.0674400000000001E-2</v>
      </c>
      <c r="R347" s="36">
        <v>0.2006627</v>
      </c>
      <c r="S347" s="36">
        <v>0.2814062</v>
      </c>
      <c r="T347" s="36">
        <v>0.28483950000000002</v>
      </c>
      <c r="U347" s="36">
        <v>0.33059640000000001</v>
      </c>
      <c r="V347" s="393">
        <v>1</v>
      </c>
      <c r="W347" s="36">
        <v>0.15171219999999999</v>
      </c>
      <c r="X347" s="36">
        <v>0.32205610000000001</v>
      </c>
      <c r="Y347" s="36">
        <v>0.37018200000000001</v>
      </c>
      <c r="Z347" s="36">
        <v>0.37648500000000001</v>
      </c>
      <c r="AA347" s="36">
        <v>0.46152609999999999</v>
      </c>
      <c r="AB347" s="393">
        <v>1</v>
      </c>
    </row>
    <row r="348" spans="2:28" ht="0.5" customHeight="1">
      <c r="B348" s="9" t="s">
        <v>45</v>
      </c>
      <c r="C348" s="9" t="str">
        <f t="shared" si="61"/>
        <v>Ecuador23</v>
      </c>
      <c r="D348" s="9">
        <v>23</v>
      </c>
      <c r="E348" s="36">
        <v>0.1268582</v>
      </c>
      <c r="F348" s="36">
        <v>0.64474310000000001</v>
      </c>
      <c r="G348" s="36">
        <v>0.77945850000000005</v>
      </c>
      <c r="H348" s="36">
        <v>0.79681789999999997</v>
      </c>
      <c r="I348" s="36">
        <v>0.86427370000000003</v>
      </c>
      <c r="J348" s="393">
        <v>1</v>
      </c>
      <c r="K348" s="36">
        <v>0.23311509999999999</v>
      </c>
      <c r="L348" s="36">
        <v>0.50115829999999995</v>
      </c>
      <c r="M348" s="36">
        <v>0.57818890000000001</v>
      </c>
      <c r="N348" s="36">
        <v>0.59756200000000004</v>
      </c>
      <c r="O348" s="36">
        <v>0.68324499999999999</v>
      </c>
      <c r="P348" s="393">
        <v>1</v>
      </c>
      <c r="Q348" s="36">
        <v>3.2750599999999998E-2</v>
      </c>
      <c r="R348" s="36">
        <v>0.19950870000000001</v>
      </c>
      <c r="S348" s="36">
        <v>0.28788000000000002</v>
      </c>
      <c r="T348" s="36">
        <v>0.29170659999999998</v>
      </c>
      <c r="U348" s="36">
        <v>0.33664179999999999</v>
      </c>
      <c r="V348" s="393">
        <v>1</v>
      </c>
      <c r="W348" s="36">
        <v>0.17812210000000001</v>
      </c>
      <c r="X348" s="36">
        <v>0.3523366</v>
      </c>
      <c r="Y348" s="36">
        <v>0.40780830000000001</v>
      </c>
      <c r="Z348" s="36">
        <v>0.41531079999999998</v>
      </c>
      <c r="AA348" s="36">
        <v>0.49937700000000002</v>
      </c>
      <c r="AB348" s="393">
        <v>1</v>
      </c>
    </row>
    <row r="349" spans="2:28" ht="0.5" customHeight="1">
      <c r="B349" s="9" t="s">
        <v>45</v>
      </c>
      <c r="C349" s="9" t="str">
        <f t="shared" si="61"/>
        <v>Ecuador24</v>
      </c>
      <c r="D349" s="9">
        <v>24</v>
      </c>
      <c r="E349" s="36">
        <v>0.14847859999999999</v>
      </c>
      <c r="F349" s="36">
        <v>0.65803809999999996</v>
      </c>
      <c r="G349" s="36">
        <v>0.81594149999999999</v>
      </c>
      <c r="H349" s="36">
        <v>0.83782380000000001</v>
      </c>
      <c r="I349" s="36">
        <v>0.8988874</v>
      </c>
      <c r="J349" s="393">
        <v>1</v>
      </c>
      <c r="K349" s="36">
        <v>0.2990448</v>
      </c>
      <c r="L349" s="36">
        <v>0.57147990000000004</v>
      </c>
      <c r="M349" s="36">
        <v>0.66847040000000002</v>
      </c>
      <c r="N349" s="36">
        <v>0.69515689999999997</v>
      </c>
      <c r="O349" s="36">
        <v>0.77220699999999998</v>
      </c>
      <c r="P349" s="393">
        <v>1</v>
      </c>
      <c r="Q349" s="36">
        <v>3.5904100000000001E-2</v>
      </c>
      <c r="R349" s="36">
        <v>0.19526930000000001</v>
      </c>
      <c r="S349" s="36">
        <v>0.29852240000000002</v>
      </c>
      <c r="T349" s="36">
        <v>0.30328100000000002</v>
      </c>
      <c r="U349" s="36">
        <v>0.34636719999999999</v>
      </c>
      <c r="V349" s="393">
        <v>1</v>
      </c>
      <c r="W349" s="36">
        <v>0.22778190000000001</v>
      </c>
      <c r="X349" s="36">
        <v>0.40475250000000002</v>
      </c>
      <c r="Y349" s="36">
        <v>0.47534690000000002</v>
      </c>
      <c r="Z349" s="36">
        <v>0.4854465</v>
      </c>
      <c r="AA349" s="36">
        <v>0.56698700000000002</v>
      </c>
      <c r="AB349" s="393">
        <v>1</v>
      </c>
    </row>
    <row r="350" spans="2:28" ht="0.5" customHeight="1">
      <c r="B350" s="9" t="s">
        <v>45</v>
      </c>
      <c r="C350" s="9" t="str">
        <f t="shared" si="61"/>
        <v>Ecuador25</v>
      </c>
      <c r="D350" s="9">
        <v>25</v>
      </c>
      <c r="E350" s="36">
        <v>0.156471</v>
      </c>
      <c r="F350" s="36">
        <v>0.65818379999999999</v>
      </c>
      <c r="G350" s="36">
        <v>0.82736229999999999</v>
      </c>
      <c r="H350" s="36">
        <v>0.8513423</v>
      </c>
      <c r="I350" s="36">
        <v>0.90933949999999997</v>
      </c>
      <c r="J350" s="393">
        <v>1</v>
      </c>
      <c r="K350" s="36">
        <v>0.3296576</v>
      </c>
      <c r="L350" s="36">
        <v>0.60242510000000005</v>
      </c>
      <c r="M350" s="36">
        <v>0.7094336</v>
      </c>
      <c r="N350" s="36">
        <v>0.73991320000000005</v>
      </c>
      <c r="O350" s="36">
        <v>0.81228330000000004</v>
      </c>
      <c r="P350" s="393">
        <v>1</v>
      </c>
      <c r="Q350" s="36">
        <v>3.7117799999999999E-2</v>
      </c>
      <c r="R350" s="36">
        <v>0.19287180000000001</v>
      </c>
      <c r="S350" s="36">
        <v>0.30349140000000002</v>
      </c>
      <c r="T350" s="36">
        <v>0.30874970000000002</v>
      </c>
      <c r="U350" s="36">
        <v>0.35081370000000001</v>
      </c>
      <c r="V350" s="393">
        <v>1</v>
      </c>
      <c r="W350" s="36">
        <v>0.24815319999999999</v>
      </c>
      <c r="X350" s="36">
        <v>0.42346430000000002</v>
      </c>
      <c r="Y350" s="36">
        <v>0.50185420000000003</v>
      </c>
      <c r="Z350" s="36">
        <v>0.51330779999999998</v>
      </c>
      <c r="AA350" s="36">
        <v>0.59317609999999998</v>
      </c>
      <c r="AB350" s="393">
        <v>1</v>
      </c>
    </row>
    <row r="351" spans="2:28" ht="0.5" customHeight="1">
      <c r="B351" s="9" t="s">
        <v>45</v>
      </c>
      <c r="C351" s="9" t="str">
        <f t="shared" si="61"/>
        <v>Ecuador26</v>
      </c>
      <c r="D351" s="9">
        <v>26</v>
      </c>
      <c r="E351" s="36">
        <v>0.1624014</v>
      </c>
      <c r="F351" s="36">
        <v>0.65604119999999999</v>
      </c>
      <c r="G351" s="36">
        <v>0.83605220000000002</v>
      </c>
      <c r="H351" s="36">
        <v>0.86182550000000002</v>
      </c>
      <c r="I351" s="36">
        <v>0.91666740000000002</v>
      </c>
      <c r="J351" s="393">
        <v>1</v>
      </c>
      <c r="K351" s="36">
        <v>0.3585351</v>
      </c>
      <c r="L351" s="36">
        <v>0.6295077</v>
      </c>
      <c r="M351" s="36">
        <v>0.74601989999999996</v>
      </c>
      <c r="N351" s="36">
        <v>0.78026629999999997</v>
      </c>
      <c r="O351" s="36">
        <v>0.84810949999999996</v>
      </c>
      <c r="P351" s="393">
        <v>1</v>
      </c>
      <c r="Q351" s="36">
        <v>3.8110499999999999E-2</v>
      </c>
      <c r="R351" s="36">
        <v>0.1906783</v>
      </c>
      <c r="S351" s="36">
        <v>0.30854470000000001</v>
      </c>
      <c r="T351" s="36">
        <v>0.31433670000000002</v>
      </c>
      <c r="U351" s="36">
        <v>0.3550469</v>
      </c>
      <c r="V351" s="393">
        <v>1</v>
      </c>
      <c r="W351" s="36">
        <v>0.2654338</v>
      </c>
      <c r="X351" s="36">
        <v>0.43770949999999997</v>
      </c>
      <c r="Y351" s="36">
        <v>0.52363199999999999</v>
      </c>
      <c r="Z351" s="36">
        <v>0.53636779999999995</v>
      </c>
      <c r="AA351" s="36">
        <v>0.61403609999999997</v>
      </c>
      <c r="AB351" s="393">
        <v>1</v>
      </c>
    </row>
    <row r="352" spans="2:28" ht="0.5" customHeight="1">
      <c r="B352" s="9" t="s">
        <v>45</v>
      </c>
      <c r="C352" s="9" t="str">
        <f t="shared" si="61"/>
        <v>Ecuador27</v>
      </c>
      <c r="D352" s="9">
        <v>27</v>
      </c>
      <c r="E352" s="36">
        <v>0.16949059999999999</v>
      </c>
      <c r="F352" s="36">
        <v>0.64783670000000004</v>
      </c>
      <c r="G352" s="36">
        <v>0.848132</v>
      </c>
      <c r="H352" s="36">
        <v>0.87736159999999996</v>
      </c>
      <c r="I352" s="36">
        <v>0.92641580000000001</v>
      </c>
      <c r="J352" s="393">
        <v>1</v>
      </c>
      <c r="K352" s="36">
        <v>0.40346379999999998</v>
      </c>
      <c r="L352" s="36">
        <v>0.66569279999999997</v>
      </c>
      <c r="M352" s="36">
        <v>0.8002515</v>
      </c>
      <c r="N352" s="36">
        <v>0.84259810000000002</v>
      </c>
      <c r="O352" s="36">
        <v>0.90248629999999996</v>
      </c>
      <c r="P352" s="393">
        <v>1</v>
      </c>
      <c r="Q352" s="36">
        <v>3.9278500000000001E-2</v>
      </c>
      <c r="R352" s="36">
        <v>0.18536659999999999</v>
      </c>
      <c r="S352" s="36">
        <v>0.31734970000000001</v>
      </c>
      <c r="T352" s="36">
        <v>0.32435160000000002</v>
      </c>
      <c r="U352" s="36">
        <v>0.36228270000000001</v>
      </c>
      <c r="V352" s="393">
        <v>1</v>
      </c>
      <c r="W352" s="36">
        <v>0.28916989999999998</v>
      </c>
      <c r="X352" s="36">
        <v>0.4528025</v>
      </c>
      <c r="Y352" s="36">
        <v>0.55278430000000001</v>
      </c>
      <c r="Z352" s="36">
        <v>0.56846810000000003</v>
      </c>
      <c r="AA352" s="36">
        <v>0.63978389999999996</v>
      </c>
      <c r="AB352" s="393">
        <v>1</v>
      </c>
    </row>
    <row r="353" spans="2:28" ht="0.5" customHeight="1">
      <c r="B353" s="9" t="s">
        <v>45</v>
      </c>
      <c r="C353" s="9" t="str">
        <f t="shared" si="61"/>
        <v>Ecuador28</v>
      </c>
      <c r="D353" s="9">
        <v>28</v>
      </c>
      <c r="E353" s="36">
        <v>0.1712494</v>
      </c>
      <c r="F353" s="36">
        <v>0.64161049999999997</v>
      </c>
      <c r="G353" s="36">
        <v>0.85168429999999995</v>
      </c>
      <c r="H353" s="36">
        <v>0.8825558</v>
      </c>
      <c r="I353" s="36">
        <v>0.92918900000000004</v>
      </c>
      <c r="J353" s="393">
        <v>1</v>
      </c>
      <c r="K353" s="36">
        <v>0.42062060000000001</v>
      </c>
      <c r="L353" s="36">
        <v>0.67663960000000001</v>
      </c>
      <c r="M353" s="36">
        <v>0.81958470000000005</v>
      </c>
      <c r="N353" s="36">
        <v>0.86597400000000002</v>
      </c>
      <c r="O353" s="36">
        <v>0.92193999999999998</v>
      </c>
      <c r="P353" s="393">
        <v>1</v>
      </c>
      <c r="Q353" s="36">
        <v>3.9693800000000001E-2</v>
      </c>
      <c r="R353" s="36">
        <v>0.18282590000000001</v>
      </c>
      <c r="S353" s="36">
        <v>0.32175290000000001</v>
      </c>
      <c r="T353" s="36">
        <v>0.32935969999999998</v>
      </c>
      <c r="U353" s="36">
        <v>0.36565019999999998</v>
      </c>
      <c r="V353" s="393">
        <v>1</v>
      </c>
      <c r="W353" s="36">
        <v>0.29764449999999998</v>
      </c>
      <c r="X353" s="36">
        <v>0.45680789999999999</v>
      </c>
      <c r="Y353" s="36">
        <v>0.56281749999999997</v>
      </c>
      <c r="Z353" s="36">
        <v>0.5799552</v>
      </c>
      <c r="AA353" s="36">
        <v>0.64794450000000003</v>
      </c>
      <c r="AB353" s="393">
        <v>1</v>
      </c>
    </row>
    <row r="354" spans="2:28" ht="0.5" customHeight="1">
      <c r="B354" s="9" t="s">
        <v>45</v>
      </c>
      <c r="C354" s="9" t="str">
        <f t="shared" si="61"/>
        <v>Ecuador29</v>
      </c>
      <c r="D354" s="9">
        <v>29</v>
      </c>
      <c r="E354" s="36">
        <v>0.1753622</v>
      </c>
      <c r="F354" s="36">
        <v>0.63238850000000002</v>
      </c>
      <c r="G354" s="36">
        <v>0.85976410000000003</v>
      </c>
      <c r="H354" s="36">
        <v>0.8943702</v>
      </c>
      <c r="I354" s="36">
        <v>0.93707370000000001</v>
      </c>
      <c r="J354" s="393">
        <v>1</v>
      </c>
      <c r="K354" s="36">
        <v>0.44454719999999998</v>
      </c>
      <c r="L354" s="36">
        <v>0.68313740000000001</v>
      </c>
      <c r="M354" s="36">
        <v>0.84276419999999996</v>
      </c>
      <c r="N354" s="36">
        <v>0.89769860000000001</v>
      </c>
      <c r="O354" s="36">
        <v>0.94681999999999999</v>
      </c>
      <c r="P354" s="393">
        <v>1</v>
      </c>
      <c r="Q354" s="36">
        <v>4.0563000000000002E-2</v>
      </c>
      <c r="R354" s="36">
        <v>0.17887749999999999</v>
      </c>
      <c r="S354" s="36">
        <v>0.33188580000000001</v>
      </c>
      <c r="T354" s="36">
        <v>0.34067320000000001</v>
      </c>
      <c r="U354" s="36">
        <v>0.37410260000000001</v>
      </c>
      <c r="V354" s="393">
        <v>1</v>
      </c>
      <c r="W354" s="36">
        <v>0.31192999999999999</v>
      </c>
      <c r="X354" s="36">
        <v>0.46023380000000003</v>
      </c>
      <c r="Y354" s="36">
        <v>0.57617529999999995</v>
      </c>
      <c r="Z354" s="36">
        <v>0.59632070000000004</v>
      </c>
      <c r="AA354" s="36">
        <v>0.65687969999999996</v>
      </c>
      <c r="AB354" s="393">
        <v>1</v>
      </c>
    </row>
    <row r="355" spans="2:28" ht="0.5" customHeight="1">
      <c r="B355" s="9" t="s">
        <v>45</v>
      </c>
      <c r="C355" s="9" t="str">
        <f t="shared" si="61"/>
        <v>Ecuador30</v>
      </c>
      <c r="D355" s="9">
        <v>30</v>
      </c>
      <c r="E355" s="36">
        <v>0.1777098</v>
      </c>
      <c r="F355" s="36">
        <v>0.62708540000000002</v>
      </c>
      <c r="G355" s="36">
        <v>0.86230280000000004</v>
      </c>
      <c r="H355" s="36">
        <v>0.898868</v>
      </c>
      <c r="I355" s="36">
        <v>0.93968580000000002</v>
      </c>
      <c r="J355" s="393">
        <v>1</v>
      </c>
      <c r="K355" s="36">
        <v>0.45214949999999998</v>
      </c>
      <c r="L355" s="36">
        <v>0.6822125</v>
      </c>
      <c r="M355" s="36">
        <v>0.85029010000000005</v>
      </c>
      <c r="N355" s="36">
        <v>0.90950850000000005</v>
      </c>
      <c r="O355" s="36">
        <v>0.95569550000000003</v>
      </c>
      <c r="P355" s="393">
        <v>1</v>
      </c>
      <c r="Q355" s="36">
        <v>4.1247499999999999E-2</v>
      </c>
      <c r="R355" s="36">
        <v>0.17734279999999999</v>
      </c>
      <c r="S355" s="36">
        <v>0.3375358</v>
      </c>
      <c r="T355" s="36">
        <v>0.3468734</v>
      </c>
      <c r="U355" s="36">
        <v>0.37895849999999998</v>
      </c>
      <c r="V355" s="393">
        <v>1</v>
      </c>
      <c r="W355" s="36">
        <v>0.31818380000000002</v>
      </c>
      <c r="X355" s="36">
        <v>0.46186850000000002</v>
      </c>
      <c r="Y355" s="36">
        <v>0.58221730000000005</v>
      </c>
      <c r="Z355" s="36">
        <v>0.60364450000000003</v>
      </c>
      <c r="AA355" s="36">
        <v>0.6605067</v>
      </c>
      <c r="AB355" s="393">
        <v>1</v>
      </c>
    </row>
    <row r="356" spans="2:28" ht="0.5" customHeight="1">
      <c r="B356" s="9" t="s">
        <v>45</v>
      </c>
      <c r="C356" s="9" t="str">
        <f t="shared" si="61"/>
        <v>Ecuador31</v>
      </c>
      <c r="D356" s="9">
        <v>31</v>
      </c>
      <c r="E356" s="36">
        <v>0.18093960000000001</v>
      </c>
      <c r="F356" s="36">
        <v>0.62293189999999998</v>
      </c>
      <c r="G356" s="36">
        <v>0.86551299999999998</v>
      </c>
      <c r="H356" s="36">
        <v>0.90407910000000002</v>
      </c>
      <c r="I356" s="36">
        <v>0.94326209999999999</v>
      </c>
      <c r="J356" s="393">
        <v>1</v>
      </c>
      <c r="K356" s="36">
        <v>0.4567891</v>
      </c>
      <c r="L356" s="36">
        <v>0.67666199999999999</v>
      </c>
      <c r="M356" s="36">
        <v>0.85190560000000004</v>
      </c>
      <c r="N356" s="36">
        <v>0.91508730000000005</v>
      </c>
      <c r="O356" s="36">
        <v>0.9586228</v>
      </c>
      <c r="P356" s="393">
        <v>1</v>
      </c>
      <c r="Q356" s="36">
        <v>4.20636E-2</v>
      </c>
      <c r="R356" s="36">
        <v>0.1765168</v>
      </c>
      <c r="S356" s="36">
        <v>0.3439527</v>
      </c>
      <c r="T356" s="36">
        <v>0.3538326</v>
      </c>
      <c r="U356" s="36">
        <v>0.38476719999999998</v>
      </c>
      <c r="V356" s="393">
        <v>1</v>
      </c>
      <c r="W356" s="36">
        <v>0.32384810000000003</v>
      </c>
      <c r="X356" s="36">
        <v>0.46185080000000001</v>
      </c>
      <c r="Y356" s="36">
        <v>0.58656969999999997</v>
      </c>
      <c r="Z356" s="36">
        <v>0.60915339999999996</v>
      </c>
      <c r="AA356" s="36">
        <v>0.66221640000000004</v>
      </c>
      <c r="AB356" s="393">
        <v>1</v>
      </c>
    </row>
    <row r="357" spans="2:28" ht="0.5" customHeight="1">
      <c r="B357" s="9" t="s">
        <v>45</v>
      </c>
      <c r="C357" s="9" t="str">
        <f t="shared" si="61"/>
        <v>Ecuador32</v>
      </c>
      <c r="D357" s="9">
        <v>32</v>
      </c>
      <c r="E357" s="36">
        <v>0.18573680000000001</v>
      </c>
      <c r="F357" s="36">
        <v>0.60908660000000003</v>
      </c>
      <c r="G357" s="36">
        <v>0.86617310000000003</v>
      </c>
      <c r="H357" s="36">
        <v>0.90886679999999997</v>
      </c>
      <c r="I357" s="36">
        <v>0.94512609999999997</v>
      </c>
      <c r="J357" s="393">
        <v>1</v>
      </c>
      <c r="K357" s="36">
        <v>0.46547719999999998</v>
      </c>
      <c r="L357" s="36">
        <v>0.66629970000000005</v>
      </c>
      <c r="M357" s="36">
        <v>0.8546087</v>
      </c>
      <c r="N357" s="36">
        <v>0.92428080000000001</v>
      </c>
      <c r="O357" s="36">
        <v>0.9632018</v>
      </c>
      <c r="P357" s="393">
        <v>1</v>
      </c>
      <c r="Q357" s="36">
        <v>4.3415799999999997E-2</v>
      </c>
      <c r="R357" s="36">
        <v>0.17526369999999999</v>
      </c>
      <c r="S357" s="36">
        <v>0.35696929999999999</v>
      </c>
      <c r="T357" s="36">
        <v>0.36789569999999999</v>
      </c>
      <c r="U357" s="36">
        <v>0.39648670000000003</v>
      </c>
      <c r="V357" s="393">
        <v>1</v>
      </c>
      <c r="W357" s="36">
        <v>0.3315669</v>
      </c>
      <c r="X357" s="36">
        <v>0.4599838</v>
      </c>
      <c r="Y357" s="36">
        <v>0.59312520000000002</v>
      </c>
      <c r="Z357" s="36">
        <v>0.61801349999999999</v>
      </c>
      <c r="AA357" s="36">
        <v>0.66474429999999995</v>
      </c>
      <c r="AB357" s="393">
        <v>1</v>
      </c>
    </row>
    <row r="358" spans="2:28" ht="0.5" customHeight="1">
      <c r="B358" s="9" t="s">
        <v>45</v>
      </c>
      <c r="C358" s="9" t="str">
        <f t="shared" si="61"/>
        <v>Ecuador33</v>
      </c>
      <c r="D358" s="9">
        <v>33</v>
      </c>
      <c r="E358" s="36">
        <v>0.18743850000000001</v>
      </c>
      <c r="F358" s="36">
        <v>0.60083339999999996</v>
      </c>
      <c r="G358" s="36">
        <v>0.86510779999999998</v>
      </c>
      <c r="H358" s="36">
        <v>0.91011949999999997</v>
      </c>
      <c r="I358" s="36">
        <v>0.94524859999999999</v>
      </c>
      <c r="J358" s="393">
        <v>1</v>
      </c>
      <c r="K358" s="36">
        <v>0.4694043</v>
      </c>
      <c r="L358" s="36">
        <v>0.66204289999999999</v>
      </c>
      <c r="M358" s="36">
        <v>0.8564541</v>
      </c>
      <c r="N358" s="36">
        <v>0.92921379999999998</v>
      </c>
      <c r="O358" s="36">
        <v>0.96576209999999996</v>
      </c>
      <c r="P358" s="393">
        <v>1</v>
      </c>
      <c r="Q358" s="36">
        <v>4.38775E-2</v>
      </c>
      <c r="R358" s="36">
        <v>0.17480509999999999</v>
      </c>
      <c r="S358" s="36">
        <v>0.36270649999999999</v>
      </c>
      <c r="T358" s="36">
        <v>0.37414750000000002</v>
      </c>
      <c r="U358" s="36">
        <v>0.40145619999999999</v>
      </c>
      <c r="V358" s="393">
        <v>1</v>
      </c>
      <c r="W358" s="36">
        <v>0.33318239999999999</v>
      </c>
      <c r="X358" s="36">
        <v>0.45791559999999998</v>
      </c>
      <c r="Y358" s="36">
        <v>0.59497860000000002</v>
      </c>
      <c r="Z358" s="36">
        <v>0.62104669999999995</v>
      </c>
      <c r="AA358" s="36">
        <v>0.66522870000000001</v>
      </c>
      <c r="AB358" s="393">
        <v>1</v>
      </c>
    </row>
    <row r="359" spans="2:28" ht="0.5" customHeight="1">
      <c r="B359" s="9" t="s">
        <v>45</v>
      </c>
      <c r="C359" s="9" t="str">
        <f t="shared" si="61"/>
        <v>Ecuador34</v>
      </c>
      <c r="D359" s="9">
        <v>34</v>
      </c>
      <c r="E359" s="36">
        <v>0.19162689999999999</v>
      </c>
      <c r="F359" s="36">
        <v>0.58718840000000005</v>
      </c>
      <c r="G359" s="36">
        <v>0.86381030000000003</v>
      </c>
      <c r="H359" s="36">
        <v>0.91356090000000001</v>
      </c>
      <c r="I359" s="36">
        <v>0.94661819999999997</v>
      </c>
      <c r="J359" s="393">
        <v>1</v>
      </c>
      <c r="K359" s="36">
        <v>0.47854669999999999</v>
      </c>
      <c r="L359" s="36">
        <v>0.6582093</v>
      </c>
      <c r="M359" s="36">
        <v>0.86211599999999999</v>
      </c>
      <c r="N359" s="36">
        <v>0.94028120000000004</v>
      </c>
      <c r="O359" s="36">
        <v>0.97204639999999998</v>
      </c>
      <c r="P359" s="393">
        <v>1</v>
      </c>
      <c r="Q359" s="36">
        <v>4.4704899999999999E-2</v>
      </c>
      <c r="R359" s="36">
        <v>0.17344670000000001</v>
      </c>
      <c r="S359" s="36">
        <v>0.37170069999999999</v>
      </c>
      <c r="T359" s="36">
        <v>0.38422840000000003</v>
      </c>
      <c r="U359" s="36">
        <v>0.40914820000000002</v>
      </c>
      <c r="V359" s="393">
        <v>1</v>
      </c>
      <c r="W359" s="36">
        <v>0.33754669999999998</v>
      </c>
      <c r="X359" s="36">
        <v>0.45668130000000001</v>
      </c>
      <c r="Y359" s="36">
        <v>0.601742</v>
      </c>
      <c r="Z359" s="36">
        <v>0.63005449999999996</v>
      </c>
      <c r="AA359" s="36">
        <v>0.66966490000000001</v>
      </c>
      <c r="AB359" s="393">
        <v>1</v>
      </c>
    </row>
    <row r="360" spans="2:28" ht="0.5" customHeight="1">
      <c r="B360" s="9" t="s">
        <v>45</v>
      </c>
      <c r="C360" s="9" t="str">
        <f t="shared" si="61"/>
        <v>Ecuador35</v>
      </c>
      <c r="D360" s="9">
        <v>35</v>
      </c>
      <c r="E360" s="36">
        <v>0.19391510000000001</v>
      </c>
      <c r="F360" s="36">
        <v>0.58361680000000005</v>
      </c>
      <c r="G360" s="36">
        <v>0.86604499999999995</v>
      </c>
      <c r="H360" s="36">
        <v>0.91827990000000004</v>
      </c>
      <c r="I360" s="36">
        <v>0.95035020000000003</v>
      </c>
      <c r="J360" s="393">
        <v>1</v>
      </c>
      <c r="K360" s="36">
        <v>0.48336770000000001</v>
      </c>
      <c r="L360" s="36">
        <v>0.65624629999999995</v>
      </c>
      <c r="M360" s="36">
        <v>0.86370130000000001</v>
      </c>
      <c r="N360" s="36">
        <v>0.94438960000000005</v>
      </c>
      <c r="O360" s="36">
        <v>0.97418550000000004</v>
      </c>
      <c r="P360" s="393">
        <v>1</v>
      </c>
      <c r="Q360" s="36">
        <v>4.5022800000000002E-2</v>
      </c>
      <c r="R360" s="36">
        <v>0.17266400000000001</v>
      </c>
      <c r="S360" s="36">
        <v>0.37487700000000002</v>
      </c>
      <c r="T360" s="36">
        <v>0.38789040000000002</v>
      </c>
      <c r="U360" s="36">
        <v>0.41199380000000002</v>
      </c>
      <c r="V360" s="393">
        <v>1</v>
      </c>
      <c r="W360" s="36">
        <v>0.3406054</v>
      </c>
      <c r="X360" s="36">
        <v>0.456646</v>
      </c>
      <c r="Y360" s="36">
        <v>0.60611519999999997</v>
      </c>
      <c r="Z360" s="36">
        <v>0.63563369999999997</v>
      </c>
      <c r="AA360" s="36">
        <v>0.67347420000000002</v>
      </c>
      <c r="AB360" s="393">
        <v>1</v>
      </c>
    </row>
    <row r="361" spans="2:28" ht="0.5" customHeight="1">
      <c r="B361" s="9" t="s">
        <v>45</v>
      </c>
      <c r="C361" s="9" t="str">
        <f t="shared" si="61"/>
        <v>Ecuador36</v>
      </c>
      <c r="D361" s="9">
        <v>36</v>
      </c>
      <c r="E361" s="36">
        <v>0.19391630000000001</v>
      </c>
      <c r="F361" s="36">
        <v>0.57656819999999998</v>
      </c>
      <c r="G361" s="36">
        <v>0.865255</v>
      </c>
      <c r="H361" s="36">
        <v>0.91969769999999995</v>
      </c>
      <c r="I361" s="36">
        <v>0.95077469999999997</v>
      </c>
      <c r="J361" s="393">
        <v>1</v>
      </c>
      <c r="K361" s="36">
        <v>0.48747200000000002</v>
      </c>
      <c r="L361" s="36">
        <v>0.65756429999999999</v>
      </c>
      <c r="M361" s="36">
        <v>0.86770990000000003</v>
      </c>
      <c r="N361" s="36">
        <v>0.95045020000000002</v>
      </c>
      <c r="O361" s="36">
        <v>0.97846929999999999</v>
      </c>
      <c r="P361" s="393">
        <v>1</v>
      </c>
      <c r="Q361" s="36">
        <v>4.5301099999999997E-2</v>
      </c>
      <c r="R361" s="36">
        <v>0.17194390000000001</v>
      </c>
      <c r="S361" s="36">
        <v>0.37798300000000001</v>
      </c>
      <c r="T361" s="36">
        <v>0.39145540000000001</v>
      </c>
      <c r="U361" s="36">
        <v>0.41460960000000002</v>
      </c>
      <c r="V361" s="393">
        <v>1</v>
      </c>
      <c r="W361" s="36">
        <v>0.3440685</v>
      </c>
      <c r="X361" s="36">
        <v>0.45705580000000001</v>
      </c>
      <c r="Y361" s="36">
        <v>0.61007650000000002</v>
      </c>
      <c r="Z361" s="36">
        <v>0.64051029999999998</v>
      </c>
      <c r="AA361" s="36">
        <v>0.67680130000000005</v>
      </c>
      <c r="AB361" s="393">
        <v>1</v>
      </c>
    </row>
    <row r="362" spans="2:28" ht="0.5" customHeight="1">
      <c r="B362" s="9" t="s">
        <v>45</v>
      </c>
      <c r="C362" s="9" t="str">
        <f t="shared" si="61"/>
        <v>Ecuador37</v>
      </c>
      <c r="D362" s="9">
        <v>37</v>
      </c>
      <c r="E362" s="36">
        <v>0.19322220000000001</v>
      </c>
      <c r="F362" s="36">
        <v>0.56401400000000002</v>
      </c>
      <c r="G362" s="36">
        <v>0.86447450000000003</v>
      </c>
      <c r="H362" s="36">
        <v>0.92353850000000004</v>
      </c>
      <c r="I362" s="36">
        <v>0.95284769999999996</v>
      </c>
      <c r="J362" s="393">
        <v>1</v>
      </c>
      <c r="K362" s="36">
        <v>0.48781049999999998</v>
      </c>
      <c r="L362" s="36">
        <v>0.65263090000000001</v>
      </c>
      <c r="M362" s="36">
        <v>0.8700715</v>
      </c>
      <c r="N362" s="36">
        <v>0.95683260000000003</v>
      </c>
      <c r="O362" s="36">
        <v>0.98201760000000005</v>
      </c>
      <c r="P362" s="393">
        <v>1</v>
      </c>
      <c r="Q362" s="36">
        <v>4.5858500000000003E-2</v>
      </c>
      <c r="R362" s="36">
        <v>0.1698723</v>
      </c>
      <c r="S362" s="36">
        <v>0.3829746</v>
      </c>
      <c r="T362" s="36">
        <v>0.39738030000000002</v>
      </c>
      <c r="U362" s="36">
        <v>0.4186954</v>
      </c>
      <c r="V362" s="393">
        <v>1</v>
      </c>
      <c r="W362" s="36">
        <v>0.35430529999999999</v>
      </c>
      <c r="X362" s="36">
        <v>0.4605882</v>
      </c>
      <c r="Y362" s="36">
        <v>0.61981050000000004</v>
      </c>
      <c r="Z362" s="36">
        <v>0.65250549999999996</v>
      </c>
      <c r="AA362" s="36">
        <v>0.68599379999999999</v>
      </c>
      <c r="AB362" s="393">
        <v>1</v>
      </c>
    </row>
    <row r="363" spans="2:28" ht="0.5" customHeight="1">
      <c r="B363" s="9" t="s">
        <v>45</v>
      </c>
      <c r="C363" s="9" t="str">
        <f t="shared" si="61"/>
        <v>Ecuador38</v>
      </c>
      <c r="D363" s="9">
        <v>38</v>
      </c>
      <c r="E363" s="36">
        <v>0.19255849999999999</v>
      </c>
      <c r="F363" s="36">
        <v>0.55604969999999998</v>
      </c>
      <c r="G363" s="36">
        <v>0.86178679999999996</v>
      </c>
      <c r="H363" s="36">
        <v>0.92310550000000002</v>
      </c>
      <c r="I363" s="36">
        <v>0.95171950000000005</v>
      </c>
      <c r="J363" s="393">
        <v>1</v>
      </c>
      <c r="K363" s="36">
        <v>0.48485</v>
      </c>
      <c r="L363" s="36">
        <v>0.64578530000000001</v>
      </c>
      <c r="M363" s="36">
        <v>0.86752240000000003</v>
      </c>
      <c r="N363" s="36">
        <v>0.95600410000000002</v>
      </c>
      <c r="O363" s="36">
        <v>0.98020059999999998</v>
      </c>
      <c r="P363" s="393">
        <v>1</v>
      </c>
      <c r="Q363" s="36">
        <v>4.6185999999999998E-2</v>
      </c>
      <c r="R363" s="36">
        <v>0.16887070000000001</v>
      </c>
      <c r="S363" s="36">
        <v>0.38548690000000002</v>
      </c>
      <c r="T363" s="36">
        <v>0.40033960000000002</v>
      </c>
      <c r="U363" s="36">
        <v>0.42068369999999999</v>
      </c>
      <c r="V363" s="393">
        <v>1</v>
      </c>
      <c r="W363" s="36">
        <v>0.360182</v>
      </c>
      <c r="X363" s="36">
        <v>0.46308510000000003</v>
      </c>
      <c r="Y363" s="36">
        <v>0.62483940000000004</v>
      </c>
      <c r="Z363" s="36">
        <v>0.65839340000000002</v>
      </c>
      <c r="AA363" s="36">
        <v>0.69059720000000002</v>
      </c>
      <c r="AB363" s="393">
        <v>1</v>
      </c>
    </row>
    <row r="364" spans="2:28" ht="0.5" customHeight="1">
      <c r="B364" s="9" t="s">
        <v>45</v>
      </c>
      <c r="C364" s="9" t="str">
        <f t="shared" si="61"/>
        <v>Ecuador39</v>
      </c>
      <c r="D364" s="9">
        <v>39</v>
      </c>
      <c r="E364" s="36">
        <v>0.1926205</v>
      </c>
      <c r="F364" s="36">
        <v>0.54198210000000002</v>
      </c>
      <c r="G364" s="36">
        <v>0.85726610000000003</v>
      </c>
      <c r="H364" s="36">
        <v>0.92280220000000002</v>
      </c>
      <c r="I364" s="36">
        <v>0.95041439999999999</v>
      </c>
      <c r="J364" s="393">
        <v>1</v>
      </c>
      <c r="K364" s="36">
        <v>0.47540890000000002</v>
      </c>
      <c r="L364" s="36">
        <v>0.63022750000000005</v>
      </c>
      <c r="M364" s="36">
        <v>0.85796430000000001</v>
      </c>
      <c r="N364" s="36">
        <v>0.95084829999999998</v>
      </c>
      <c r="O364" s="36">
        <v>0.97353290000000003</v>
      </c>
      <c r="P364" s="393">
        <v>1</v>
      </c>
      <c r="Q364" s="36">
        <v>4.6825400000000003E-2</v>
      </c>
      <c r="R364" s="36">
        <v>0.1659264</v>
      </c>
      <c r="S364" s="36">
        <v>0.38951229999999998</v>
      </c>
      <c r="T364" s="36">
        <v>0.40525129999999998</v>
      </c>
      <c r="U364" s="36">
        <v>0.4242129</v>
      </c>
      <c r="V364" s="393">
        <v>1</v>
      </c>
      <c r="W364" s="36">
        <v>0.37217139999999999</v>
      </c>
      <c r="X364" s="36">
        <v>0.46929929999999997</v>
      </c>
      <c r="Y364" s="36">
        <v>0.63549719999999998</v>
      </c>
      <c r="Z364" s="36">
        <v>0.6706607</v>
      </c>
      <c r="AA364" s="36">
        <v>0.70051140000000001</v>
      </c>
      <c r="AB364" s="393">
        <v>1</v>
      </c>
    </row>
    <row r="365" spans="2:28" ht="0.5" customHeight="1">
      <c r="B365" s="9" t="s">
        <v>45</v>
      </c>
      <c r="C365" s="9" t="str">
        <f t="shared" si="61"/>
        <v>Ecuador40</v>
      </c>
      <c r="D365" s="9">
        <v>40</v>
      </c>
      <c r="E365" s="36">
        <v>0.19372210000000001</v>
      </c>
      <c r="F365" s="36">
        <v>0.53542800000000002</v>
      </c>
      <c r="G365" s="36">
        <v>0.85593719999999995</v>
      </c>
      <c r="H365" s="36">
        <v>0.9230353</v>
      </c>
      <c r="I365" s="36">
        <v>0.95049430000000001</v>
      </c>
      <c r="J365" s="393">
        <v>1</v>
      </c>
      <c r="K365" s="36">
        <v>0.4758056</v>
      </c>
      <c r="L365" s="36">
        <v>0.62610980000000005</v>
      </c>
      <c r="M365" s="36">
        <v>0.8563153</v>
      </c>
      <c r="N365" s="36">
        <v>0.95177279999999997</v>
      </c>
      <c r="O365" s="36">
        <v>0.97372789999999998</v>
      </c>
      <c r="P365" s="393">
        <v>1</v>
      </c>
      <c r="Q365" s="36">
        <v>4.7149499999999997E-2</v>
      </c>
      <c r="R365" s="36">
        <v>0.1635839</v>
      </c>
      <c r="S365" s="36">
        <v>0.3908973</v>
      </c>
      <c r="T365" s="36">
        <v>0.4071091</v>
      </c>
      <c r="U365" s="36">
        <v>0.42551620000000001</v>
      </c>
      <c r="V365" s="393">
        <v>1</v>
      </c>
      <c r="W365" s="36">
        <v>0.37709730000000002</v>
      </c>
      <c r="X365" s="36">
        <v>0.47131299999999998</v>
      </c>
      <c r="Y365" s="36">
        <v>0.63926419999999995</v>
      </c>
      <c r="Z365" s="36">
        <v>0.67509039999999998</v>
      </c>
      <c r="AA365" s="36">
        <v>0.70382429999999996</v>
      </c>
      <c r="AB365" s="393">
        <v>1</v>
      </c>
    </row>
    <row r="366" spans="2:28" ht="0.5" customHeight="1">
      <c r="B366" s="9" t="s">
        <v>45</v>
      </c>
      <c r="C366" s="9" t="str">
        <f t="shared" si="61"/>
        <v>Ecuador41</v>
      </c>
      <c r="D366" s="9">
        <v>41</v>
      </c>
      <c r="E366" s="36">
        <v>0.19611700000000001</v>
      </c>
      <c r="F366" s="36">
        <v>0.52995530000000002</v>
      </c>
      <c r="G366" s="36">
        <v>0.8553132</v>
      </c>
      <c r="H366" s="36">
        <v>0.92383210000000004</v>
      </c>
      <c r="I366" s="36">
        <v>0.95130340000000002</v>
      </c>
      <c r="J366" s="393">
        <v>1</v>
      </c>
      <c r="K366" s="36">
        <v>0.47804039999999998</v>
      </c>
      <c r="L366" s="36">
        <v>0.62380679999999999</v>
      </c>
      <c r="M366" s="36">
        <v>0.85489059999999994</v>
      </c>
      <c r="N366" s="36">
        <v>0.95288899999999999</v>
      </c>
      <c r="O366" s="36">
        <v>0.97424330000000003</v>
      </c>
      <c r="P366" s="393">
        <v>1</v>
      </c>
      <c r="Q366" s="36">
        <v>4.7440799999999998E-2</v>
      </c>
      <c r="R366" s="36">
        <v>0.16109589999999999</v>
      </c>
      <c r="S366" s="36">
        <v>0.39177030000000002</v>
      </c>
      <c r="T366" s="36">
        <v>0.40845300000000001</v>
      </c>
      <c r="U366" s="36">
        <v>0.42644320000000002</v>
      </c>
      <c r="V366" s="393">
        <v>1</v>
      </c>
      <c r="W366" s="36">
        <v>0.38128119999999999</v>
      </c>
      <c r="X366" s="36">
        <v>0.47219800000000001</v>
      </c>
      <c r="Y366" s="36">
        <v>0.64100210000000002</v>
      </c>
      <c r="Z366" s="36">
        <v>0.677064</v>
      </c>
      <c r="AA366" s="36">
        <v>0.70499160000000005</v>
      </c>
      <c r="AB366" s="393">
        <v>1</v>
      </c>
    </row>
    <row r="367" spans="2:28" ht="0.5" customHeight="1">
      <c r="B367" s="9" t="s">
        <v>45</v>
      </c>
      <c r="C367" s="9" t="str">
        <f t="shared" si="61"/>
        <v>Ecuador42</v>
      </c>
      <c r="D367" s="9">
        <v>42</v>
      </c>
      <c r="E367" s="36">
        <v>0.19803029999999999</v>
      </c>
      <c r="F367" s="36">
        <v>0.51938779999999996</v>
      </c>
      <c r="G367" s="36">
        <v>0.85219529999999999</v>
      </c>
      <c r="H367" s="36">
        <v>0.92304730000000001</v>
      </c>
      <c r="I367" s="36">
        <v>0.95130539999999997</v>
      </c>
      <c r="J367" s="393">
        <v>1</v>
      </c>
      <c r="K367" s="36">
        <v>0.48433799999999999</v>
      </c>
      <c r="L367" s="36">
        <v>0.62186750000000002</v>
      </c>
      <c r="M367" s="36">
        <v>0.85455820000000005</v>
      </c>
      <c r="N367" s="36">
        <v>0.95628740000000001</v>
      </c>
      <c r="O367" s="36">
        <v>0.97717140000000002</v>
      </c>
      <c r="P367" s="393">
        <v>1</v>
      </c>
      <c r="Q367" s="36">
        <v>4.7959300000000003E-2</v>
      </c>
      <c r="R367" s="36">
        <v>0.15575439999999999</v>
      </c>
      <c r="S367" s="36">
        <v>0.3924262</v>
      </c>
      <c r="T367" s="36">
        <v>0.4098927</v>
      </c>
      <c r="U367" s="36">
        <v>0.42730639999999998</v>
      </c>
      <c r="V367" s="393">
        <v>1</v>
      </c>
      <c r="W367" s="36">
        <v>0.38503419999999999</v>
      </c>
      <c r="X367" s="36">
        <v>0.46954570000000001</v>
      </c>
      <c r="Y367" s="36">
        <v>0.63887269999999996</v>
      </c>
      <c r="Z367" s="36">
        <v>0.67483029999999999</v>
      </c>
      <c r="AA367" s="36">
        <v>0.700874</v>
      </c>
      <c r="AB367" s="393">
        <v>1</v>
      </c>
    </row>
    <row r="368" spans="2:28" ht="0.5" customHeight="1">
      <c r="B368" s="9" t="s">
        <v>45</v>
      </c>
      <c r="C368" s="9" t="str">
        <f t="shared" si="61"/>
        <v>Ecuador43</v>
      </c>
      <c r="D368" s="9">
        <v>43</v>
      </c>
      <c r="E368" s="36">
        <v>0.19613810000000001</v>
      </c>
      <c r="F368" s="36">
        <v>0.51274929999999996</v>
      </c>
      <c r="G368" s="36">
        <v>0.84872069999999999</v>
      </c>
      <c r="H368" s="36">
        <v>0.92074180000000005</v>
      </c>
      <c r="I368" s="36">
        <v>0.94924629999999999</v>
      </c>
      <c r="J368" s="393">
        <v>1</v>
      </c>
      <c r="K368" s="36">
        <v>0.48851559999999999</v>
      </c>
      <c r="L368" s="36">
        <v>0.62275389999999997</v>
      </c>
      <c r="M368" s="36">
        <v>0.85601819999999995</v>
      </c>
      <c r="N368" s="36">
        <v>0.95944960000000001</v>
      </c>
      <c r="O368" s="36">
        <v>0.98028360000000003</v>
      </c>
      <c r="P368" s="393">
        <v>1</v>
      </c>
      <c r="Q368" s="36">
        <v>4.8228300000000002E-2</v>
      </c>
      <c r="R368" s="36">
        <v>0.15281710000000001</v>
      </c>
      <c r="S368" s="36">
        <v>0.39110660000000003</v>
      </c>
      <c r="T368" s="36">
        <v>0.40886980000000001</v>
      </c>
      <c r="U368" s="36">
        <v>0.42593550000000002</v>
      </c>
      <c r="V368" s="393">
        <v>1</v>
      </c>
      <c r="W368" s="36">
        <v>0.38590180000000002</v>
      </c>
      <c r="X368" s="36">
        <v>0.46739029999999998</v>
      </c>
      <c r="Y368" s="36">
        <v>0.63689490000000004</v>
      </c>
      <c r="Z368" s="36">
        <v>0.67282240000000004</v>
      </c>
      <c r="AA368" s="36">
        <v>0.69811610000000002</v>
      </c>
      <c r="AB368" s="393">
        <v>1</v>
      </c>
    </row>
    <row r="369" spans="2:28" ht="0.5" customHeight="1">
      <c r="B369" s="9" t="s">
        <v>45</v>
      </c>
      <c r="C369" s="9" t="str">
        <f t="shared" si="61"/>
        <v>Ecuador44</v>
      </c>
      <c r="D369" s="9">
        <v>44</v>
      </c>
      <c r="E369" s="36">
        <v>0.19291610000000001</v>
      </c>
      <c r="F369" s="36">
        <v>0.49859409999999998</v>
      </c>
      <c r="G369" s="36">
        <v>0.84212920000000002</v>
      </c>
      <c r="H369" s="36">
        <v>0.91585430000000001</v>
      </c>
      <c r="I369" s="36">
        <v>0.94450710000000004</v>
      </c>
      <c r="J369" s="393">
        <v>1</v>
      </c>
      <c r="K369" s="36">
        <v>0.49125990000000003</v>
      </c>
      <c r="L369" s="36">
        <v>0.61655090000000001</v>
      </c>
      <c r="M369" s="36">
        <v>0.8493792</v>
      </c>
      <c r="N369" s="36">
        <v>0.95532240000000002</v>
      </c>
      <c r="O369" s="36">
        <v>0.97665840000000004</v>
      </c>
      <c r="P369" s="393">
        <v>1</v>
      </c>
      <c r="Q369" s="36">
        <v>4.8405700000000003E-2</v>
      </c>
      <c r="R369" s="36">
        <v>0.14754129999999999</v>
      </c>
      <c r="S369" s="36">
        <v>0.38805260000000003</v>
      </c>
      <c r="T369" s="36">
        <v>0.40620390000000001</v>
      </c>
      <c r="U369" s="36">
        <v>0.42219509999999999</v>
      </c>
      <c r="V369" s="393">
        <v>1</v>
      </c>
      <c r="W369" s="36">
        <v>0.39231680000000002</v>
      </c>
      <c r="X369" s="36">
        <v>0.46810580000000002</v>
      </c>
      <c r="Y369" s="36">
        <v>0.63728249999999997</v>
      </c>
      <c r="Z369" s="36">
        <v>0.67246399999999995</v>
      </c>
      <c r="AA369" s="36">
        <v>0.6958628</v>
      </c>
      <c r="AB369" s="393">
        <v>1</v>
      </c>
    </row>
    <row r="370" spans="2:28" ht="0.5" customHeight="1">
      <c r="B370" s="9" t="s">
        <v>45</v>
      </c>
      <c r="C370" s="9" t="str">
        <f t="shared" si="61"/>
        <v>Ecuador45</v>
      </c>
      <c r="D370" s="9">
        <v>45</v>
      </c>
      <c r="E370" s="36">
        <v>0.1929507</v>
      </c>
      <c r="F370" s="36">
        <v>0.49305870000000002</v>
      </c>
      <c r="G370" s="36">
        <v>0.84067400000000003</v>
      </c>
      <c r="H370" s="36">
        <v>0.91505700000000001</v>
      </c>
      <c r="I370" s="36">
        <v>0.94382410000000005</v>
      </c>
      <c r="J370" s="393">
        <v>1</v>
      </c>
      <c r="K370" s="36">
        <v>0.49406559999999999</v>
      </c>
      <c r="L370" s="36">
        <v>0.61457269999999997</v>
      </c>
      <c r="M370" s="36">
        <v>0.84816020000000003</v>
      </c>
      <c r="N370" s="36">
        <v>0.9552349</v>
      </c>
      <c r="O370" s="36">
        <v>0.97685889999999997</v>
      </c>
      <c r="P370" s="393">
        <v>1</v>
      </c>
      <c r="Q370" s="36">
        <v>4.8272299999999997E-2</v>
      </c>
      <c r="R370" s="36">
        <v>0.14482410000000001</v>
      </c>
      <c r="S370" s="36">
        <v>0.38534600000000002</v>
      </c>
      <c r="T370" s="36">
        <v>0.40365420000000002</v>
      </c>
      <c r="U370" s="36">
        <v>0.41921269999999999</v>
      </c>
      <c r="V370" s="393">
        <v>1</v>
      </c>
      <c r="W370" s="36">
        <v>0.39728279999999999</v>
      </c>
      <c r="X370" s="36">
        <v>0.47024490000000002</v>
      </c>
      <c r="Y370" s="36">
        <v>0.63916410000000001</v>
      </c>
      <c r="Z370" s="36">
        <v>0.67402669999999998</v>
      </c>
      <c r="AA370" s="36">
        <v>0.69634589999999996</v>
      </c>
      <c r="AB370" s="393">
        <v>1</v>
      </c>
    </row>
    <row r="371" spans="2:28" ht="0.5" customHeight="1">
      <c r="B371" s="9" t="s">
        <v>45</v>
      </c>
      <c r="C371" s="9" t="str">
        <f t="shared" si="61"/>
        <v>Ecuador46</v>
      </c>
      <c r="D371" s="9">
        <v>46</v>
      </c>
      <c r="E371" s="36">
        <v>0.19225130000000001</v>
      </c>
      <c r="F371" s="36">
        <v>0.48573179999999999</v>
      </c>
      <c r="G371" s="36">
        <v>0.83753480000000002</v>
      </c>
      <c r="H371" s="36">
        <v>0.91200669999999995</v>
      </c>
      <c r="I371" s="36">
        <v>0.94065469999999995</v>
      </c>
      <c r="J371" s="393">
        <v>1</v>
      </c>
      <c r="K371" s="36">
        <v>0.49567919999999999</v>
      </c>
      <c r="L371" s="36">
        <v>0.60918839999999996</v>
      </c>
      <c r="M371" s="36">
        <v>0.84287789999999996</v>
      </c>
      <c r="N371" s="36">
        <v>0.95086420000000005</v>
      </c>
      <c r="O371" s="36">
        <v>0.97265029999999997</v>
      </c>
      <c r="P371" s="393">
        <v>1</v>
      </c>
      <c r="Q371" s="36">
        <v>4.80311E-2</v>
      </c>
      <c r="R371" s="36">
        <v>0.14242270000000001</v>
      </c>
      <c r="S371" s="36">
        <v>0.38306950000000001</v>
      </c>
      <c r="T371" s="36">
        <v>0.4015512</v>
      </c>
      <c r="U371" s="36">
        <v>0.41654679999999999</v>
      </c>
      <c r="V371" s="393">
        <v>1</v>
      </c>
      <c r="W371" s="36">
        <v>0.4037539</v>
      </c>
      <c r="X371" s="36">
        <v>0.47347479999999997</v>
      </c>
      <c r="Y371" s="36">
        <v>0.6417794</v>
      </c>
      <c r="Z371" s="36">
        <v>0.6767128</v>
      </c>
      <c r="AA371" s="36">
        <v>0.69819799999999999</v>
      </c>
      <c r="AB371" s="393">
        <v>1</v>
      </c>
    </row>
    <row r="372" spans="2:28" ht="0.5" customHeight="1">
      <c r="B372" s="9" t="s">
        <v>45</v>
      </c>
      <c r="C372" s="9" t="str">
        <f t="shared" ref="C372:C435" si="62">CONCATENATE(B372,D372)</f>
        <v>Ecuador47</v>
      </c>
      <c r="D372" s="9">
        <v>47</v>
      </c>
      <c r="E372" s="36">
        <v>0.19158549999999999</v>
      </c>
      <c r="F372" s="36">
        <v>0.47314980000000001</v>
      </c>
      <c r="G372" s="36">
        <v>0.8334028</v>
      </c>
      <c r="H372" s="36">
        <v>0.90786820000000001</v>
      </c>
      <c r="I372" s="36">
        <v>0.93575969999999997</v>
      </c>
      <c r="J372" s="393">
        <v>1</v>
      </c>
      <c r="K372" s="36">
        <v>0.50311300000000003</v>
      </c>
      <c r="L372" s="36">
        <v>0.6068074</v>
      </c>
      <c r="M372" s="36">
        <v>0.84236869999999997</v>
      </c>
      <c r="N372" s="36">
        <v>0.95175929999999997</v>
      </c>
      <c r="O372" s="36">
        <v>0.9736418</v>
      </c>
      <c r="P372" s="393">
        <v>1</v>
      </c>
      <c r="Q372" s="36">
        <v>4.7251300000000003E-2</v>
      </c>
      <c r="R372" s="36">
        <v>0.1370489</v>
      </c>
      <c r="S372" s="36">
        <v>0.37844610000000001</v>
      </c>
      <c r="T372" s="36">
        <v>0.39734609999999998</v>
      </c>
      <c r="U372" s="36">
        <v>0.41109859999999998</v>
      </c>
      <c r="V372" s="393">
        <v>1</v>
      </c>
      <c r="W372" s="36">
        <v>0.41899310000000001</v>
      </c>
      <c r="X372" s="36">
        <v>0.48144880000000001</v>
      </c>
      <c r="Y372" s="36">
        <v>0.64699569999999995</v>
      </c>
      <c r="Z372" s="36">
        <v>0.68203179999999997</v>
      </c>
      <c r="AA372" s="36">
        <v>0.70121560000000005</v>
      </c>
      <c r="AB372" s="393">
        <v>1</v>
      </c>
    </row>
    <row r="373" spans="2:28" ht="0.5" customHeight="1">
      <c r="B373" s="9" t="s">
        <v>45</v>
      </c>
      <c r="C373" s="9" t="str">
        <f t="shared" si="62"/>
        <v>Ecuador48</v>
      </c>
      <c r="D373" s="9">
        <v>48</v>
      </c>
      <c r="E373" s="36">
        <v>0.19113769999999999</v>
      </c>
      <c r="F373" s="36">
        <v>0.46603699999999998</v>
      </c>
      <c r="G373" s="36">
        <v>0.83052610000000004</v>
      </c>
      <c r="H373" s="36">
        <v>0.90497309999999997</v>
      </c>
      <c r="I373" s="36">
        <v>0.93235840000000003</v>
      </c>
      <c r="J373" s="393">
        <v>1</v>
      </c>
      <c r="K373" s="36">
        <v>0.50532639999999995</v>
      </c>
      <c r="L373" s="36">
        <v>0.60544790000000004</v>
      </c>
      <c r="M373" s="36">
        <v>0.84266640000000004</v>
      </c>
      <c r="N373" s="36">
        <v>0.95215170000000005</v>
      </c>
      <c r="O373" s="36">
        <v>0.97435190000000005</v>
      </c>
      <c r="P373" s="393">
        <v>1</v>
      </c>
      <c r="Q373" s="36">
        <v>4.6473100000000003E-2</v>
      </c>
      <c r="R373" s="36">
        <v>0.13411400000000001</v>
      </c>
      <c r="S373" s="36">
        <v>0.37540099999999998</v>
      </c>
      <c r="T373" s="36">
        <v>0.3944531</v>
      </c>
      <c r="U373" s="36">
        <v>0.40755669999999999</v>
      </c>
      <c r="V373" s="393">
        <v>1</v>
      </c>
      <c r="W373" s="36">
        <v>0.42272460000000001</v>
      </c>
      <c r="X373" s="36">
        <v>0.48156769999999999</v>
      </c>
      <c r="Y373" s="36">
        <v>0.64515909999999999</v>
      </c>
      <c r="Z373" s="36">
        <v>0.6799811</v>
      </c>
      <c r="AA373" s="36">
        <v>0.69790459999999999</v>
      </c>
      <c r="AB373" s="393">
        <v>1</v>
      </c>
    </row>
    <row r="374" spans="2:28" ht="0.5" customHeight="1">
      <c r="B374" s="9" t="s">
        <v>45</v>
      </c>
      <c r="C374" s="9" t="str">
        <f t="shared" si="62"/>
        <v>Ecuador49</v>
      </c>
      <c r="D374" s="9">
        <v>49</v>
      </c>
      <c r="E374" s="36">
        <v>0.18847050000000001</v>
      </c>
      <c r="F374" s="36">
        <v>0.450517</v>
      </c>
      <c r="G374" s="36">
        <v>0.82205879999999998</v>
      </c>
      <c r="H374" s="36">
        <v>0.8954936</v>
      </c>
      <c r="I374" s="36">
        <v>0.922184</v>
      </c>
      <c r="J374" s="393">
        <v>1</v>
      </c>
      <c r="K374" s="36">
        <v>0.49967440000000002</v>
      </c>
      <c r="L374" s="36">
        <v>0.59362619999999999</v>
      </c>
      <c r="M374" s="36">
        <v>0.83154790000000001</v>
      </c>
      <c r="N374" s="36">
        <v>0.94186619999999999</v>
      </c>
      <c r="O374" s="36">
        <v>0.96443199999999996</v>
      </c>
      <c r="P374" s="393">
        <v>1</v>
      </c>
      <c r="Q374" s="36">
        <v>4.3662899999999998E-2</v>
      </c>
      <c r="R374" s="36">
        <v>0.12633030000000001</v>
      </c>
      <c r="S374" s="36">
        <v>0.36586170000000001</v>
      </c>
      <c r="T374" s="36">
        <v>0.3849958</v>
      </c>
      <c r="U374" s="36">
        <v>0.3971691</v>
      </c>
      <c r="V374" s="393">
        <v>1</v>
      </c>
      <c r="W374" s="36">
        <v>0.42991010000000002</v>
      </c>
      <c r="X374" s="36">
        <v>0.4839001</v>
      </c>
      <c r="Y374" s="36">
        <v>0.64541059999999995</v>
      </c>
      <c r="Z374" s="36">
        <v>0.67995589999999995</v>
      </c>
      <c r="AA374" s="36">
        <v>0.69602540000000002</v>
      </c>
      <c r="AB374" s="393">
        <v>1</v>
      </c>
    </row>
    <row r="375" spans="2:28" ht="0.5" customHeight="1">
      <c r="B375" s="9" t="s">
        <v>45</v>
      </c>
      <c r="C375" s="9" t="str">
        <f t="shared" si="62"/>
        <v>Ecuador50</v>
      </c>
      <c r="D375" s="9">
        <v>50</v>
      </c>
      <c r="E375" s="36">
        <v>0.1874459</v>
      </c>
      <c r="F375" s="36">
        <v>0.44518219999999997</v>
      </c>
      <c r="G375" s="36">
        <v>0.81855599999999995</v>
      </c>
      <c r="H375" s="36">
        <v>0.89128019999999997</v>
      </c>
      <c r="I375" s="36">
        <v>0.91798690000000005</v>
      </c>
      <c r="J375" s="393">
        <v>1</v>
      </c>
      <c r="K375" s="36">
        <v>0.49403340000000001</v>
      </c>
      <c r="L375" s="36">
        <v>0.58673379999999997</v>
      </c>
      <c r="M375" s="36">
        <v>0.82485359999999996</v>
      </c>
      <c r="N375" s="36">
        <v>0.93590879999999999</v>
      </c>
      <c r="O375" s="36">
        <v>0.95855559999999995</v>
      </c>
      <c r="P375" s="393">
        <v>1</v>
      </c>
      <c r="Q375" s="36">
        <v>4.2159299999999997E-2</v>
      </c>
      <c r="R375" s="36">
        <v>0.12157320000000001</v>
      </c>
      <c r="S375" s="36">
        <v>0.36071189999999997</v>
      </c>
      <c r="T375" s="36">
        <v>0.37987569999999998</v>
      </c>
      <c r="U375" s="36">
        <v>0.39165090000000002</v>
      </c>
      <c r="V375" s="393">
        <v>1</v>
      </c>
      <c r="W375" s="36">
        <v>0.42935649999999997</v>
      </c>
      <c r="X375" s="36">
        <v>0.48195880000000002</v>
      </c>
      <c r="Y375" s="36">
        <v>0.64224499999999995</v>
      </c>
      <c r="Z375" s="36">
        <v>0.67659259999999999</v>
      </c>
      <c r="AA375" s="36">
        <v>0.6918337</v>
      </c>
      <c r="AB375" s="393">
        <v>1</v>
      </c>
    </row>
    <row r="376" spans="2:28" ht="0.5" customHeight="1">
      <c r="B376" s="9" t="s">
        <v>45</v>
      </c>
      <c r="C376" s="9" t="str">
        <f t="shared" si="62"/>
        <v>Ecuador51</v>
      </c>
      <c r="D376" s="9">
        <v>51</v>
      </c>
      <c r="E376" s="36">
        <v>0.18793170000000001</v>
      </c>
      <c r="F376" s="36">
        <v>0.44106020000000001</v>
      </c>
      <c r="G376" s="36">
        <v>0.8161891</v>
      </c>
      <c r="H376" s="36">
        <v>0.88803399999999999</v>
      </c>
      <c r="I376" s="36">
        <v>0.91491230000000001</v>
      </c>
      <c r="J376" s="393">
        <v>1</v>
      </c>
      <c r="K376" s="36">
        <v>0.48811060000000001</v>
      </c>
      <c r="L376" s="36">
        <v>0.58127329999999999</v>
      </c>
      <c r="M376" s="36">
        <v>0.82029620000000003</v>
      </c>
      <c r="N376" s="36">
        <v>0.93189699999999998</v>
      </c>
      <c r="O376" s="36">
        <v>0.954731</v>
      </c>
      <c r="P376" s="393">
        <v>1</v>
      </c>
      <c r="Q376" s="36">
        <v>4.0763800000000003E-2</v>
      </c>
      <c r="R376" s="36">
        <v>0.1166225</v>
      </c>
      <c r="S376" s="36">
        <v>0.35503489999999999</v>
      </c>
      <c r="T376" s="36">
        <v>0.37421529999999997</v>
      </c>
      <c r="U376" s="36">
        <v>0.38552419999999998</v>
      </c>
      <c r="V376" s="393">
        <v>1</v>
      </c>
      <c r="W376" s="36">
        <v>0.426481</v>
      </c>
      <c r="X376" s="36">
        <v>0.47769810000000001</v>
      </c>
      <c r="Y376" s="36">
        <v>0.63595990000000002</v>
      </c>
      <c r="Z376" s="36">
        <v>0.67021010000000003</v>
      </c>
      <c r="AA376" s="36">
        <v>0.68475649999999999</v>
      </c>
      <c r="AB376" s="393">
        <v>1</v>
      </c>
    </row>
    <row r="377" spans="2:28" ht="0.5" customHeight="1">
      <c r="B377" s="9" t="s">
        <v>45</v>
      </c>
      <c r="C377" s="9" t="str">
        <f t="shared" si="62"/>
        <v>Ecuador52</v>
      </c>
      <c r="D377" s="9">
        <v>52</v>
      </c>
      <c r="E377" s="36">
        <v>0.1866507</v>
      </c>
      <c r="F377" s="36">
        <v>0.42848150000000002</v>
      </c>
      <c r="G377" s="36">
        <v>0.80517830000000001</v>
      </c>
      <c r="H377" s="36">
        <v>0.87567260000000002</v>
      </c>
      <c r="I377" s="36">
        <v>0.90354909999999999</v>
      </c>
      <c r="J377" s="393">
        <v>1</v>
      </c>
      <c r="K377" s="36">
        <v>0.48192740000000001</v>
      </c>
      <c r="L377" s="36">
        <v>0.57354810000000001</v>
      </c>
      <c r="M377" s="36">
        <v>0.81285540000000001</v>
      </c>
      <c r="N377" s="36">
        <v>0.92510219999999999</v>
      </c>
      <c r="O377" s="36">
        <v>0.94897299999999996</v>
      </c>
      <c r="P377" s="393">
        <v>1</v>
      </c>
      <c r="Q377" s="36">
        <v>3.8490299999999998E-2</v>
      </c>
      <c r="R377" s="36">
        <v>0.1060748</v>
      </c>
      <c r="S377" s="36">
        <v>0.3424123</v>
      </c>
      <c r="T377" s="36">
        <v>0.3615042</v>
      </c>
      <c r="U377" s="36">
        <v>0.37195129999999998</v>
      </c>
      <c r="V377" s="393">
        <v>1</v>
      </c>
      <c r="W377" s="36">
        <v>0.41964639999999997</v>
      </c>
      <c r="X377" s="36">
        <v>0.46797620000000001</v>
      </c>
      <c r="Y377" s="36">
        <v>0.62225920000000001</v>
      </c>
      <c r="Z377" s="36">
        <v>0.65611339999999996</v>
      </c>
      <c r="AA377" s="36">
        <v>0.66965980000000003</v>
      </c>
      <c r="AB377" s="393">
        <v>1</v>
      </c>
    </row>
    <row r="378" spans="2:28" ht="0.5" customHeight="1">
      <c r="B378" s="9" t="s">
        <v>45</v>
      </c>
      <c r="C378" s="9" t="str">
        <f t="shared" si="62"/>
        <v>Ecuador53</v>
      </c>
      <c r="D378" s="9">
        <v>53</v>
      </c>
      <c r="E378" s="36">
        <v>0.18630389999999999</v>
      </c>
      <c r="F378" s="36">
        <v>0.42304979999999998</v>
      </c>
      <c r="G378" s="36">
        <v>0.79983360000000003</v>
      </c>
      <c r="H378" s="36">
        <v>0.86973120000000004</v>
      </c>
      <c r="I378" s="36">
        <v>0.89827939999999995</v>
      </c>
      <c r="J378" s="393">
        <v>1</v>
      </c>
      <c r="K378" s="36">
        <v>0.48050870000000001</v>
      </c>
      <c r="L378" s="36">
        <v>0.56996939999999996</v>
      </c>
      <c r="M378" s="36">
        <v>0.80878700000000003</v>
      </c>
      <c r="N378" s="36">
        <v>0.92117939999999998</v>
      </c>
      <c r="O378" s="36">
        <v>0.9459883</v>
      </c>
      <c r="P378" s="393">
        <v>1</v>
      </c>
      <c r="Q378" s="36">
        <v>3.7594900000000001E-2</v>
      </c>
      <c r="R378" s="36">
        <v>0.1001611</v>
      </c>
      <c r="S378" s="36">
        <v>0.33527289999999998</v>
      </c>
      <c r="T378" s="36">
        <v>0.35426760000000002</v>
      </c>
      <c r="U378" s="36">
        <v>0.36441129999999999</v>
      </c>
      <c r="V378" s="393">
        <v>1</v>
      </c>
      <c r="W378" s="36">
        <v>0.41714459999999998</v>
      </c>
      <c r="X378" s="36">
        <v>0.46315210000000001</v>
      </c>
      <c r="Y378" s="36">
        <v>0.61593500000000001</v>
      </c>
      <c r="Z378" s="36">
        <v>0.64950949999999996</v>
      </c>
      <c r="AA378" s="36">
        <v>0.6626841</v>
      </c>
      <c r="AB378" s="393">
        <v>1</v>
      </c>
    </row>
    <row r="379" spans="2:28" ht="0.5" customHeight="1">
      <c r="B379" s="9" t="s">
        <v>45</v>
      </c>
      <c r="C379" s="9" t="str">
        <f t="shared" si="62"/>
        <v>Ecuador54</v>
      </c>
      <c r="D379" s="9">
        <v>54</v>
      </c>
      <c r="E379" s="36">
        <v>0.18086079999999999</v>
      </c>
      <c r="F379" s="36">
        <v>0.40832030000000002</v>
      </c>
      <c r="G379" s="36">
        <v>0.78533660000000005</v>
      </c>
      <c r="H379" s="36">
        <v>0.85380849999999997</v>
      </c>
      <c r="I379" s="36">
        <v>0.88448700000000002</v>
      </c>
      <c r="J379" s="393">
        <v>1</v>
      </c>
      <c r="K379" s="36">
        <v>0.48506290000000002</v>
      </c>
      <c r="L379" s="36">
        <v>0.56542119999999996</v>
      </c>
      <c r="M379" s="36">
        <v>0.80105789999999999</v>
      </c>
      <c r="N379" s="36">
        <v>0.91278300000000001</v>
      </c>
      <c r="O379" s="36">
        <v>0.93895079999999997</v>
      </c>
      <c r="P379" s="393">
        <v>1</v>
      </c>
      <c r="Q379" s="36">
        <v>3.6845700000000002E-2</v>
      </c>
      <c r="R379" s="36">
        <v>8.8662699999999997E-2</v>
      </c>
      <c r="S379" s="36">
        <v>0.3224494</v>
      </c>
      <c r="T379" s="36">
        <v>0.34103679999999997</v>
      </c>
      <c r="U379" s="36">
        <v>0.35056569999999998</v>
      </c>
      <c r="V379" s="393">
        <v>1</v>
      </c>
      <c r="W379" s="36">
        <v>0.41893429999999998</v>
      </c>
      <c r="X379" s="36">
        <v>0.4586192</v>
      </c>
      <c r="Y379" s="36">
        <v>0.6049023</v>
      </c>
      <c r="Z379" s="36">
        <v>0.63816879999999998</v>
      </c>
      <c r="AA379" s="36">
        <v>0.65093100000000004</v>
      </c>
      <c r="AB379" s="393">
        <v>1</v>
      </c>
    </row>
    <row r="380" spans="2:28" ht="0.5" customHeight="1">
      <c r="B380" s="9" t="s">
        <v>45</v>
      </c>
      <c r="C380" s="9" t="str">
        <f t="shared" si="62"/>
        <v>Ecuador55</v>
      </c>
      <c r="D380" s="9">
        <v>55</v>
      </c>
      <c r="E380" s="36">
        <v>0.17754059999999999</v>
      </c>
      <c r="F380" s="36">
        <v>0.39951330000000002</v>
      </c>
      <c r="G380" s="36">
        <v>0.77671610000000002</v>
      </c>
      <c r="H380" s="36">
        <v>0.84351149999999997</v>
      </c>
      <c r="I380" s="36">
        <v>0.87522750000000005</v>
      </c>
      <c r="J380" s="393">
        <v>1</v>
      </c>
      <c r="K380" s="36">
        <v>0.49286950000000002</v>
      </c>
      <c r="L380" s="36">
        <v>0.56301069999999998</v>
      </c>
      <c r="M380" s="36">
        <v>0.79782790000000003</v>
      </c>
      <c r="N380" s="36">
        <v>0.90915820000000003</v>
      </c>
      <c r="O380" s="36">
        <v>0.93569769999999997</v>
      </c>
      <c r="P380" s="393">
        <v>1</v>
      </c>
      <c r="Q380" s="36">
        <v>3.75483E-2</v>
      </c>
      <c r="R380" s="36">
        <v>8.4598400000000004E-2</v>
      </c>
      <c r="S380" s="36">
        <v>0.31866080000000002</v>
      </c>
      <c r="T380" s="36">
        <v>0.33693139999999999</v>
      </c>
      <c r="U380" s="36">
        <v>0.34591379999999999</v>
      </c>
      <c r="V380" s="393">
        <v>1</v>
      </c>
      <c r="W380" s="36">
        <v>0.42196339999999999</v>
      </c>
      <c r="X380" s="36">
        <v>0.45769110000000002</v>
      </c>
      <c r="Y380" s="36">
        <v>0.5977903</v>
      </c>
      <c r="Z380" s="36">
        <v>0.63302700000000001</v>
      </c>
      <c r="AA380" s="36">
        <v>0.64596969999999998</v>
      </c>
      <c r="AB380" s="393">
        <v>1</v>
      </c>
    </row>
    <row r="381" spans="2:28" ht="0.5" customHeight="1">
      <c r="B381" s="9" t="s">
        <v>50</v>
      </c>
      <c r="C381" s="9" t="str">
        <f t="shared" si="62"/>
        <v>Honduras20</v>
      </c>
      <c r="D381" s="9">
        <v>20</v>
      </c>
      <c r="E381" s="36">
        <v>0.19231329999999999</v>
      </c>
      <c r="F381" s="36">
        <v>0.58589040000000003</v>
      </c>
      <c r="G381" s="36">
        <v>0.66144150000000002</v>
      </c>
      <c r="H381" s="36">
        <v>0.68348770000000003</v>
      </c>
      <c r="I381" s="36">
        <v>0.80237009999999998</v>
      </c>
      <c r="J381" s="393">
        <v>1</v>
      </c>
      <c r="K381" s="36">
        <v>0.16340180000000001</v>
      </c>
      <c r="L381" s="36">
        <v>0.25809130000000002</v>
      </c>
      <c r="M381" s="36">
        <v>0.27843560000000001</v>
      </c>
      <c r="N381" s="36">
        <v>0.28221429999999997</v>
      </c>
      <c r="O381" s="36">
        <v>0.32844259999999997</v>
      </c>
      <c r="P381" s="393">
        <v>1</v>
      </c>
      <c r="Q381" s="36">
        <v>8.9744000000000004E-2</v>
      </c>
      <c r="R381" s="36">
        <v>0.24058679999999999</v>
      </c>
      <c r="S381" s="36">
        <v>0.28136689999999998</v>
      </c>
      <c r="T381" s="36">
        <v>0.28398469999999998</v>
      </c>
      <c r="U381" s="36">
        <v>0.3533327</v>
      </c>
      <c r="V381" s="393">
        <v>1</v>
      </c>
      <c r="W381" s="36">
        <v>0.14292730000000001</v>
      </c>
      <c r="X381" s="36">
        <v>0.23192180000000001</v>
      </c>
      <c r="Y381" s="36">
        <v>0.24180450000000001</v>
      </c>
      <c r="Z381" s="36">
        <v>0.2435795</v>
      </c>
      <c r="AA381" s="36">
        <v>0.27504620000000002</v>
      </c>
      <c r="AB381" s="393">
        <v>1</v>
      </c>
    </row>
    <row r="382" spans="2:28" ht="0.5" customHeight="1">
      <c r="B382" s="9" t="s">
        <v>50</v>
      </c>
      <c r="C382" s="9" t="str">
        <f t="shared" si="62"/>
        <v>Honduras21</v>
      </c>
      <c r="D382" s="9">
        <v>21</v>
      </c>
      <c r="E382" s="36">
        <v>0.2122501</v>
      </c>
      <c r="F382" s="36">
        <v>0.60376510000000005</v>
      </c>
      <c r="G382" s="36">
        <v>0.68909949999999998</v>
      </c>
      <c r="H382" s="36">
        <v>0.717136</v>
      </c>
      <c r="I382" s="36">
        <v>0.82885900000000001</v>
      </c>
      <c r="J382" s="393">
        <v>1</v>
      </c>
      <c r="K382" s="36">
        <v>0.20172010000000001</v>
      </c>
      <c r="L382" s="36">
        <v>0.30697010000000002</v>
      </c>
      <c r="M382" s="36">
        <v>0.32988200000000001</v>
      </c>
      <c r="N382" s="36">
        <v>0.3393584</v>
      </c>
      <c r="O382" s="36">
        <v>0.38985900000000001</v>
      </c>
      <c r="P382" s="393">
        <v>1</v>
      </c>
      <c r="Q382" s="36">
        <v>0.1015296</v>
      </c>
      <c r="R382" s="36">
        <v>0.24876819999999999</v>
      </c>
      <c r="S382" s="36">
        <v>0.2958674</v>
      </c>
      <c r="T382" s="36">
        <v>0.29930659999999998</v>
      </c>
      <c r="U382" s="36">
        <v>0.36659770000000003</v>
      </c>
      <c r="V382" s="393">
        <v>1</v>
      </c>
      <c r="W382" s="36">
        <v>0.18315999999999999</v>
      </c>
      <c r="X382" s="36">
        <v>0.27811390000000002</v>
      </c>
      <c r="Y382" s="36">
        <v>0.28967779999999999</v>
      </c>
      <c r="Z382" s="36">
        <v>0.29198610000000003</v>
      </c>
      <c r="AA382" s="36">
        <v>0.32804220000000001</v>
      </c>
      <c r="AB382" s="393">
        <v>1</v>
      </c>
    </row>
    <row r="383" spans="2:28" ht="0.5" customHeight="1">
      <c r="B383" s="9" t="s">
        <v>50</v>
      </c>
      <c r="C383" s="9" t="str">
        <f t="shared" si="62"/>
        <v>Honduras22</v>
      </c>
      <c r="D383" s="9">
        <v>22</v>
      </c>
      <c r="E383" s="36">
        <v>0.248942</v>
      </c>
      <c r="F383" s="36">
        <v>0.63448970000000005</v>
      </c>
      <c r="G383" s="36">
        <v>0.73574300000000004</v>
      </c>
      <c r="H383" s="36">
        <v>0.7755997</v>
      </c>
      <c r="I383" s="36">
        <v>0.86960199999999999</v>
      </c>
      <c r="J383" s="393">
        <v>1</v>
      </c>
      <c r="K383" s="36">
        <v>0.27652359999999998</v>
      </c>
      <c r="L383" s="36">
        <v>0.40217429999999998</v>
      </c>
      <c r="M383" s="36">
        <v>0.43117919999999998</v>
      </c>
      <c r="N383" s="36">
        <v>0.45200590000000002</v>
      </c>
      <c r="O383" s="36">
        <v>0.51059730000000003</v>
      </c>
      <c r="P383" s="393">
        <v>1</v>
      </c>
      <c r="Q383" s="36">
        <v>0.1194143</v>
      </c>
      <c r="R383" s="36">
        <v>0.26117699999999999</v>
      </c>
      <c r="S383" s="36">
        <v>0.32363029999999998</v>
      </c>
      <c r="T383" s="36">
        <v>0.32871410000000001</v>
      </c>
      <c r="U383" s="36">
        <v>0.38926040000000001</v>
      </c>
      <c r="V383" s="393">
        <v>1</v>
      </c>
      <c r="W383" s="36">
        <v>0.2596984</v>
      </c>
      <c r="X383" s="36">
        <v>0.36844009999999999</v>
      </c>
      <c r="Y383" s="36">
        <v>0.38508969999999998</v>
      </c>
      <c r="Z383" s="36">
        <v>0.38948969999999999</v>
      </c>
      <c r="AA383" s="36">
        <v>0.43680479999999999</v>
      </c>
      <c r="AB383" s="393">
        <v>1</v>
      </c>
    </row>
    <row r="384" spans="2:28" ht="0.5" customHeight="1">
      <c r="B384" s="9" t="s">
        <v>50</v>
      </c>
      <c r="C384" s="9" t="str">
        <f t="shared" si="62"/>
        <v>Honduras23</v>
      </c>
      <c r="D384" s="9">
        <v>23</v>
      </c>
      <c r="E384" s="36">
        <v>0.26404139999999998</v>
      </c>
      <c r="F384" s="36">
        <v>0.64561579999999996</v>
      </c>
      <c r="G384" s="36">
        <v>0.75367079999999997</v>
      </c>
      <c r="H384" s="36">
        <v>0.79920860000000005</v>
      </c>
      <c r="I384" s="36">
        <v>0.88493889999999997</v>
      </c>
      <c r="J384" s="393">
        <v>1</v>
      </c>
      <c r="K384" s="36">
        <v>0.31426229999999999</v>
      </c>
      <c r="L384" s="36">
        <v>0.44773629999999998</v>
      </c>
      <c r="M384" s="36">
        <v>0.47998380000000002</v>
      </c>
      <c r="N384" s="36">
        <v>0.50637169999999998</v>
      </c>
      <c r="O384" s="36">
        <v>0.56788179999999999</v>
      </c>
      <c r="P384" s="393">
        <v>1</v>
      </c>
      <c r="Q384" s="36">
        <v>0.12661030000000001</v>
      </c>
      <c r="R384" s="36">
        <v>0.2654166</v>
      </c>
      <c r="S384" s="36">
        <v>0.336455</v>
      </c>
      <c r="T384" s="36">
        <v>0.34240470000000001</v>
      </c>
      <c r="U384" s="36">
        <v>0.39951619999999999</v>
      </c>
      <c r="V384" s="393">
        <v>1</v>
      </c>
      <c r="W384" s="36">
        <v>0.2979617</v>
      </c>
      <c r="X384" s="36">
        <v>0.41175210000000001</v>
      </c>
      <c r="Y384" s="36">
        <v>0.43189450000000001</v>
      </c>
      <c r="Z384" s="36">
        <v>0.43801679999999998</v>
      </c>
      <c r="AA384" s="36">
        <v>0.49069780000000002</v>
      </c>
      <c r="AB384" s="393">
        <v>1</v>
      </c>
    </row>
    <row r="385" spans="2:28" ht="0.5" customHeight="1">
      <c r="B385" s="9" t="s">
        <v>50</v>
      </c>
      <c r="C385" s="9" t="str">
        <f t="shared" si="62"/>
        <v>Honduras24</v>
      </c>
      <c r="D385" s="9">
        <v>24</v>
      </c>
      <c r="E385" s="36">
        <v>0.2844216</v>
      </c>
      <c r="F385" s="36">
        <v>0.65691949999999999</v>
      </c>
      <c r="G385" s="36">
        <v>0.77820900000000004</v>
      </c>
      <c r="H385" s="36">
        <v>0.83560679999999998</v>
      </c>
      <c r="I385" s="36">
        <v>0.9076476</v>
      </c>
      <c r="J385" s="393">
        <v>1</v>
      </c>
      <c r="K385" s="36">
        <v>0.38718029999999998</v>
      </c>
      <c r="L385" s="36">
        <v>0.53165450000000003</v>
      </c>
      <c r="M385" s="36">
        <v>0.5705614</v>
      </c>
      <c r="N385" s="36">
        <v>0.60823700000000003</v>
      </c>
      <c r="O385" s="36">
        <v>0.6733382</v>
      </c>
      <c r="P385" s="393">
        <v>1</v>
      </c>
      <c r="Q385" s="36">
        <v>0.13489860000000001</v>
      </c>
      <c r="R385" s="36">
        <v>0.26678649999999998</v>
      </c>
      <c r="S385" s="36">
        <v>0.35496119999999998</v>
      </c>
      <c r="T385" s="36">
        <v>0.3625951</v>
      </c>
      <c r="U385" s="36">
        <v>0.41334199999999999</v>
      </c>
      <c r="V385" s="393">
        <v>1</v>
      </c>
      <c r="W385" s="36">
        <v>0.3674675</v>
      </c>
      <c r="X385" s="36">
        <v>0.49223529999999999</v>
      </c>
      <c r="Y385" s="36">
        <v>0.5206499</v>
      </c>
      <c r="Z385" s="36">
        <v>0.53163459999999996</v>
      </c>
      <c r="AA385" s="36">
        <v>0.59180010000000005</v>
      </c>
      <c r="AB385" s="393">
        <v>1</v>
      </c>
    </row>
    <row r="386" spans="2:28" ht="0.5" customHeight="1">
      <c r="B386" s="9" t="s">
        <v>50</v>
      </c>
      <c r="C386" s="9" t="str">
        <f t="shared" si="62"/>
        <v>Honduras25</v>
      </c>
      <c r="D386" s="9">
        <v>25</v>
      </c>
      <c r="E386" s="36">
        <v>0.2905951</v>
      </c>
      <c r="F386" s="36">
        <v>0.65864780000000001</v>
      </c>
      <c r="G386" s="36">
        <v>0.78660090000000005</v>
      </c>
      <c r="H386" s="36">
        <v>0.84975279999999997</v>
      </c>
      <c r="I386" s="36">
        <v>0.91640029999999995</v>
      </c>
      <c r="J386" s="393">
        <v>1</v>
      </c>
      <c r="K386" s="36">
        <v>0.41990480000000002</v>
      </c>
      <c r="L386" s="36">
        <v>0.56778070000000003</v>
      </c>
      <c r="M386" s="36">
        <v>0.61021910000000001</v>
      </c>
      <c r="N386" s="36">
        <v>0.65373049999999999</v>
      </c>
      <c r="O386" s="36">
        <v>0.71927379999999996</v>
      </c>
      <c r="P386" s="393">
        <v>1</v>
      </c>
      <c r="Q386" s="36">
        <v>0.13764989999999999</v>
      </c>
      <c r="R386" s="36">
        <v>0.26559830000000001</v>
      </c>
      <c r="S386" s="36">
        <v>0.36317199999999999</v>
      </c>
      <c r="T386" s="36">
        <v>0.37167169999999999</v>
      </c>
      <c r="U386" s="36">
        <v>0.41946519999999998</v>
      </c>
      <c r="V386" s="393">
        <v>1</v>
      </c>
      <c r="W386" s="36">
        <v>0.39624100000000001</v>
      </c>
      <c r="X386" s="36">
        <v>0.52590119999999996</v>
      </c>
      <c r="Y386" s="36">
        <v>0.55851470000000003</v>
      </c>
      <c r="Z386" s="36">
        <v>0.5726945</v>
      </c>
      <c r="AA386" s="36">
        <v>0.63481180000000004</v>
      </c>
      <c r="AB386" s="393">
        <v>1</v>
      </c>
    </row>
    <row r="387" spans="2:28" ht="0.5" customHeight="1">
      <c r="B387" s="9" t="s">
        <v>50</v>
      </c>
      <c r="C387" s="9" t="str">
        <f t="shared" si="62"/>
        <v>Honduras26</v>
      </c>
      <c r="D387" s="9">
        <v>26</v>
      </c>
      <c r="E387" s="36">
        <v>0.29215659999999999</v>
      </c>
      <c r="F387" s="36">
        <v>0.65565150000000005</v>
      </c>
      <c r="G387" s="36">
        <v>0.79016799999999998</v>
      </c>
      <c r="H387" s="36">
        <v>0.85872879999999996</v>
      </c>
      <c r="I387" s="36">
        <v>0.92041649999999997</v>
      </c>
      <c r="J387" s="393">
        <v>1</v>
      </c>
      <c r="K387" s="36">
        <v>0.44983610000000002</v>
      </c>
      <c r="L387" s="36">
        <v>0.60084899999999997</v>
      </c>
      <c r="M387" s="36">
        <v>0.64698520000000004</v>
      </c>
      <c r="N387" s="36">
        <v>0.69642669999999995</v>
      </c>
      <c r="O387" s="36">
        <v>0.7612044</v>
      </c>
      <c r="P387" s="393">
        <v>1</v>
      </c>
      <c r="Q387" s="36">
        <v>0.13969999999999999</v>
      </c>
      <c r="R387" s="36">
        <v>0.26412140000000001</v>
      </c>
      <c r="S387" s="36">
        <v>0.37128250000000002</v>
      </c>
      <c r="T387" s="36">
        <v>0.38068150000000001</v>
      </c>
      <c r="U387" s="36">
        <v>0.42554920000000002</v>
      </c>
      <c r="V387" s="393">
        <v>1</v>
      </c>
      <c r="W387" s="36">
        <v>0.42248730000000001</v>
      </c>
      <c r="X387" s="36">
        <v>0.55506630000000001</v>
      </c>
      <c r="Y387" s="36">
        <v>0.59185989999999999</v>
      </c>
      <c r="Z387" s="36">
        <v>0.6093847</v>
      </c>
      <c r="AA387" s="36">
        <v>0.67275289999999999</v>
      </c>
      <c r="AB387" s="393">
        <v>1</v>
      </c>
    </row>
    <row r="388" spans="2:28" ht="0.5" customHeight="1">
      <c r="B388" s="9" t="s">
        <v>50</v>
      </c>
      <c r="C388" s="9" t="str">
        <f t="shared" si="62"/>
        <v>Honduras27</v>
      </c>
      <c r="D388" s="9">
        <v>27</v>
      </c>
      <c r="E388" s="36">
        <v>0.28769470000000003</v>
      </c>
      <c r="F388" s="36">
        <v>0.64071789999999995</v>
      </c>
      <c r="G388" s="36">
        <v>0.78843640000000004</v>
      </c>
      <c r="H388" s="36">
        <v>0.86869830000000003</v>
      </c>
      <c r="I388" s="36">
        <v>0.92533810000000005</v>
      </c>
      <c r="J388" s="393">
        <v>1</v>
      </c>
      <c r="K388" s="36">
        <v>0.49868760000000001</v>
      </c>
      <c r="L388" s="36">
        <v>0.65404839999999997</v>
      </c>
      <c r="M388" s="36">
        <v>0.70744470000000004</v>
      </c>
      <c r="N388" s="36">
        <v>0.76860280000000003</v>
      </c>
      <c r="O388" s="36">
        <v>0.82850639999999998</v>
      </c>
      <c r="P388" s="393">
        <v>1</v>
      </c>
      <c r="Q388" s="36">
        <v>0.14082</v>
      </c>
      <c r="R388" s="36">
        <v>0.25830720000000001</v>
      </c>
      <c r="S388" s="36">
        <v>0.38338990000000001</v>
      </c>
      <c r="T388" s="36">
        <v>0.39475090000000002</v>
      </c>
      <c r="U388" s="36">
        <v>0.43472070000000002</v>
      </c>
      <c r="V388" s="393">
        <v>1</v>
      </c>
      <c r="W388" s="36">
        <v>0.46263520000000002</v>
      </c>
      <c r="X388" s="36">
        <v>0.59361330000000001</v>
      </c>
      <c r="Y388" s="36">
        <v>0.63949509999999998</v>
      </c>
      <c r="Z388" s="36">
        <v>0.66279560000000004</v>
      </c>
      <c r="AA388" s="36">
        <v>0.72761229999999999</v>
      </c>
      <c r="AB388" s="393">
        <v>1</v>
      </c>
    </row>
    <row r="389" spans="2:28" ht="0.5" customHeight="1">
      <c r="B389" s="9" t="s">
        <v>50</v>
      </c>
      <c r="C389" s="9" t="str">
        <f t="shared" si="62"/>
        <v>Honduras28</v>
      </c>
      <c r="D389" s="9">
        <v>28</v>
      </c>
      <c r="E389" s="36">
        <v>0.28290700000000002</v>
      </c>
      <c r="F389" s="36">
        <v>0.63027520000000004</v>
      </c>
      <c r="G389" s="36">
        <v>0.78399439999999998</v>
      </c>
      <c r="H389" s="36">
        <v>0.87023349999999999</v>
      </c>
      <c r="I389" s="36">
        <v>0.9246354</v>
      </c>
      <c r="J389" s="393">
        <v>1</v>
      </c>
      <c r="K389" s="36">
        <v>0.51988140000000005</v>
      </c>
      <c r="L389" s="36">
        <v>0.6758016</v>
      </c>
      <c r="M389" s="36">
        <v>0.73292990000000002</v>
      </c>
      <c r="N389" s="36">
        <v>0.79956689999999997</v>
      </c>
      <c r="O389" s="36">
        <v>0.85633519999999996</v>
      </c>
      <c r="P389" s="393">
        <v>1</v>
      </c>
      <c r="Q389" s="36">
        <v>0.1397369</v>
      </c>
      <c r="R389" s="36">
        <v>0.2548144</v>
      </c>
      <c r="S389" s="36">
        <v>0.38877279999999997</v>
      </c>
      <c r="T389" s="36">
        <v>0.40114509999999998</v>
      </c>
      <c r="U389" s="36">
        <v>0.43935940000000001</v>
      </c>
      <c r="V389" s="393">
        <v>1</v>
      </c>
      <c r="W389" s="36">
        <v>0.47776459999999998</v>
      </c>
      <c r="X389" s="36">
        <v>0.60594820000000005</v>
      </c>
      <c r="Y389" s="36">
        <v>0.655972</v>
      </c>
      <c r="Z389" s="36">
        <v>0.68193269999999995</v>
      </c>
      <c r="AA389" s="36">
        <v>0.746444</v>
      </c>
      <c r="AB389" s="393">
        <v>1</v>
      </c>
    </row>
    <row r="390" spans="2:28" ht="0.5" customHeight="1">
      <c r="B390" s="9" t="s">
        <v>50</v>
      </c>
      <c r="C390" s="9" t="str">
        <f t="shared" si="62"/>
        <v>Honduras29</v>
      </c>
      <c r="D390" s="9">
        <v>29</v>
      </c>
      <c r="E390" s="36">
        <v>0.2762792</v>
      </c>
      <c r="F390" s="36">
        <v>0.61180120000000004</v>
      </c>
      <c r="G390" s="36">
        <v>0.77809280000000003</v>
      </c>
      <c r="H390" s="36">
        <v>0.87489980000000001</v>
      </c>
      <c r="I390" s="36">
        <v>0.92403880000000005</v>
      </c>
      <c r="J390" s="393">
        <v>1</v>
      </c>
      <c r="K390" s="36">
        <v>0.5479387</v>
      </c>
      <c r="L390" s="36">
        <v>0.70214189999999999</v>
      </c>
      <c r="M390" s="36">
        <v>0.76688250000000002</v>
      </c>
      <c r="N390" s="36">
        <v>0.84451779999999999</v>
      </c>
      <c r="O390" s="36">
        <v>0.8936771</v>
      </c>
      <c r="P390" s="393">
        <v>1</v>
      </c>
      <c r="Q390" s="36">
        <v>0.1365876</v>
      </c>
      <c r="R390" s="36">
        <v>0.2464664</v>
      </c>
      <c r="S390" s="36">
        <v>0.397424</v>
      </c>
      <c r="T390" s="36">
        <v>0.412018</v>
      </c>
      <c r="U390" s="36">
        <v>0.44675409999999999</v>
      </c>
      <c r="V390" s="393">
        <v>1</v>
      </c>
      <c r="W390" s="36">
        <v>0.50008660000000005</v>
      </c>
      <c r="X390" s="36">
        <v>0.62044730000000003</v>
      </c>
      <c r="Y390" s="36">
        <v>0.67864990000000003</v>
      </c>
      <c r="Z390" s="36">
        <v>0.7106382</v>
      </c>
      <c r="AA390" s="36">
        <v>0.77370729999999999</v>
      </c>
      <c r="AB390" s="393">
        <v>1</v>
      </c>
    </row>
    <row r="391" spans="2:28" ht="0.5" customHeight="1">
      <c r="B391" s="9" t="s">
        <v>50</v>
      </c>
      <c r="C391" s="9" t="str">
        <f t="shared" si="62"/>
        <v>Honduras30</v>
      </c>
      <c r="D391" s="9">
        <v>30</v>
      </c>
      <c r="E391" s="36">
        <v>0.27506760000000002</v>
      </c>
      <c r="F391" s="36">
        <v>0.60443599999999997</v>
      </c>
      <c r="G391" s="36">
        <v>0.77770680000000003</v>
      </c>
      <c r="H391" s="36">
        <v>0.87956460000000003</v>
      </c>
      <c r="I391" s="36">
        <v>0.92621019999999998</v>
      </c>
      <c r="J391" s="393">
        <v>1</v>
      </c>
      <c r="K391" s="36">
        <v>0.55896369999999995</v>
      </c>
      <c r="L391" s="36">
        <v>0.71076729999999999</v>
      </c>
      <c r="M391" s="36">
        <v>0.77888239999999997</v>
      </c>
      <c r="N391" s="36">
        <v>0.86145609999999995</v>
      </c>
      <c r="O391" s="36">
        <v>0.9082751</v>
      </c>
      <c r="P391" s="393">
        <v>1</v>
      </c>
      <c r="Q391" s="36">
        <v>0.133939</v>
      </c>
      <c r="R391" s="36">
        <v>0.2416895</v>
      </c>
      <c r="S391" s="36">
        <v>0.40126460000000003</v>
      </c>
      <c r="T391" s="36">
        <v>0.41695789999999999</v>
      </c>
      <c r="U391" s="36">
        <v>0.44958429999999999</v>
      </c>
      <c r="V391" s="393">
        <v>1</v>
      </c>
      <c r="W391" s="36">
        <v>0.51074609999999998</v>
      </c>
      <c r="X391" s="36">
        <v>0.62677640000000001</v>
      </c>
      <c r="Y391" s="36">
        <v>0.68861969999999995</v>
      </c>
      <c r="Z391" s="36">
        <v>0.72280060000000002</v>
      </c>
      <c r="AA391" s="36">
        <v>0.78476310000000005</v>
      </c>
      <c r="AB391" s="393">
        <v>1</v>
      </c>
    </row>
    <row r="392" spans="2:28" ht="0.5" customHeight="1">
      <c r="B392" s="9" t="s">
        <v>50</v>
      </c>
      <c r="C392" s="9" t="str">
        <f t="shared" si="62"/>
        <v>Honduras31</v>
      </c>
      <c r="D392" s="9">
        <v>31</v>
      </c>
      <c r="E392" s="36">
        <v>0.27456970000000003</v>
      </c>
      <c r="F392" s="36">
        <v>0.59792389999999995</v>
      </c>
      <c r="G392" s="36">
        <v>0.77755350000000001</v>
      </c>
      <c r="H392" s="36">
        <v>0.88502440000000004</v>
      </c>
      <c r="I392" s="36">
        <v>0.92924340000000005</v>
      </c>
      <c r="J392" s="393">
        <v>1</v>
      </c>
      <c r="K392" s="36">
        <v>0.56695839999999997</v>
      </c>
      <c r="L392" s="36">
        <v>0.71632130000000005</v>
      </c>
      <c r="M392" s="36">
        <v>0.78744879999999995</v>
      </c>
      <c r="N392" s="36">
        <v>0.87489229999999996</v>
      </c>
      <c r="O392" s="36">
        <v>0.92034260000000001</v>
      </c>
      <c r="P392" s="393">
        <v>1</v>
      </c>
      <c r="Q392" s="36">
        <v>0.13106309999999999</v>
      </c>
      <c r="R392" s="36">
        <v>0.2372669</v>
      </c>
      <c r="S392" s="36">
        <v>0.40528459999999999</v>
      </c>
      <c r="T392" s="36">
        <v>0.42211920000000003</v>
      </c>
      <c r="U392" s="36">
        <v>0.45261309999999999</v>
      </c>
      <c r="V392" s="393">
        <v>1</v>
      </c>
      <c r="W392" s="36">
        <v>0.52168760000000003</v>
      </c>
      <c r="X392" s="36">
        <v>0.63238139999999998</v>
      </c>
      <c r="Y392" s="36">
        <v>0.69744620000000002</v>
      </c>
      <c r="Z392" s="36">
        <v>0.73335969999999995</v>
      </c>
      <c r="AA392" s="36">
        <v>0.79405919999999997</v>
      </c>
      <c r="AB392" s="393">
        <v>1</v>
      </c>
    </row>
    <row r="393" spans="2:28" ht="0.5" customHeight="1">
      <c r="B393" s="9" t="s">
        <v>50</v>
      </c>
      <c r="C393" s="9" t="str">
        <f t="shared" si="62"/>
        <v>Honduras32</v>
      </c>
      <c r="D393" s="9">
        <v>32</v>
      </c>
      <c r="E393" s="36">
        <v>0.27437030000000001</v>
      </c>
      <c r="F393" s="36">
        <v>0.58659439999999996</v>
      </c>
      <c r="G393" s="36">
        <v>0.77622590000000002</v>
      </c>
      <c r="H393" s="36">
        <v>0.89387760000000005</v>
      </c>
      <c r="I393" s="36">
        <v>0.93508360000000001</v>
      </c>
      <c r="J393" s="393">
        <v>1</v>
      </c>
      <c r="K393" s="36">
        <v>0.57171490000000003</v>
      </c>
      <c r="L393" s="36">
        <v>0.71710249999999998</v>
      </c>
      <c r="M393" s="36">
        <v>0.79310950000000002</v>
      </c>
      <c r="N393" s="36">
        <v>0.88911879999999999</v>
      </c>
      <c r="O393" s="36">
        <v>0.93331120000000001</v>
      </c>
      <c r="P393" s="393">
        <v>1</v>
      </c>
      <c r="Q393" s="36">
        <v>0.1271004</v>
      </c>
      <c r="R393" s="36">
        <v>0.2302825</v>
      </c>
      <c r="S393" s="36">
        <v>0.41498030000000002</v>
      </c>
      <c r="T393" s="36">
        <v>0.43406430000000001</v>
      </c>
      <c r="U393" s="36">
        <v>0.46081949999999999</v>
      </c>
      <c r="V393" s="393">
        <v>1</v>
      </c>
      <c r="W393" s="36">
        <v>0.5412479</v>
      </c>
      <c r="X393" s="36">
        <v>0.64513540000000003</v>
      </c>
      <c r="Y393" s="36">
        <v>0.71525689999999997</v>
      </c>
      <c r="Z393" s="36">
        <v>0.75428669999999998</v>
      </c>
      <c r="AA393" s="36">
        <v>0.81035440000000003</v>
      </c>
      <c r="AB393" s="393">
        <v>1</v>
      </c>
    </row>
    <row r="394" spans="2:28" ht="0.5" customHeight="1">
      <c r="B394" s="9" t="s">
        <v>50</v>
      </c>
      <c r="C394" s="9" t="str">
        <f t="shared" si="62"/>
        <v>Honduras33</v>
      </c>
      <c r="D394" s="9">
        <v>33</v>
      </c>
      <c r="E394" s="36">
        <v>0.27403690000000003</v>
      </c>
      <c r="F394" s="36">
        <v>0.58099990000000001</v>
      </c>
      <c r="G394" s="36">
        <v>0.77526269999999997</v>
      </c>
      <c r="H394" s="36">
        <v>0.89682539999999999</v>
      </c>
      <c r="I394" s="36">
        <v>0.93656150000000005</v>
      </c>
      <c r="J394" s="393">
        <v>1</v>
      </c>
      <c r="K394" s="36">
        <v>0.57075580000000004</v>
      </c>
      <c r="L394" s="36">
        <v>0.71256169999999996</v>
      </c>
      <c r="M394" s="36">
        <v>0.79076329999999995</v>
      </c>
      <c r="N394" s="36">
        <v>0.89024579999999998</v>
      </c>
      <c r="O394" s="36">
        <v>0.93296239999999997</v>
      </c>
      <c r="P394" s="393">
        <v>1</v>
      </c>
      <c r="Q394" s="36">
        <v>0.12574189999999999</v>
      </c>
      <c r="R394" s="36">
        <v>0.22781999999999999</v>
      </c>
      <c r="S394" s="36">
        <v>0.42128599999999999</v>
      </c>
      <c r="T394" s="36">
        <v>0.44126660000000001</v>
      </c>
      <c r="U394" s="36">
        <v>0.46641899999999997</v>
      </c>
      <c r="V394" s="393">
        <v>1</v>
      </c>
      <c r="W394" s="36">
        <v>0.55018719999999999</v>
      </c>
      <c r="X394" s="36">
        <v>0.65314439999999996</v>
      </c>
      <c r="Y394" s="36">
        <v>0.72501040000000005</v>
      </c>
      <c r="Z394" s="36">
        <v>0.76537829999999996</v>
      </c>
      <c r="AA394" s="36">
        <v>0.81768529999999995</v>
      </c>
      <c r="AB394" s="393">
        <v>1</v>
      </c>
    </row>
    <row r="395" spans="2:28" ht="0.5" customHeight="1">
      <c r="B395" s="9" t="s">
        <v>50</v>
      </c>
      <c r="C395" s="9" t="str">
        <f t="shared" si="62"/>
        <v>Honduras34</v>
      </c>
      <c r="D395" s="9">
        <v>34</v>
      </c>
      <c r="E395" s="36">
        <v>0.2699648</v>
      </c>
      <c r="F395" s="36">
        <v>0.56656039999999996</v>
      </c>
      <c r="G395" s="36">
        <v>0.77002269999999995</v>
      </c>
      <c r="H395" s="36">
        <v>0.89863709999999997</v>
      </c>
      <c r="I395" s="36">
        <v>0.93701889999999999</v>
      </c>
      <c r="J395" s="393">
        <v>1</v>
      </c>
      <c r="K395" s="36">
        <v>0.57461200000000001</v>
      </c>
      <c r="L395" s="36">
        <v>0.70815790000000001</v>
      </c>
      <c r="M395" s="36">
        <v>0.79003990000000002</v>
      </c>
      <c r="N395" s="36">
        <v>0.89643340000000005</v>
      </c>
      <c r="O395" s="36">
        <v>0.93848779999999998</v>
      </c>
      <c r="P395" s="393">
        <v>1</v>
      </c>
      <c r="Q395" s="36">
        <v>0.1209489</v>
      </c>
      <c r="R395" s="36">
        <v>0.2204043</v>
      </c>
      <c r="S395" s="36">
        <v>0.42968099999999998</v>
      </c>
      <c r="T395" s="36">
        <v>0.45104860000000002</v>
      </c>
      <c r="U395" s="36">
        <v>0.47358610000000001</v>
      </c>
      <c r="V395" s="393">
        <v>1</v>
      </c>
      <c r="W395" s="36">
        <v>0.56780770000000003</v>
      </c>
      <c r="X395" s="36">
        <v>0.67021180000000002</v>
      </c>
      <c r="Y395" s="36">
        <v>0.74466169999999998</v>
      </c>
      <c r="Z395" s="36">
        <v>0.78917060000000006</v>
      </c>
      <c r="AA395" s="36">
        <v>0.83406930000000001</v>
      </c>
      <c r="AB395" s="393">
        <v>1</v>
      </c>
    </row>
    <row r="396" spans="2:28" ht="0.5" customHeight="1">
      <c r="B396" s="9" t="s">
        <v>50</v>
      </c>
      <c r="C396" s="9" t="str">
        <f t="shared" si="62"/>
        <v>Honduras35</v>
      </c>
      <c r="D396" s="9">
        <v>35</v>
      </c>
      <c r="E396" s="36">
        <v>0.2671618</v>
      </c>
      <c r="F396" s="36">
        <v>0.55908380000000002</v>
      </c>
      <c r="G396" s="36">
        <v>0.76716300000000004</v>
      </c>
      <c r="H396" s="36">
        <v>0.89905009999999996</v>
      </c>
      <c r="I396" s="36">
        <v>0.93728889999999998</v>
      </c>
      <c r="J396" s="393">
        <v>1</v>
      </c>
      <c r="K396" s="36">
        <v>0.5759474</v>
      </c>
      <c r="L396" s="36">
        <v>0.70831370000000005</v>
      </c>
      <c r="M396" s="36">
        <v>0.79143050000000004</v>
      </c>
      <c r="N396" s="36">
        <v>0.90119150000000003</v>
      </c>
      <c r="O396" s="36">
        <v>0.94298369999999998</v>
      </c>
      <c r="P396" s="393">
        <v>1</v>
      </c>
      <c r="Q396" s="36">
        <v>0.11855400000000001</v>
      </c>
      <c r="R396" s="36">
        <v>0.2160106</v>
      </c>
      <c r="S396" s="36">
        <v>0.4322782</v>
      </c>
      <c r="T396" s="36">
        <v>0.45408470000000001</v>
      </c>
      <c r="U396" s="36">
        <v>0.47560590000000003</v>
      </c>
      <c r="V396" s="393">
        <v>1</v>
      </c>
      <c r="W396" s="36">
        <v>0.57735590000000003</v>
      </c>
      <c r="X396" s="36">
        <v>0.67742740000000001</v>
      </c>
      <c r="Y396" s="36">
        <v>0.75296629999999998</v>
      </c>
      <c r="Z396" s="36">
        <v>0.79956859999999996</v>
      </c>
      <c r="AA396" s="36">
        <v>0.84164629999999996</v>
      </c>
      <c r="AB396" s="393">
        <v>1</v>
      </c>
    </row>
    <row r="397" spans="2:28" ht="0.5" customHeight="1">
      <c r="B397" s="9" t="s">
        <v>50</v>
      </c>
      <c r="C397" s="9" t="str">
        <f t="shared" si="62"/>
        <v>Honduras36</v>
      </c>
      <c r="D397" s="9">
        <v>36</v>
      </c>
      <c r="E397" s="36">
        <v>0.26585579999999998</v>
      </c>
      <c r="F397" s="36">
        <v>0.55329790000000001</v>
      </c>
      <c r="G397" s="36">
        <v>0.76649820000000002</v>
      </c>
      <c r="H397" s="36">
        <v>0.90112840000000005</v>
      </c>
      <c r="I397" s="36">
        <v>0.93936900000000001</v>
      </c>
      <c r="J397" s="393">
        <v>1</v>
      </c>
      <c r="K397" s="36">
        <v>0.5787523</v>
      </c>
      <c r="L397" s="36">
        <v>0.71141739999999998</v>
      </c>
      <c r="M397" s="36">
        <v>0.7955586</v>
      </c>
      <c r="N397" s="36">
        <v>0.90906529999999997</v>
      </c>
      <c r="O397" s="36">
        <v>0.95131750000000004</v>
      </c>
      <c r="P397" s="393">
        <v>1</v>
      </c>
      <c r="Q397" s="36">
        <v>0.1154946</v>
      </c>
      <c r="R397" s="36">
        <v>0.2117821</v>
      </c>
      <c r="S397" s="36">
        <v>0.4352782</v>
      </c>
      <c r="T397" s="36">
        <v>0.45751409999999998</v>
      </c>
      <c r="U397" s="36">
        <v>0.47809309999999999</v>
      </c>
      <c r="V397" s="393">
        <v>1</v>
      </c>
      <c r="W397" s="36">
        <v>0.58620050000000001</v>
      </c>
      <c r="X397" s="36">
        <v>0.684114</v>
      </c>
      <c r="Y397" s="36">
        <v>0.76053570000000004</v>
      </c>
      <c r="Z397" s="36">
        <v>0.80833829999999995</v>
      </c>
      <c r="AA397" s="36">
        <v>0.8481358</v>
      </c>
      <c r="AB397" s="393">
        <v>1</v>
      </c>
    </row>
    <row r="398" spans="2:28" ht="0.5" customHeight="1">
      <c r="B398" s="9" t="s">
        <v>50</v>
      </c>
      <c r="C398" s="9" t="str">
        <f t="shared" si="62"/>
        <v>Honduras37</v>
      </c>
      <c r="D398" s="9">
        <v>37</v>
      </c>
      <c r="E398" s="36">
        <v>0.26044830000000002</v>
      </c>
      <c r="F398" s="36">
        <v>0.54045149999999997</v>
      </c>
      <c r="G398" s="36">
        <v>0.76392530000000003</v>
      </c>
      <c r="H398" s="36">
        <v>0.90470320000000004</v>
      </c>
      <c r="I398" s="36">
        <v>0.94223749999999995</v>
      </c>
      <c r="J398" s="393">
        <v>1</v>
      </c>
      <c r="K398" s="36">
        <v>0.58548889999999998</v>
      </c>
      <c r="L398" s="36">
        <v>0.71715220000000002</v>
      </c>
      <c r="M398" s="36">
        <v>0.80295629999999996</v>
      </c>
      <c r="N398" s="36">
        <v>0.9240526</v>
      </c>
      <c r="O398" s="36">
        <v>0.96708079999999996</v>
      </c>
      <c r="P398" s="393">
        <v>1</v>
      </c>
      <c r="Q398" s="36">
        <v>0.11029319999999999</v>
      </c>
      <c r="R398" s="36">
        <v>0.20449229999999999</v>
      </c>
      <c r="S398" s="36">
        <v>0.43968750000000001</v>
      </c>
      <c r="T398" s="36">
        <v>0.46284740000000002</v>
      </c>
      <c r="U398" s="36">
        <v>0.48229440000000001</v>
      </c>
      <c r="V398" s="393">
        <v>1</v>
      </c>
      <c r="W398" s="36">
        <v>0.59793750000000001</v>
      </c>
      <c r="X398" s="36">
        <v>0.69341600000000003</v>
      </c>
      <c r="Y398" s="36">
        <v>0.76914159999999998</v>
      </c>
      <c r="Z398" s="36">
        <v>0.82097529999999996</v>
      </c>
      <c r="AA398" s="36">
        <v>0.85717540000000003</v>
      </c>
      <c r="AB398" s="393">
        <v>1</v>
      </c>
    </row>
    <row r="399" spans="2:28" ht="0.5" customHeight="1">
      <c r="B399" s="9" t="s">
        <v>50</v>
      </c>
      <c r="C399" s="9" t="str">
        <f t="shared" si="62"/>
        <v>Honduras38</v>
      </c>
      <c r="D399" s="9">
        <v>38</v>
      </c>
      <c r="E399" s="36">
        <v>0.25472119999999998</v>
      </c>
      <c r="F399" s="36">
        <v>0.53152489999999997</v>
      </c>
      <c r="G399" s="36">
        <v>0.75997539999999997</v>
      </c>
      <c r="H399" s="36">
        <v>0.90373510000000001</v>
      </c>
      <c r="I399" s="36">
        <v>0.94081630000000005</v>
      </c>
      <c r="J399" s="393">
        <v>1</v>
      </c>
      <c r="K399" s="36">
        <v>0.5899044</v>
      </c>
      <c r="L399" s="36">
        <v>0.72027719999999995</v>
      </c>
      <c r="M399" s="36">
        <v>0.80694600000000005</v>
      </c>
      <c r="N399" s="36">
        <v>0.93177920000000003</v>
      </c>
      <c r="O399" s="36">
        <v>0.97391470000000002</v>
      </c>
      <c r="P399" s="393">
        <v>1</v>
      </c>
      <c r="Q399" s="36">
        <v>0.1094284</v>
      </c>
      <c r="R399" s="36">
        <v>0.2033856</v>
      </c>
      <c r="S399" s="36">
        <v>0.44437409999999999</v>
      </c>
      <c r="T399" s="36">
        <v>0.46801219999999999</v>
      </c>
      <c r="U399" s="36">
        <v>0.48703059999999998</v>
      </c>
      <c r="V399" s="393">
        <v>1</v>
      </c>
      <c r="W399" s="36">
        <v>0.60591479999999998</v>
      </c>
      <c r="X399" s="36">
        <v>0.69916940000000005</v>
      </c>
      <c r="Y399" s="36">
        <v>0.77485079999999995</v>
      </c>
      <c r="Z399" s="36">
        <v>0.82842899999999997</v>
      </c>
      <c r="AA399" s="36">
        <v>0.86333970000000004</v>
      </c>
      <c r="AB399" s="393">
        <v>1</v>
      </c>
    </row>
    <row r="400" spans="2:28" ht="0.5" customHeight="1">
      <c r="B400" s="9" t="s">
        <v>50</v>
      </c>
      <c r="C400" s="9" t="str">
        <f t="shared" si="62"/>
        <v>Honduras39</v>
      </c>
      <c r="D400" s="9">
        <v>39</v>
      </c>
      <c r="E400" s="36">
        <v>0.24327380000000001</v>
      </c>
      <c r="F400" s="36">
        <v>0.5154164</v>
      </c>
      <c r="G400" s="36">
        <v>0.75544999999999995</v>
      </c>
      <c r="H400" s="36">
        <v>0.90295420000000004</v>
      </c>
      <c r="I400" s="36">
        <v>0.93884690000000004</v>
      </c>
      <c r="J400" s="393">
        <v>1</v>
      </c>
      <c r="K400" s="36">
        <v>0.59500810000000004</v>
      </c>
      <c r="L400" s="36">
        <v>0.72399230000000003</v>
      </c>
      <c r="M400" s="36">
        <v>0.81122740000000004</v>
      </c>
      <c r="N400" s="36">
        <v>0.9433802</v>
      </c>
      <c r="O400" s="36">
        <v>0.98157589999999995</v>
      </c>
      <c r="P400" s="393">
        <v>1</v>
      </c>
      <c r="Q400" s="36">
        <v>0.1063424</v>
      </c>
      <c r="R400" s="36">
        <v>0.198852</v>
      </c>
      <c r="S400" s="36">
        <v>0.44712459999999998</v>
      </c>
      <c r="T400" s="36">
        <v>0.47154040000000003</v>
      </c>
      <c r="U400" s="36">
        <v>0.48934670000000002</v>
      </c>
      <c r="V400" s="393">
        <v>1</v>
      </c>
      <c r="W400" s="36">
        <v>0.62396240000000003</v>
      </c>
      <c r="X400" s="36">
        <v>0.71462939999999997</v>
      </c>
      <c r="Y400" s="36">
        <v>0.79033739999999997</v>
      </c>
      <c r="Z400" s="36">
        <v>0.84529829999999995</v>
      </c>
      <c r="AA400" s="36">
        <v>0.87776430000000005</v>
      </c>
      <c r="AB400" s="393">
        <v>1</v>
      </c>
    </row>
    <row r="401" spans="2:28" ht="0.5" customHeight="1">
      <c r="B401" s="9" t="s">
        <v>50</v>
      </c>
      <c r="C401" s="9" t="str">
        <f t="shared" si="62"/>
        <v>Honduras40</v>
      </c>
      <c r="D401" s="9">
        <v>40</v>
      </c>
      <c r="E401" s="36">
        <v>0.2386527</v>
      </c>
      <c r="F401" s="36">
        <v>0.50821039999999995</v>
      </c>
      <c r="G401" s="36">
        <v>0.75360059999999995</v>
      </c>
      <c r="H401" s="36">
        <v>0.90200769999999997</v>
      </c>
      <c r="I401" s="36">
        <v>0.93706350000000005</v>
      </c>
      <c r="J401" s="393">
        <v>1</v>
      </c>
      <c r="K401" s="36">
        <v>0.59348840000000003</v>
      </c>
      <c r="L401" s="36">
        <v>0.7214161</v>
      </c>
      <c r="M401" s="36">
        <v>0.80930650000000004</v>
      </c>
      <c r="N401" s="36">
        <v>0.94500589999999995</v>
      </c>
      <c r="O401" s="36">
        <v>0.98202140000000004</v>
      </c>
      <c r="P401" s="393">
        <v>1</v>
      </c>
      <c r="Q401" s="36">
        <v>0.10473689999999999</v>
      </c>
      <c r="R401" s="36">
        <v>0.19608619999999999</v>
      </c>
      <c r="S401" s="36">
        <v>0.44761020000000001</v>
      </c>
      <c r="T401" s="36">
        <v>0.47225800000000001</v>
      </c>
      <c r="U401" s="36">
        <v>0.4891914</v>
      </c>
      <c r="V401" s="393">
        <v>1</v>
      </c>
      <c r="W401" s="36">
        <v>0.62952819999999998</v>
      </c>
      <c r="X401" s="36">
        <v>0.7187656</v>
      </c>
      <c r="Y401" s="36">
        <v>0.79410619999999998</v>
      </c>
      <c r="Z401" s="36">
        <v>0.84878100000000001</v>
      </c>
      <c r="AA401" s="36">
        <v>0.88018879999999999</v>
      </c>
      <c r="AB401" s="393">
        <v>1</v>
      </c>
    </row>
    <row r="402" spans="2:28" ht="0.5" customHeight="1">
      <c r="B402" s="9" t="s">
        <v>50</v>
      </c>
      <c r="C402" s="9" t="str">
        <f t="shared" si="62"/>
        <v>Honduras41</v>
      </c>
      <c r="D402" s="9">
        <v>41</v>
      </c>
      <c r="E402" s="36">
        <v>0.23552039999999999</v>
      </c>
      <c r="F402" s="36">
        <v>0.50238879999999997</v>
      </c>
      <c r="G402" s="36">
        <v>0.752521</v>
      </c>
      <c r="H402" s="36">
        <v>0.9027695</v>
      </c>
      <c r="I402" s="36">
        <v>0.93675149999999996</v>
      </c>
      <c r="J402" s="393">
        <v>1</v>
      </c>
      <c r="K402" s="36">
        <v>0.58904219999999996</v>
      </c>
      <c r="L402" s="36">
        <v>0.71494020000000003</v>
      </c>
      <c r="M402" s="36">
        <v>0.80408970000000002</v>
      </c>
      <c r="N402" s="36">
        <v>0.94328040000000002</v>
      </c>
      <c r="O402" s="36">
        <v>0.97949649999999999</v>
      </c>
      <c r="P402" s="393">
        <v>1</v>
      </c>
      <c r="Q402" s="36">
        <v>0.102335</v>
      </c>
      <c r="R402" s="36">
        <v>0.1923858</v>
      </c>
      <c r="S402" s="36">
        <v>0.44641110000000001</v>
      </c>
      <c r="T402" s="36">
        <v>0.4712847</v>
      </c>
      <c r="U402" s="36">
        <v>0.48723379999999999</v>
      </c>
      <c r="V402" s="393">
        <v>1</v>
      </c>
      <c r="W402" s="36">
        <v>0.63374889999999995</v>
      </c>
      <c r="X402" s="36">
        <v>0.72053370000000005</v>
      </c>
      <c r="Y402" s="36">
        <v>0.79649820000000005</v>
      </c>
      <c r="Z402" s="36">
        <v>0.85043179999999996</v>
      </c>
      <c r="AA402" s="36">
        <v>0.8803782</v>
      </c>
      <c r="AB402" s="393">
        <v>1</v>
      </c>
    </row>
    <row r="403" spans="2:28" ht="0.5" customHeight="1">
      <c r="B403" s="9" t="s">
        <v>50</v>
      </c>
      <c r="C403" s="9" t="str">
        <f t="shared" si="62"/>
        <v>Honduras42</v>
      </c>
      <c r="D403" s="9">
        <v>42</v>
      </c>
      <c r="E403" s="36">
        <v>0.2305671</v>
      </c>
      <c r="F403" s="36">
        <v>0.49280869999999999</v>
      </c>
      <c r="G403" s="36">
        <v>0.7513531</v>
      </c>
      <c r="H403" s="36">
        <v>0.90461219999999998</v>
      </c>
      <c r="I403" s="36">
        <v>0.93766899999999997</v>
      </c>
      <c r="J403" s="393">
        <v>1</v>
      </c>
      <c r="K403" s="36">
        <v>0.58512920000000002</v>
      </c>
      <c r="L403" s="36">
        <v>0.70753840000000001</v>
      </c>
      <c r="M403" s="36">
        <v>0.80048660000000005</v>
      </c>
      <c r="N403" s="36">
        <v>0.94685909999999995</v>
      </c>
      <c r="O403" s="36">
        <v>0.98054699999999995</v>
      </c>
      <c r="P403" s="393">
        <v>1</v>
      </c>
      <c r="Q403" s="36">
        <v>9.6610399999999999E-2</v>
      </c>
      <c r="R403" s="36">
        <v>0.18297579999999999</v>
      </c>
      <c r="S403" s="36">
        <v>0.43913760000000002</v>
      </c>
      <c r="T403" s="36">
        <v>0.46455079999999999</v>
      </c>
      <c r="U403" s="36">
        <v>0.47847509999999999</v>
      </c>
      <c r="V403" s="393">
        <v>1</v>
      </c>
      <c r="W403" s="36">
        <v>0.64518850000000005</v>
      </c>
      <c r="X403" s="36">
        <v>0.72802540000000004</v>
      </c>
      <c r="Y403" s="36">
        <v>0.80666329999999997</v>
      </c>
      <c r="Z403" s="36">
        <v>0.85649189999999997</v>
      </c>
      <c r="AA403" s="36">
        <v>0.8848123</v>
      </c>
      <c r="AB403" s="393">
        <v>1</v>
      </c>
    </row>
    <row r="404" spans="2:28" ht="0.5" customHeight="1">
      <c r="B404" s="9" t="s">
        <v>50</v>
      </c>
      <c r="C404" s="9" t="str">
        <f t="shared" si="62"/>
        <v>Honduras43</v>
      </c>
      <c r="D404" s="9">
        <v>43</v>
      </c>
      <c r="E404" s="36">
        <v>0.23080149999999999</v>
      </c>
      <c r="F404" s="36">
        <v>0.4913904</v>
      </c>
      <c r="G404" s="36">
        <v>0.75404070000000001</v>
      </c>
      <c r="H404" s="36">
        <v>0.90762030000000005</v>
      </c>
      <c r="I404" s="36">
        <v>0.94079579999999996</v>
      </c>
      <c r="J404" s="393">
        <v>1</v>
      </c>
      <c r="K404" s="36">
        <v>0.58110589999999995</v>
      </c>
      <c r="L404" s="36">
        <v>0.70171110000000003</v>
      </c>
      <c r="M404" s="36">
        <v>0.7968404</v>
      </c>
      <c r="N404" s="36">
        <v>0.94656989999999996</v>
      </c>
      <c r="O404" s="36">
        <v>0.97953480000000004</v>
      </c>
      <c r="P404" s="393">
        <v>1</v>
      </c>
      <c r="Q404" s="36">
        <v>9.41665E-2</v>
      </c>
      <c r="R404" s="36">
        <v>0.1784801</v>
      </c>
      <c r="S404" s="36">
        <v>0.4359768</v>
      </c>
      <c r="T404" s="36">
        <v>0.46181450000000002</v>
      </c>
      <c r="U404" s="36">
        <v>0.47479130000000003</v>
      </c>
      <c r="V404" s="393">
        <v>1</v>
      </c>
      <c r="W404" s="36">
        <v>0.64848740000000005</v>
      </c>
      <c r="X404" s="36">
        <v>0.72874799999999995</v>
      </c>
      <c r="Y404" s="36">
        <v>0.80847219999999997</v>
      </c>
      <c r="Z404" s="36">
        <v>0.85599749999999997</v>
      </c>
      <c r="AA404" s="36">
        <v>0.88394660000000003</v>
      </c>
      <c r="AB404" s="393">
        <v>1</v>
      </c>
    </row>
    <row r="405" spans="2:28" ht="0.5" customHeight="1">
      <c r="B405" s="9" t="s">
        <v>50</v>
      </c>
      <c r="C405" s="9" t="str">
        <f t="shared" si="62"/>
        <v>Honduras44</v>
      </c>
      <c r="D405" s="9">
        <v>44</v>
      </c>
      <c r="E405" s="36">
        <v>0.22362009999999999</v>
      </c>
      <c r="F405" s="36">
        <v>0.48012529999999998</v>
      </c>
      <c r="G405" s="36">
        <v>0.74898509999999996</v>
      </c>
      <c r="H405" s="36">
        <v>0.90328090000000005</v>
      </c>
      <c r="I405" s="36">
        <v>0.93726830000000005</v>
      </c>
      <c r="J405" s="393">
        <v>1</v>
      </c>
      <c r="K405" s="36">
        <v>0.57254769999999999</v>
      </c>
      <c r="L405" s="36">
        <v>0.69265060000000001</v>
      </c>
      <c r="M405" s="36">
        <v>0.79291239999999996</v>
      </c>
      <c r="N405" s="36">
        <v>0.9490132</v>
      </c>
      <c r="O405" s="36">
        <v>0.98047870000000004</v>
      </c>
      <c r="P405" s="393">
        <v>1</v>
      </c>
      <c r="Q405" s="36">
        <v>9.0445399999999995E-2</v>
      </c>
      <c r="R405" s="36">
        <v>0.1707765</v>
      </c>
      <c r="S405" s="36">
        <v>0.43261579999999999</v>
      </c>
      <c r="T405" s="36">
        <v>0.45906039999999998</v>
      </c>
      <c r="U405" s="36">
        <v>0.47021449999999998</v>
      </c>
      <c r="V405" s="393">
        <v>1</v>
      </c>
      <c r="W405" s="36">
        <v>0.64484319999999995</v>
      </c>
      <c r="X405" s="36">
        <v>0.72257749999999998</v>
      </c>
      <c r="Y405" s="36">
        <v>0.80395000000000005</v>
      </c>
      <c r="Z405" s="36">
        <v>0.8494022</v>
      </c>
      <c r="AA405" s="36">
        <v>0.87839009999999995</v>
      </c>
      <c r="AB405" s="393">
        <v>1</v>
      </c>
    </row>
    <row r="406" spans="2:28" ht="0.5" customHeight="1">
      <c r="B406" s="9" t="s">
        <v>50</v>
      </c>
      <c r="C406" s="9" t="str">
        <f t="shared" si="62"/>
        <v>Honduras45</v>
      </c>
      <c r="D406" s="9">
        <v>45</v>
      </c>
      <c r="E406" s="36">
        <v>0.21836800000000001</v>
      </c>
      <c r="F406" s="36">
        <v>0.47247980000000001</v>
      </c>
      <c r="G406" s="36">
        <v>0.74407769999999995</v>
      </c>
      <c r="H406" s="36">
        <v>0.89854469999999997</v>
      </c>
      <c r="I406" s="36">
        <v>0.93287889999999996</v>
      </c>
      <c r="J406" s="393">
        <v>1</v>
      </c>
      <c r="K406" s="36">
        <v>0.56213120000000005</v>
      </c>
      <c r="L406" s="36">
        <v>0.68441339999999995</v>
      </c>
      <c r="M406" s="36">
        <v>0.78765050000000003</v>
      </c>
      <c r="N406" s="36">
        <v>0.94649950000000005</v>
      </c>
      <c r="O406" s="36">
        <v>0.97701079999999996</v>
      </c>
      <c r="P406" s="393">
        <v>1</v>
      </c>
      <c r="Q406" s="36">
        <v>8.7786400000000001E-2</v>
      </c>
      <c r="R406" s="36">
        <v>0.16569980000000001</v>
      </c>
      <c r="S406" s="36">
        <v>0.42911579999999999</v>
      </c>
      <c r="T406" s="36">
        <v>0.45569660000000001</v>
      </c>
      <c r="U406" s="36">
        <v>0.4659066</v>
      </c>
      <c r="V406" s="393">
        <v>1</v>
      </c>
      <c r="W406" s="36">
        <v>0.63969569999999998</v>
      </c>
      <c r="X406" s="36">
        <v>0.71945729999999997</v>
      </c>
      <c r="Y406" s="36">
        <v>0.80151919999999999</v>
      </c>
      <c r="Z406" s="36">
        <v>0.84748369999999995</v>
      </c>
      <c r="AA406" s="36">
        <v>0.87673310000000004</v>
      </c>
      <c r="AB406" s="393">
        <v>1</v>
      </c>
    </row>
    <row r="407" spans="2:28" ht="0.5" customHeight="1">
      <c r="B407" s="9" t="s">
        <v>50</v>
      </c>
      <c r="C407" s="9" t="str">
        <f t="shared" si="62"/>
        <v>Honduras46</v>
      </c>
      <c r="D407" s="9">
        <v>46</v>
      </c>
      <c r="E407" s="36">
        <v>0.21405640000000001</v>
      </c>
      <c r="F407" s="36">
        <v>0.46564070000000002</v>
      </c>
      <c r="G407" s="36">
        <v>0.73983209999999999</v>
      </c>
      <c r="H407" s="36">
        <v>0.89433130000000005</v>
      </c>
      <c r="I407" s="36">
        <v>0.9296624</v>
      </c>
      <c r="J407" s="393">
        <v>1</v>
      </c>
      <c r="K407" s="36">
        <v>0.55059089999999999</v>
      </c>
      <c r="L407" s="36">
        <v>0.67480019999999996</v>
      </c>
      <c r="M407" s="36">
        <v>0.78137959999999995</v>
      </c>
      <c r="N407" s="36">
        <v>0.94321290000000002</v>
      </c>
      <c r="O407" s="36">
        <v>0.97424219999999995</v>
      </c>
      <c r="P407" s="393">
        <v>1</v>
      </c>
      <c r="Q407" s="36">
        <v>8.5453399999999999E-2</v>
      </c>
      <c r="R407" s="36">
        <v>0.16191349999999999</v>
      </c>
      <c r="S407" s="36">
        <v>0.42722260000000001</v>
      </c>
      <c r="T407" s="36">
        <v>0.45381460000000001</v>
      </c>
      <c r="U407" s="36">
        <v>0.4630589</v>
      </c>
      <c r="V407" s="393">
        <v>1</v>
      </c>
      <c r="W407" s="36">
        <v>0.63505889999999998</v>
      </c>
      <c r="X407" s="36">
        <v>0.71438880000000005</v>
      </c>
      <c r="Y407" s="36">
        <v>0.7975082</v>
      </c>
      <c r="Z407" s="36">
        <v>0.84461569999999997</v>
      </c>
      <c r="AA407" s="36">
        <v>0.87346420000000002</v>
      </c>
      <c r="AB407" s="393">
        <v>1</v>
      </c>
    </row>
    <row r="408" spans="2:28" ht="0.5" customHeight="1">
      <c r="B408" s="9" t="s">
        <v>50</v>
      </c>
      <c r="C408" s="9" t="str">
        <f t="shared" si="62"/>
        <v>Honduras47</v>
      </c>
      <c r="D408" s="9">
        <v>47</v>
      </c>
      <c r="E408" s="36">
        <v>0.21024139999999999</v>
      </c>
      <c r="F408" s="36">
        <v>0.45530110000000001</v>
      </c>
      <c r="G408" s="36">
        <v>0.73501439999999996</v>
      </c>
      <c r="H408" s="36">
        <v>0.88974889999999995</v>
      </c>
      <c r="I408" s="36">
        <v>0.92662750000000005</v>
      </c>
      <c r="J408" s="393">
        <v>1</v>
      </c>
      <c r="K408" s="36">
        <v>0.52977050000000003</v>
      </c>
      <c r="L408" s="36">
        <v>0.65742769999999995</v>
      </c>
      <c r="M408" s="36">
        <v>0.77115060000000002</v>
      </c>
      <c r="N408" s="36">
        <v>0.93996970000000002</v>
      </c>
      <c r="O408" s="36">
        <v>0.97437700000000005</v>
      </c>
      <c r="P408" s="393">
        <v>1</v>
      </c>
      <c r="Q408" s="36">
        <v>8.3146899999999996E-2</v>
      </c>
      <c r="R408" s="36">
        <v>0.15598960000000001</v>
      </c>
      <c r="S408" s="36">
        <v>0.42220930000000001</v>
      </c>
      <c r="T408" s="36">
        <v>0.44876379999999999</v>
      </c>
      <c r="U408" s="36">
        <v>0.45627259999999997</v>
      </c>
      <c r="V408" s="393">
        <v>1</v>
      </c>
      <c r="W408" s="36">
        <v>0.61957249999999997</v>
      </c>
      <c r="X408" s="36">
        <v>0.69968989999999998</v>
      </c>
      <c r="Y408" s="36">
        <v>0.78611839999999999</v>
      </c>
      <c r="Z408" s="36">
        <v>0.83857740000000003</v>
      </c>
      <c r="AA408" s="36">
        <v>0.86371629999999999</v>
      </c>
      <c r="AB408" s="393">
        <v>1</v>
      </c>
    </row>
    <row r="409" spans="2:28" ht="0.5" customHeight="1">
      <c r="B409" s="9" t="s">
        <v>50</v>
      </c>
      <c r="C409" s="9" t="str">
        <f t="shared" si="62"/>
        <v>Honduras48</v>
      </c>
      <c r="D409" s="9">
        <v>48</v>
      </c>
      <c r="E409" s="36">
        <v>0.20843329999999999</v>
      </c>
      <c r="F409" s="36">
        <v>0.44989980000000002</v>
      </c>
      <c r="G409" s="36">
        <v>0.73308839999999997</v>
      </c>
      <c r="H409" s="36">
        <v>0.88768849999999999</v>
      </c>
      <c r="I409" s="36">
        <v>0.92484279999999996</v>
      </c>
      <c r="J409" s="393">
        <v>1</v>
      </c>
      <c r="K409" s="36">
        <v>0.52209340000000004</v>
      </c>
      <c r="L409" s="36">
        <v>0.65071869999999998</v>
      </c>
      <c r="M409" s="36">
        <v>0.76763499999999996</v>
      </c>
      <c r="N409" s="36">
        <v>0.93924640000000004</v>
      </c>
      <c r="O409" s="36">
        <v>0.97558290000000003</v>
      </c>
      <c r="P409" s="393">
        <v>1</v>
      </c>
      <c r="Q409" s="36">
        <v>8.0815600000000001E-2</v>
      </c>
      <c r="R409" s="36">
        <v>0.15222089999999999</v>
      </c>
      <c r="S409" s="36">
        <v>0.41863820000000002</v>
      </c>
      <c r="T409" s="36">
        <v>0.44537060000000001</v>
      </c>
      <c r="U409" s="36">
        <v>0.45226080000000002</v>
      </c>
      <c r="V409" s="393">
        <v>1</v>
      </c>
      <c r="W409" s="36">
        <v>0.60782740000000002</v>
      </c>
      <c r="X409" s="36">
        <v>0.68928049999999996</v>
      </c>
      <c r="Y409" s="36">
        <v>0.77754129999999999</v>
      </c>
      <c r="Z409" s="36">
        <v>0.83291859999999995</v>
      </c>
      <c r="AA409" s="36">
        <v>0.85603240000000003</v>
      </c>
      <c r="AB409" s="393">
        <v>1</v>
      </c>
    </row>
    <row r="410" spans="2:28" ht="0.5" customHeight="1">
      <c r="B410" s="9" t="s">
        <v>50</v>
      </c>
      <c r="C410" s="9" t="str">
        <f t="shared" si="62"/>
        <v>Honduras49</v>
      </c>
      <c r="D410" s="9">
        <v>49</v>
      </c>
      <c r="E410" s="36">
        <v>0.20504310000000001</v>
      </c>
      <c r="F410" s="36">
        <v>0.43949460000000001</v>
      </c>
      <c r="G410" s="36">
        <v>0.72732819999999998</v>
      </c>
      <c r="H410" s="36">
        <v>0.88134469999999998</v>
      </c>
      <c r="I410" s="36">
        <v>0.91915579999999997</v>
      </c>
      <c r="J410" s="393">
        <v>1</v>
      </c>
      <c r="K410" s="36">
        <v>0.50903509999999996</v>
      </c>
      <c r="L410" s="36">
        <v>0.63132690000000002</v>
      </c>
      <c r="M410" s="36">
        <v>0.75485999999999998</v>
      </c>
      <c r="N410" s="36">
        <v>0.93144009999999999</v>
      </c>
      <c r="O410" s="36">
        <v>0.9721168</v>
      </c>
      <c r="P410" s="393">
        <v>1</v>
      </c>
      <c r="Q410" s="36">
        <v>7.7716900000000005E-2</v>
      </c>
      <c r="R410" s="36">
        <v>0.14506540000000001</v>
      </c>
      <c r="S410" s="36">
        <v>0.41002110000000003</v>
      </c>
      <c r="T410" s="36">
        <v>0.43723109999999998</v>
      </c>
      <c r="U410" s="36">
        <v>0.4433069</v>
      </c>
      <c r="V410" s="393">
        <v>1</v>
      </c>
      <c r="W410" s="36">
        <v>0.58755659999999998</v>
      </c>
      <c r="X410" s="36">
        <v>0.66710789999999998</v>
      </c>
      <c r="Y410" s="36">
        <v>0.75710250000000001</v>
      </c>
      <c r="Z410" s="36">
        <v>0.81933639999999996</v>
      </c>
      <c r="AA410" s="36">
        <v>0.83720669999999997</v>
      </c>
      <c r="AB410" s="393">
        <v>1</v>
      </c>
    </row>
    <row r="411" spans="2:28" ht="0.5" customHeight="1">
      <c r="B411" s="9" t="s">
        <v>50</v>
      </c>
      <c r="C411" s="9" t="str">
        <f t="shared" si="62"/>
        <v>Honduras50</v>
      </c>
      <c r="D411" s="9">
        <v>50</v>
      </c>
      <c r="E411" s="36">
        <v>0.20108029999999999</v>
      </c>
      <c r="F411" s="36">
        <v>0.4330078</v>
      </c>
      <c r="G411" s="36">
        <v>0.72117019999999998</v>
      </c>
      <c r="H411" s="36">
        <v>0.87443820000000005</v>
      </c>
      <c r="I411" s="36">
        <v>0.91305599999999998</v>
      </c>
      <c r="J411" s="393">
        <v>1</v>
      </c>
      <c r="K411" s="36">
        <v>0.50027129999999997</v>
      </c>
      <c r="L411" s="36">
        <v>0.61604449999999999</v>
      </c>
      <c r="M411" s="36">
        <v>0.74259629999999999</v>
      </c>
      <c r="N411" s="36">
        <v>0.92177980000000004</v>
      </c>
      <c r="O411" s="36">
        <v>0.96393300000000004</v>
      </c>
      <c r="P411" s="393">
        <v>1</v>
      </c>
      <c r="Q411" s="36">
        <v>7.5807100000000002E-2</v>
      </c>
      <c r="R411" s="36">
        <v>0.1406917</v>
      </c>
      <c r="S411" s="36">
        <v>0.40427750000000001</v>
      </c>
      <c r="T411" s="36">
        <v>0.43175760000000002</v>
      </c>
      <c r="U411" s="36">
        <v>0.43746160000000001</v>
      </c>
      <c r="V411" s="393">
        <v>1</v>
      </c>
      <c r="W411" s="36">
        <v>0.58150420000000003</v>
      </c>
      <c r="X411" s="36">
        <v>0.66087870000000004</v>
      </c>
      <c r="Y411" s="36">
        <v>0.75149140000000003</v>
      </c>
      <c r="Z411" s="36">
        <v>0.81706529999999999</v>
      </c>
      <c r="AA411" s="36">
        <v>0.83235979999999998</v>
      </c>
      <c r="AB411" s="393">
        <v>1</v>
      </c>
    </row>
    <row r="412" spans="2:28" ht="0.5" customHeight="1">
      <c r="B412" s="9" t="s">
        <v>50</v>
      </c>
      <c r="C412" s="9" t="str">
        <f t="shared" si="62"/>
        <v>Honduras51</v>
      </c>
      <c r="D412" s="9">
        <v>51</v>
      </c>
      <c r="E412" s="36">
        <v>0.19601260000000001</v>
      </c>
      <c r="F412" s="36">
        <v>0.42549419999999999</v>
      </c>
      <c r="G412" s="36">
        <v>0.71343590000000001</v>
      </c>
      <c r="H412" s="36">
        <v>0.86608629999999998</v>
      </c>
      <c r="I412" s="36">
        <v>0.90548459999999997</v>
      </c>
      <c r="J412" s="393">
        <v>1</v>
      </c>
      <c r="K412" s="36">
        <v>0.49421159999999997</v>
      </c>
      <c r="L412" s="36">
        <v>0.60280069999999997</v>
      </c>
      <c r="M412" s="36">
        <v>0.73197979999999996</v>
      </c>
      <c r="N412" s="36">
        <v>0.91424760000000005</v>
      </c>
      <c r="O412" s="36">
        <v>0.95716860000000004</v>
      </c>
      <c r="P412" s="393">
        <v>1</v>
      </c>
      <c r="Q412" s="36">
        <v>7.2958499999999996E-2</v>
      </c>
      <c r="R412" s="36">
        <v>0.13525529999999999</v>
      </c>
      <c r="S412" s="36">
        <v>0.39767069999999999</v>
      </c>
      <c r="T412" s="36">
        <v>0.42542980000000002</v>
      </c>
      <c r="U412" s="36">
        <v>0.43084820000000001</v>
      </c>
      <c r="V412" s="393">
        <v>1</v>
      </c>
      <c r="W412" s="36">
        <v>0.57687279999999996</v>
      </c>
      <c r="X412" s="36">
        <v>0.65286820000000001</v>
      </c>
      <c r="Y412" s="36">
        <v>0.74394879999999997</v>
      </c>
      <c r="Z412" s="36">
        <v>0.81259459999999994</v>
      </c>
      <c r="AA412" s="36">
        <v>0.8260033</v>
      </c>
      <c r="AB412" s="393">
        <v>1</v>
      </c>
    </row>
    <row r="413" spans="2:28" ht="0.5" customHeight="1">
      <c r="B413" s="9" t="s">
        <v>50</v>
      </c>
      <c r="C413" s="9" t="str">
        <f t="shared" si="62"/>
        <v>Honduras52</v>
      </c>
      <c r="D413" s="9">
        <v>52</v>
      </c>
      <c r="E413" s="36">
        <v>0.18760360000000001</v>
      </c>
      <c r="F413" s="36">
        <v>0.41217340000000002</v>
      </c>
      <c r="G413" s="36">
        <v>0.69942119999999997</v>
      </c>
      <c r="H413" s="36">
        <v>0.85046860000000002</v>
      </c>
      <c r="I413" s="36">
        <v>0.88989110000000005</v>
      </c>
      <c r="J413" s="393">
        <v>1</v>
      </c>
      <c r="K413" s="36">
        <v>0.48546719999999999</v>
      </c>
      <c r="L413" s="36">
        <v>0.58131639999999996</v>
      </c>
      <c r="M413" s="36">
        <v>0.71486919999999998</v>
      </c>
      <c r="N413" s="36">
        <v>0.90556049999999999</v>
      </c>
      <c r="O413" s="36">
        <v>0.94819900000000001</v>
      </c>
      <c r="P413" s="393">
        <v>1</v>
      </c>
      <c r="Q413" s="36">
        <v>6.7662200000000006E-2</v>
      </c>
      <c r="R413" s="36">
        <v>0.1233185</v>
      </c>
      <c r="S413" s="36">
        <v>0.38364419999999999</v>
      </c>
      <c r="T413" s="36">
        <v>0.41175200000000001</v>
      </c>
      <c r="U413" s="36">
        <v>0.41707280000000002</v>
      </c>
      <c r="V413" s="393">
        <v>1</v>
      </c>
      <c r="W413" s="36">
        <v>0.56584469999999998</v>
      </c>
      <c r="X413" s="36">
        <v>0.63137920000000003</v>
      </c>
      <c r="Y413" s="36">
        <v>0.72331889999999999</v>
      </c>
      <c r="Z413" s="36">
        <v>0.79717769999999999</v>
      </c>
      <c r="AA413" s="36">
        <v>0.81003289999999994</v>
      </c>
      <c r="AB413" s="393">
        <v>1</v>
      </c>
    </row>
    <row r="414" spans="2:28" ht="0.5" customHeight="1">
      <c r="B414" s="9" t="s">
        <v>50</v>
      </c>
      <c r="C414" s="9" t="str">
        <f t="shared" si="62"/>
        <v>Honduras53</v>
      </c>
      <c r="D414" s="9">
        <v>53</v>
      </c>
      <c r="E414" s="36">
        <v>0.18466859999999999</v>
      </c>
      <c r="F414" s="36">
        <v>0.40811059999999999</v>
      </c>
      <c r="G414" s="36">
        <v>0.69385450000000004</v>
      </c>
      <c r="H414" s="36">
        <v>0.84384380000000003</v>
      </c>
      <c r="I414" s="36">
        <v>0.88307480000000005</v>
      </c>
      <c r="J414" s="393">
        <v>1</v>
      </c>
      <c r="K414" s="36">
        <v>0.47969119999999998</v>
      </c>
      <c r="L414" s="36">
        <v>0.56981199999999999</v>
      </c>
      <c r="M414" s="36">
        <v>0.70422929999999995</v>
      </c>
      <c r="N414" s="36">
        <v>0.89995190000000003</v>
      </c>
      <c r="O414" s="36">
        <v>0.94228190000000001</v>
      </c>
      <c r="P414" s="393">
        <v>1</v>
      </c>
      <c r="Q414" s="36">
        <v>6.5824099999999997E-2</v>
      </c>
      <c r="R414" s="36">
        <v>0.1178109</v>
      </c>
      <c r="S414" s="36">
        <v>0.37695010000000001</v>
      </c>
      <c r="T414" s="36">
        <v>0.40528720000000001</v>
      </c>
      <c r="U414" s="36">
        <v>0.41066920000000001</v>
      </c>
      <c r="V414" s="393">
        <v>1</v>
      </c>
      <c r="W414" s="36">
        <v>0.56314889999999995</v>
      </c>
      <c r="X414" s="36">
        <v>0.62314700000000001</v>
      </c>
      <c r="Y414" s="36">
        <v>0.71526029999999996</v>
      </c>
      <c r="Z414" s="36">
        <v>0.79174109999999998</v>
      </c>
      <c r="AA414" s="36">
        <v>0.80578289999999997</v>
      </c>
      <c r="AB414" s="393">
        <v>1</v>
      </c>
    </row>
    <row r="415" spans="2:28" ht="0.5" customHeight="1">
      <c r="B415" s="9" t="s">
        <v>50</v>
      </c>
      <c r="C415" s="9" t="str">
        <f t="shared" si="62"/>
        <v>Honduras54</v>
      </c>
      <c r="D415" s="9">
        <v>54</v>
      </c>
      <c r="E415" s="36">
        <v>0.1855078</v>
      </c>
      <c r="F415" s="36">
        <v>0.40981250000000002</v>
      </c>
      <c r="G415" s="36">
        <v>0.68762060000000003</v>
      </c>
      <c r="H415" s="36">
        <v>0.83686930000000004</v>
      </c>
      <c r="I415" s="36">
        <v>0.87453669999999994</v>
      </c>
      <c r="J415" s="393">
        <v>1</v>
      </c>
      <c r="K415" s="36">
        <v>0.46644140000000001</v>
      </c>
      <c r="L415" s="36">
        <v>0.55538140000000003</v>
      </c>
      <c r="M415" s="36">
        <v>0.69072129999999998</v>
      </c>
      <c r="N415" s="36">
        <v>0.89709019999999995</v>
      </c>
      <c r="O415" s="36">
        <v>0.93378620000000001</v>
      </c>
      <c r="P415" s="393">
        <v>1</v>
      </c>
      <c r="Q415" s="36">
        <v>6.0539900000000001E-2</v>
      </c>
      <c r="R415" s="36">
        <v>0.1050666</v>
      </c>
      <c r="S415" s="36">
        <v>0.35922900000000002</v>
      </c>
      <c r="T415" s="36">
        <v>0.38812629999999998</v>
      </c>
      <c r="U415" s="36">
        <v>0.39351049999999999</v>
      </c>
      <c r="V415" s="393">
        <v>1</v>
      </c>
      <c r="W415" s="36">
        <v>0.55776360000000003</v>
      </c>
      <c r="X415" s="36">
        <v>0.59481700000000004</v>
      </c>
      <c r="Y415" s="36">
        <v>0.68172929999999998</v>
      </c>
      <c r="Z415" s="36">
        <v>0.76606560000000001</v>
      </c>
      <c r="AA415" s="36">
        <v>0.78477940000000002</v>
      </c>
      <c r="AB415" s="393">
        <v>1</v>
      </c>
    </row>
    <row r="416" spans="2:28" ht="0.5" customHeight="1">
      <c r="B416" s="9" t="s">
        <v>50</v>
      </c>
      <c r="C416" s="9" t="str">
        <f t="shared" si="62"/>
        <v>Honduras55</v>
      </c>
      <c r="D416" s="9">
        <v>55</v>
      </c>
      <c r="E416" s="36">
        <v>0.1864026</v>
      </c>
      <c r="F416" s="36">
        <v>0.412439</v>
      </c>
      <c r="G416" s="36">
        <v>0.68472929999999999</v>
      </c>
      <c r="H416" s="36">
        <v>0.83381939999999999</v>
      </c>
      <c r="I416" s="36">
        <v>0.86864969999999997</v>
      </c>
      <c r="J416" s="393">
        <v>1</v>
      </c>
      <c r="K416" s="36">
        <v>0.47351120000000002</v>
      </c>
      <c r="L416" s="36">
        <v>0.56924379999999997</v>
      </c>
      <c r="M416" s="36">
        <v>0.70569139999999997</v>
      </c>
      <c r="N416" s="36">
        <v>0.91739910000000002</v>
      </c>
      <c r="O416" s="36">
        <v>0.94671079999999996</v>
      </c>
      <c r="P416" s="393">
        <v>1</v>
      </c>
      <c r="Q416" s="36">
        <v>5.5271000000000001E-2</v>
      </c>
      <c r="R416" s="36">
        <v>9.6968100000000002E-2</v>
      </c>
      <c r="S416" s="36">
        <v>0.34647939999999999</v>
      </c>
      <c r="T416" s="36">
        <v>0.37553760000000003</v>
      </c>
      <c r="U416" s="36">
        <v>0.38078020000000001</v>
      </c>
      <c r="V416" s="393">
        <v>1</v>
      </c>
      <c r="W416" s="36">
        <v>0.54455849999999995</v>
      </c>
      <c r="X416" s="36">
        <v>0.56304010000000004</v>
      </c>
      <c r="Y416" s="36">
        <v>0.64249800000000001</v>
      </c>
      <c r="Z416" s="36">
        <v>0.73046770000000005</v>
      </c>
      <c r="AA416" s="36">
        <v>0.75444509999999998</v>
      </c>
      <c r="AB416" s="393">
        <v>1</v>
      </c>
    </row>
    <row r="417" spans="2:28" ht="0.5" customHeight="1">
      <c r="B417" s="9" t="s">
        <v>113</v>
      </c>
      <c r="C417" s="9" t="str">
        <f t="shared" si="62"/>
        <v>Dominican Republic20</v>
      </c>
      <c r="D417" s="9">
        <v>20</v>
      </c>
      <c r="E417" s="36">
        <v>0.10608099999999999</v>
      </c>
      <c r="F417" s="36">
        <v>0.2881166</v>
      </c>
      <c r="G417" s="36">
        <v>0.60869240000000002</v>
      </c>
      <c r="H417" s="36">
        <v>0.61122259999999995</v>
      </c>
      <c r="I417" s="36">
        <v>0.67198550000000001</v>
      </c>
      <c r="J417" s="393">
        <v>1</v>
      </c>
      <c r="K417" s="36">
        <v>0.16865910000000001</v>
      </c>
      <c r="L417" s="36">
        <v>0.31242880000000001</v>
      </c>
      <c r="M417" s="36">
        <v>0.43553969999999997</v>
      </c>
      <c r="N417" s="36">
        <v>0.43997849999999999</v>
      </c>
      <c r="O417" s="36">
        <v>0.53065929999999994</v>
      </c>
      <c r="P417" s="393">
        <v>1</v>
      </c>
      <c r="Q417" s="36">
        <v>3.9436800000000001E-2</v>
      </c>
      <c r="R417" s="36">
        <v>0.1668993</v>
      </c>
      <c r="S417" s="36">
        <v>0.21937400000000001</v>
      </c>
      <c r="T417" s="36">
        <v>0.21979879999999999</v>
      </c>
      <c r="U417" s="36">
        <v>0.30338660000000001</v>
      </c>
      <c r="V417" s="393">
        <v>1</v>
      </c>
      <c r="W417" s="36">
        <v>9.6541000000000002E-2</v>
      </c>
      <c r="X417" s="36">
        <v>0.22545190000000001</v>
      </c>
      <c r="Y417" s="36">
        <v>0.26661669999999998</v>
      </c>
      <c r="Z417" s="36">
        <v>0.26758860000000001</v>
      </c>
      <c r="AA417" s="36">
        <v>0.35654229999999998</v>
      </c>
      <c r="AB417" s="393">
        <v>1</v>
      </c>
    </row>
    <row r="418" spans="2:28" ht="0.5" customHeight="1">
      <c r="B418" s="9" t="s">
        <v>113</v>
      </c>
      <c r="C418" s="9" t="str">
        <f t="shared" si="62"/>
        <v>Dominican Republic21</v>
      </c>
      <c r="D418" s="9">
        <v>21</v>
      </c>
      <c r="E418" s="36">
        <v>0.1207365</v>
      </c>
      <c r="F418" s="36">
        <v>0.30297220000000002</v>
      </c>
      <c r="G418" s="36">
        <v>0.64983420000000003</v>
      </c>
      <c r="H418" s="36">
        <v>0.65296600000000005</v>
      </c>
      <c r="I418" s="36">
        <v>0.711704</v>
      </c>
      <c r="J418" s="393">
        <v>1</v>
      </c>
      <c r="K418" s="36">
        <v>0.20086689999999999</v>
      </c>
      <c r="L418" s="36">
        <v>0.3547534</v>
      </c>
      <c r="M418" s="36">
        <v>0.48900389999999999</v>
      </c>
      <c r="N418" s="36">
        <v>0.49503829999999999</v>
      </c>
      <c r="O418" s="36">
        <v>0.58021529999999999</v>
      </c>
      <c r="P418" s="393">
        <v>1</v>
      </c>
      <c r="Q418" s="36">
        <v>4.2341900000000002E-2</v>
      </c>
      <c r="R418" s="36">
        <v>0.1702012</v>
      </c>
      <c r="S418" s="36">
        <v>0.23041439999999999</v>
      </c>
      <c r="T418" s="36">
        <v>0.23118659999999999</v>
      </c>
      <c r="U418" s="36">
        <v>0.30933460000000002</v>
      </c>
      <c r="V418" s="393">
        <v>1</v>
      </c>
      <c r="W418" s="36">
        <v>0.1238076</v>
      </c>
      <c r="X418" s="36">
        <v>0.25699080000000002</v>
      </c>
      <c r="Y418" s="36">
        <v>0.30093969999999998</v>
      </c>
      <c r="Z418" s="36">
        <v>0.30260019999999999</v>
      </c>
      <c r="AA418" s="36">
        <v>0.39029140000000001</v>
      </c>
      <c r="AB418" s="393">
        <v>1</v>
      </c>
    </row>
    <row r="419" spans="2:28" ht="0.5" customHeight="1">
      <c r="B419" s="9" t="s">
        <v>113</v>
      </c>
      <c r="C419" s="9" t="str">
        <f t="shared" si="62"/>
        <v>Dominican Republic22</v>
      </c>
      <c r="D419" s="9">
        <v>22</v>
      </c>
      <c r="E419" s="36">
        <v>0.14225670000000001</v>
      </c>
      <c r="F419" s="36">
        <v>0.32255420000000001</v>
      </c>
      <c r="G419" s="36">
        <v>0.71800359999999996</v>
      </c>
      <c r="H419" s="36">
        <v>0.72272530000000001</v>
      </c>
      <c r="I419" s="36">
        <v>0.77793199999999996</v>
      </c>
      <c r="J419" s="393">
        <v>1</v>
      </c>
      <c r="K419" s="36">
        <v>0.26873819999999998</v>
      </c>
      <c r="L419" s="36">
        <v>0.43396099999999999</v>
      </c>
      <c r="M419" s="36">
        <v>0.58948739999999999</v>
      </c>
      <c r="N419" s="36">
        <v>0.59874890000000003</v>
      </c>
      <c r="O419" s="36">
        <v>0.67373209999999994</v>
      </c>
      <c r="P419" s="393">
        <v>1</v>
      </c>
      <c r="Q419" s="36">
        <v>5.0477399999999999E-2</v>
      </c>
      <c r="R419" s="36">
        <v>0.18289259999999999</v>
      </c>
      <c r="S419" s="36">
        <v>0.25552029999999998</v>
      </c>
      <c r="T419" s="36">
        <v>0.25685629999999998</v>
      </c>
      <c r="U419" s="36">
        <v>0.32458379999999998</v>
      </c>
      <c r="V419" s="393">
        <v>1</v>
      </c>
      <c r="W419" s="36">
        <v>0.1730469</v>
      </c>
      <c r="X419" s="36">
        <v>0.30982599999999999</v>
      </c>
      <c r="Y419" s="36">
        <v>0.35922140000000002</v>
      </c>
      <c r="Z419" s="36">
        <v>0.36250719999999997</v>
      </c>
      <c r="AA419" s="36">
        <v>0.44585269999999999</v>
      </c>
      <c r="AB419" s="393">
        <v>1</v>
      </c>
    </row>
    <row r="420" spans="2:28" ht="0.5" customHeight="1">
      <c r="B420" s="9" t="s">
        <v>113</v>
      </c>
      <c r="C420" s="9" t="str">
        <f t="shared" si="62"/>
        <v>Dominican Republic23</v>
      </c>
      <c r="D420" s="9">
        <v>23</v>
      </c>
      <c r="E420" s="36">
        <v>0.15113199999999999</v>
      </c>
      <c r="F420" s="36">
        <v>0.32978220000000003</v>
      </c>
      <c r="G420" s="36">
        <v>0.74496660000000003</v>
      </c>
      <c r="H420" s="36">
        <v>0.75056929999999999</v>
      </c>
      <c r="I420" s="36">
        <v>0.80406569999999999</v>
      </c>
      <c r="J420" s="393">
        <v>1</v>
      </c>
      <c r="K420" s="36">
        <v>0.30047059999999998</v>
      </c>
      <c r="L420" s="36">
        <v>0.46849469999999999</v>
      </c>
      <c r="M420" s="36">
        <v>0.63380000000000003</v>
      </c>
      <c r="N420" s="36">
        <v>0.64494039999999997</v>
      </c>
      <c r="O420" s="36">
        <v>0.71580489999999997</v>
      </c>
      <c r="P420" s="393">
        <v>1</v>
      </c>
      <c r="Q420" s="36">
        <v>5.48955E-2</v>
      </c>
      <c r="R420" s="36">
        <v>0.1901177</v>
      </c>
      <c r="S420" s="36">
        <v>0.26799650000000003</v>
      </c>
      <c r="T420" s="36">
        <v>0.26966129999999999</v>
      </c>
      <c r="U420" s="36">
        <v>0.33250770000000002</v>
      </c>
      <c r="V420" s="393">
        <v>1</v>
      </c>
      <c r="W420" s="36">
        <v>0.19602269999999999</v>
      </c>
      <c r="X420" s="36">
        <v>0.33384320000000001</v>
      </c>
      <c r="Y420" s="36">
        <v>0.38682680000000003</v>
      </c>
      <c r="Z420" s="36">
        <v>0.39088729999999999</v>
      </c>
      <c r="AA420" s="36">
        <v>0.47168280000000001</v>
      </c>
      <c r="AB420" s="393">
        <v>1</v>
      </c>
    </row>
    <row r="421" spans="2:28" ht="0.5" customHeight="1">
      <c r="B421" s="9" t="s">
        <v>113</v>
      </c>
      <c r="C421" s="9" t="str">
        <f t="shared" si="62"/>
        <v>Dominican Republic24</v>
      </c>
      <c r="D421" s="9">
        <v>24</v>
      </c>
      <c r="E421" s="36">
        <v>0.16633719999999999</v>
      </c>
      <c r="F421" s="36">
        <v>0.34112890000000001</v>
      </c>
      <c r="G421" s="36">
        <v>0.78750379999999998</v>
      </c>
      <c r="H421" s="36">
        <v>0.79470779999999996</v>
      </c>
      <c r="I421" s="36">
        <v>0.84440669999999995</v>
      </c>
      <c r="J421" s="393">
        <v>1</v>
      </c>
      <c r="K421" s="36">
        <v>0.35366720000000001</v>
      </c>
      <c r="L421" s="36">
        <v>0.52390369999999997</v>
      </c>
      <c r="M421" s="36">
        <v>0.70785799999999999</v>
      </c>
      <c r="N421" s="36">
        <v>0.72381249999999997</v>
      </c>
      <c r="O421" s="36">
        <v>0.78803080000000003</v>
      </c>
      <c r="P421" s="393">
        <v>1</v>
      </c>
      <c r="Q421" s="36">
        <v>6.36158E-2</v>
      </c>
      <c r="R421" s="36">
        <v>0.20419219999999999</v>
      </c>
      <c r="S421" s="36">
        <v>0.29191149999999999</v>
      </c>
      <c r="T421" s="36">
        <v>0.2942709</v>
      </c>
      <c r="U421" s="36">
        <v>0.34937869999999999</v>
      </c>
      <c r="V421" s="393">
        <v>1</v>
      </c>
      <c r="W421" s="36">
        <v>0.23784949999999999</v>
      </c>
      <c r="X421" s="36">
        <v>0.37642049999999999</v>
      </c>
      <c r="Y421" s="36">
        <v>0.43748920000000002</v>
      </c>
      <c r="Z421" s="36">
        <v>0.44299899999999998</v>
      </c>
      <c r="AA421" s="36">
        <v>0.51869080000000001</v>
      </c>
      <c r="AB421" s="393">
        <v>1</v>
      </c>
    </row>
    <row r="422" spans="2:28" ht="0.5" customHeight="1">
      <c r="B422" s="9" t="s">
        <v>113</v>
      </c>
      <c r="C422" s="9" t="str">
        <f t="shared" si="62"/>
        <v>Dominican Republic25</v>
      </c>
      <c r="D422" s="9">
        <v>25</v>
      </c>
      <c r="E422" s="36">
        <v>0.17237279999999999</v>
      </c>
      <c r="F422" s="36">
        <v>0.34535359999999998</v>
      </c>
      <c r="G422" s="36">
        <v>0.80167189999999999</v>
      </c>
      <c r="H422" s="36">
        <v>0.8096565</v>
      </c>
      <c r="I422" s="36">
        <v>0.85733440000000005</v>
      </c>
      <c r="J422" s="393">
        <v>1</v>
      </c>
      <c r="K422" s="36">
        <v>0.37196679999999999</v>
      </c>
      <c r="L422" s="36">
        <v>0.54120270000000004</v>
      </c>
      <c r="M422" s="36">
        <v>0.73396360000000005</v>
      </c>
      <c r="N422" s="36">
        <v>0.75264920000000002</v>
      </c>
      <c r="O422" s="36">
        <v>0.81415899999999997</v>
      </c>
      <c r="P422" s="393">
        <v>1</v>
      </c>
      <c r="Q422" s="36">
        <v>6.7744499999999999E-2</v>
      </c>
      <c r="R422" s="36">
        <v>0.21115149999999999</v>
      </c>
      <c r="S422" s="36">
        <v>0.30377579999999998</v>
      </c>
      <c r="T422" s="36">
        <v>0.30645020000000001</v>
      </c>
      <c r="U422" s="36">
        <v>0.35885699999999998</v>
      </c>
      <c r="V422" s="393">
        <v>1</v>
      </c>
      <c r="W422" s="36">
        <v>0.25699420000000001</v>
      </c>
      <c r="X422" s="36">
        <v>0.3955033</v>
      </c>
      <c r="Y422" s="36">
        <v>0.46049400000000001</v>
      </c>
      <c r="Z422" s="36">
        <v>0.46681689999999998</v>
      </c>
      <c r="AA422" s="36">
        <v>0.53995159999999998</v>
      </c>
      <c r="AB422" s="393">
        <v>1</v>
      </c>
    </row>
    <row r="423" spans="2:28" ht="0.5" customHeight="1">
      <c r="B423" s="9" t="s">
        <v>113</v>
      </c>
      <c r="C423" s="9" t="str">
        <f t="shared" si="62"/>
        <v>Dominican Republic26</v>
      </c>
      <c r="D423" s="9">
        <v>26</v>
      </c>
      <c r="E423" s="36">
        <v>0.1784346</v>
      </c>
      <c r="F423" s="36">
        <v>0.34932039999999998</v>
      </c>
      <c r="G423" s="36">
        <v>0.81279310000000005</v>
      </c>
      <c r="H423" s="36">
        <v>0.82160259999999996</v>
      </c>
      <c r="I423" s="36">
        <v>0.86721919999999997</v>
      </c>
      <c r="J423" s="393">
        <v>1</v>
      </c>
      <c r="K423" s="36">
        <v>0.3867603</v>
      </c>
      <c r="L423" s="36">
        <v>0.55372049999999995</v>
      </c>
      <c r="M423" s="36">
        <v>0.75443099999999996</v>
      </c>
      <c r="N423" s="36">
        <v>0.77596209999999999</v>
      </c>
      <c r="O423" s="36">
        <v>0.83486090000000002</v>
      </c>
      <c r="P423" s="393">
        <v>1</v>
      </c>
      <c r="Q423" s="36">
        <v>7.1670399999999995E-2</v>
      </c>
      <c r="R423" s="36">
        <v>0.21796699999999999</v>
      </c>
      <c r="S423" s="36">
        <v>0.31572260000000002</v>
      </c>
      <c r="T423" s="36">
        <v>0.31872689999999998</v>
      </c>
      <c r="U423" s="36">
        <v>0.3690775</v>
      </c>
      <c r="V423" s="393">
        <v>1</v>
      </c>
      <c r="W423" s="36">
        <v>0.27526600000000001</v>
      </c>
      <c r="X423" s="36">
        <v>0.41306900000000002</v>
      </c>
      <c r="Y423" s="36">
        <v>0.4822572</v>
      </c>
      <c r="Z423" s="36">
        <v>0.4894191</v>
      </c>
      <c r="AA423" s="36">
        <v>0.56003320000000001</v>
      </c>
      <c r="AB423" s="393">
        <v>1</v>
      </c>
    </row>
    <row r="424" spans="2:28" ht="0.5" customHeight="1">
      <c r="B424" s="9" t="s">
        <v>113</v>
      </c>
      <c r="C424" s="9" t="str">
        <f t="shared" si="62"/>
        <v>Dominican Republic27</v>
      </c>
      <c r="D424" s="9">
        <v>27</v>
      </c>
      <c r="E424" s="36">
        <v>0.18969440000000001</v>
      </c>
      <c r="F424" s="36">
        <v>0.35531790000000002</v>
      </c>
      <c r="G424" s="36">
        <v>0.82672250000000003</v>
      </c>
      <c r="H424" s="36">
        <v>0.83748990000000001</v>
      </c>
      <c r="I424" s="36">
        <v>0.87968800000000003</v>
      </c>
      <c r="J424" s="393">
        <v>1</v>
      </c>
      <c r="K424" s="36">
        <v>0.40198899999999999</v>
      </c>
      <c r="L424" s="36">
        <v>0.56301210000000002</v>
      </c>
      <c r="M424" s="36">
        <v>0.77760359999999995</v>
      </c>
      <c r="N424" s="36">
        <v>0.80484040000000001</v>
      </c>
      <c r="O424" s="36">
        <v>0.85929789999999995</v>
      </c>
      <c r="P424" s="393">
        <v>1</v>
      </c>
      <c r="Q424" s="36">
        <v>7.8636800000000007E-2</v>
      </c>
      <c r="R424" s="36">
        <v>0.23132349999999999</v>
      </c>
      <c r="S424" s="36">
        <v>0.33797199999999999</v>
      </c>
      <c r="T424" s="36">
        <v>0.34174880000000002</v>
      </c>
      <c r="U424" s="36">
        <v>0.38962390000000002</v>
      </c>
      <c r="V424" s="393">
        <v>1</v>
      </c>
      <c r="W424" s="36">
        <v>0.31114150000000002</v>
      </c>
      <c r="X424" s="36">
        <v>0.44598579999999999</v>
      </c>
      <c r="Y424" s="36">
        <v>0.52440299999999995</v>
      </c>
      <c r="Z424" s="36">
        <v>0.53333909999999995</v>
      </c>
      <c r="AA424" s="36">
        <v>0.59894709999999995</v>
      </c>
      <c r="AB424" s="393">
        <v>1</v>
      </c>
    </row>
    <row r="425" spans="2:28" ht="0.5" customHeight="1">
      <c r="B425" s="9" t="s">
        <v>113</v>
      </c>
      <c r="C425" s="9" t="str">
        <f t="shared" si="62"/>
        <v>Dominican Republic28</v>
      </c>
      <c r="D425" s="9">
        <v>28</v>
      </c>
      <c r="E425" s="36">
        <v>0.19533490000000001</v>
      </c>
      <c r="F425" s="36">
        <v>0.35767779999999999</v>
      </c>
      <c r="G425" s="36">
        <v>0.83018360000000002</v>
      </c>
      <c r="H425" s="36">
        <v>0.8421052</v>
      </c>
      <c r="I425" s="36">
        <v>0.88264180000000003</v>
      </c>
      <c r="J425" s="393">
        <v>1</v>
      </c>
      <c r="K425" s="36">
        <v>0.40769749999999999</v>
      </c>
      <c r="L425" s="36">
        <v>0.56617589999999995</v>
      </c>
      <c r="M425" s="36">
        <v>0.78687689999999999</v>
      </c>
      <c r="N425" s="36">
        <v>0.81672429999999996</v>
      </c>
      <c r="O425" s="36">
        <v>0.86931820000000004</v>
      </c>
      <c r="P425" s="393">
        <v>1</v>
      </c>
      <c r="Q425" s="36">
        <v>8.1969600000000004E-2</v>
      </c>
      <c r="R425" s="36">
        <v>0.23826349999999999</v>
      </c>
      <c r="S425" s="36">
        <v>0.34891420000000001</v>
      </c>
      <c r="T425" s="36">
        <v>0.3530625</v>
      </c>
      <c r="U425" s="36">
        <v>0.4002019</v>
      </c>
      <c r="V425" s="393">
        <v>1</v>
      </c>
      <c r="W425" s="36">
        <v>0.32537389999999999</v>
      </c>
      <c r="X425" s="36">
        <v>0.45821230000000002</v>
      </c>
      <c r="Y425" s="36">
        <v>0.54110369999999997</v>
      </c>
      <c r="Z425" s="36">
        <v>0.55096420000000002</v>
      </c>
      <c r="AA425" s="36">
        <v>0.61398940000000002</v>
      </c>
      <c r="AB425" s="393">
        <v>1</v>
      </c>
    </row>
    <row r="426" spans="2:28" ht="0.5" customHeight="1">
      <c r="B426" s="9" t="s">
        <v>113</v>
      </c>
      <c r="C426" s="9" t="str">
        <f t="shared" si="62"/>
        <v>Dominican Republic29</v>
      </c>
      <c r="D426" s="9">
        <v>29</v>
      </c>
      <c r="E426" s="36">
        <v>0.20531440000000001</v>
      </c>
      <c r="F426" s="36">
        <v>0.36125699999999999</v>
      </c>
      <c r="G426" s="36">
        <v>0.83912909999999996</v>
      </c>
      <c r="H426" s="36">
        <v>0.85350329999999996</v>
      </c>
      <c r="I426" s="36">
        <v>0.89046230000000004</v>
      </c>
      <c r="J426" s="393">
        <v>1</v>
      </c>
      <c r="K426" s="36">
        <v>0.4204599</v>
      </c>
      <c r="L426" s="36">
        <v>0.57161640000000002</v>
      </c>
      <c r="M426" s="36">
        <v>0.8059577</v>
      </c>
      <c r="N426" s="36">
        <v>0.84085019999999999</v>
      </c>
      <c r="O426" s="36">
        <v>0.89009870000000002</v>
      </c>
      <c r="P426" s="393">
        <v>1</v>
      </c>
      <c r="Q426" s="36">
        <v>8.7898500000000004E-2</v>
      </c>
      <c r="R426" s="36">
        <v>0.2503592</v>
      </c>
      <c r="S426" s="36">
        <v>0.3696643</v>
      </c>
      <c r="T426" s="36">
        <v>0.37453130000000001</v>
      </c>
      <c r="U426" s="36">
        <v>0.42050500000000002</v>
      </c>
      <c r="V426" s="393">
        <v>1</v>
      </c>
      <c r="W426" s="36">
        <v>0.34725420000000001</v>
      </c>
      <c r="X426" s="36">
        <v>0.47688570000000002</v>
      </c>
      <c r="Y426" s="36">
        <v>0.56999420000000001</v>
      </c>
      <c r="Z426" s="36">
        <v>0.58152190000000004</v>
      </c>
      <c r="AA426" s="36">
        <v>0.63967050000000003</v>
      </c>
      <c r="AB426" s="393">
        <v>1</v>
      </c>
    </row>
    <row r="427" spans="2:28" ht="0.5" customHeight="1">
      <c r="B427" s="9" t="s">
        <v>113</v>
      </c>
      <c r="C427" s="9" t="str">
        <f t="shared" si="62"/>
        <v>Dominican Republic30</v>
      </c>
      <c r="D427" s="9">
        <v>30</v>
      </c>
      <c r="E427" s="36">
        <v>0.20835529999999999</v>
      </c>
      <c r="F427" s="36">
        <v>0.36132900000000001</v>
      </c>
      <c r="G427" s="36">
        <v>0.84453639999999996</v>
      </c>
      <c r="H427" s="36">
        <v>0.86022480000000001</v>
      </c>
      <c r="I427" s="36">
        <v>0.89560410000000001</v>
      </c>
      <c r="J427" s="393">
        <v>1</v>
      </c>
      <c r="K427" s="36">
        <v>0.428149</v>
      </c>
      <c r="L427" s="36">
        <v>0.57567230000000003</v>
      </c>
      <c r="M427" s="36">
        <v>0.8164804</v>
      </c>
      <c r="N427" s="36">
        <v>0.85395690000000002</v>
      </c>
      <c r="O427" s="36">
        <v>0.9016556</v>
      </c>
      <c r="P427" s="393">
        <v>1</v>
      </c>
      <c r="Q427" s="36">
        <v>9.0169799999999994E-2</v>
      </c>
      <c r="R427" s="36">
        <v>0.25588470000000002</v>
      </c>
      <c r="S427" s="36">
        <v>0.37940600000000002</v>
      </c>
      <c r="T427" s="36">
        <v>0.38464409999999999</v>
      </c>
      <c r="U427" s="36">
        <v>0.4304714</v>
      </c>
      <c r="V427" s="393">
        <v>1</v>
      </c>
      <c r="W427" s="36">
        <v>0.35472819999999999</v>
      </c>
      <c r="X427" s="36">
        <v>0.48273919999999998</v>
      </c>
      <c r="Y427" s="36">
        <v>0.58116040000000002</v>
      </c>
      <c r="Z427" s="36">
        <v>0.59361819999999998</v>
      </c>
      <c r="AA427" s="36">
        <v>0.64945819999999999</v>
      </c>
      <c r="AB427" s="393">
        <v>1</v>
      </c>
    </row>
    <row r="428" spans="2:28" ht="0.5" customHeight="1">
      <c r="B428" s="9" t="s">
        <v>113</v>
      </c>
      <c r="C428" s="9" t="str">
        <f t="shared" si="62"/>
        <v>Dominican Republic31</v>
      </c>
      <c r="D428" s="9">
        <v>31</v>
      </c>
      <c r="E428" s="36">
        <v>0.21101690000000001</v>
      </c>
      <c r="F428" s="36">
        <v>0.36116979999999999</v>
      </c>
      <c r="G428" s="36">
        <v>0.84945099999999996</v>
      </c>
      <c r="H428" s="36">
        <v>0.86647730000000001</v>
      </c>
      <c r="I428" s="36">
        <v>0.90072940000000001</v>
      </c>
      <c r="J428" s="393">
        <v>1</v>
      </c>
      <c r="K428" s="36">
        <v>0.43491030000000003</v>
      </c>
      <c r="L428" s="36">
        <v>0.57940860000000005</v>
      </c>
      <c r="M428" s="36">
        <v>0.82665060000000001</v>
      </c>
      <c r="N428" s="36">
        <v>0.86625229999999998</v>
      </c>
      <c r="O428" s="36">
        <v>0.91201569999999998</v>
      </c>
      <c r="P428" s="393">
        <v>1</v>
      </c>
      <c r="Q428" s="36">
        <v>9.2300300000000002E-2</v>
      </c>
      <c r="R428" s="36">
        <v>0.2607815</v>
      </c>
      <c r="S428" s="36">
        <v>0.38802589999999998</v>
      </c>
      <c r="T428" s="36">
        <v>0.39370319999999998</v>
      </c>
      <c r="U428" s="36">
        <v>0.43923519999999999</v>
      </c>
      <c r="V428" s="393">
        <v>1</v>
      </c>
      <c r="W428" s="36">
        <v>0.36238369999999998</v>
      </c>
      <c r="X428" s="36">
        <v>0.48893750000000002</v>
      </c>
      <c r="Y428" s="36">
        <v>0.59206340000000002</v>
      </c>
      <c r="Z428" s="36">
        <v>0.60540649999999996</v>
      </c>
      <c r="AA428" s="36">
        <v>0.65895369999999998</v>
      </c>
      <c r="AB428" s="393">
        <v>1</v>
      </c>
    </row>
    <row r="429" spans="2:28" ht="0.5" customHeight="1">
      <c r="B429" s="9" t="s">
        <v>113</v>
      </c>
      <c r="C429" s="9" t="str">
        <f t="shared" si="62"/>
        <v>Dominican Republic32</v>
      </c>
      <c r="D429" s="9">
        <v>32</v>
      </c>
      <c r="E429" s="36">
        <v>0.2132338</v>
      </c>
      <c r="F429" s="36">
        <v>0.35770770000000002</v>
      </c>
      <c r="G429" s="36">
        <v>0.85857269999999997</v>
      </c>
      <c r="H429" s="36">
        <v>0.87825980000000003</v>
      </c>
      <c r="I429" s="36">
        <v>0.91036499999999998</v>
      </c>
      <c r="J429" s="393">
        <v>1</v>
      </c>
      <c r="K429" s="36">
        <v>0.44194699999999998</v>
      </c>
      <c r="L429" s="36">
        <v>0.5807272</v>
      </c>
      <c r="M429" s="36">
        <v>0.83963620000000005</v>
      </c>
      <c r="N429" s="36">
        <v>0.883297</v>
      </c>
      <c r="O429" s="36">
        <v>0.92436180000000001</v>
      </c>
      <c r="P429" s="393">
        <v>1</v>
      </c>
      <c r="Q429" s="36">
        <v>9.6966899999999995E-2</v>
      </c>
      <c r="R429" s="36">
        <v>0.27090419999999998</v>
      </c>
      <c r="S429" s="36">
        <v>0.40487849999999997</v>
      </c>
      <c r="T429" s="36">
        <v>0.41148380000000001</v>
      </c>
      <c r="U429" s="36">
        <v>0.45504810000000001</v>
      </c>
      <c r="V429" s="393">
        <v>1</v>
      </c>
      <c r="W429" s="36">
        <v>0.36796109999999999</v>
      </c>
      <c r="X429" s="36">
        <v>0.49146810000000002</v>
      </c>
      <c r="Y429" s="36">
        <v>0.60427839999999999</v>
      </c>
      <c r="Z429" s="36">
        <v>0.61973710000000004</v>
      </c>
      <c r="AA429" s="36">
        <v>0.66905000000000003</v>
      </c>
      <c r="AB429" s="393">
        <v>1</v>
      </c>
    </row>
    <row r="430" spans="2:28" ht="0.5" customHeight="1">
      <c r="B430" s="9" t="s">
        <v>113</v>
      </c>
      <c r="C430" s="9" t="str">
        <f t="shared" si="62"/>
        <v>Dominican Republic33</v>
      </c>
      <c r="D430" s="9">
        <v>33</v>
      </c>
      <c r="E430" s="36">
        <v>0.21272150000000001</v>
      </c>
      <c r="F430" s="36">
        <v>0.35455249999999999</v>
      </c>
      <c r="G430" s="36">
        <v>0.86113969999999995</v>
      </c>
      <c r="H430" s="36">
        <v>0.88212999999999997</v>
      </c>
      <c r="I430" s="36">
        <v>0.91331419999999996</v>
      </c>
      <c r="J430" s="393">
        <v>1</v>
      </c>
      <c r="K430" s="36">
        <v>0.44387310000000002</v>
      </c>
      <c r="L430" s="36">
        <v>0.57943319999999998</v>
      </c>
      <c r="M430" s="36">
        <v>0.84418570000000004</v>
      </c>
      <c r="N430" s="36">
        <v>0.89023129999999995</v>
      </c>
      <c r="O430" s="36">
        <v>0.92844119999999997</v>
      </c>
      <c r="P430" s="393">
        <v>1</v>
      </c>
      <c r="Q430" s="36">
        <v>9.8867200000000002E-2</v>
      </c>
      <c r="R430" s="36">
        <v>0.27586179999999999</v>
      </c>
      <c r="S430" s="36">
        <v>0.41383059999999999</v>
      </c>
      <c r="T430" s="36">
        <v>0.4209232</v>
      </c>
      <c r="U430" s="36">
        <v>0.46345960000000003</v>
      </c>
      <c r="V430" s="393">
        <v>1</v>
      </c>
      <c r="W430" s="36">
        <v>0.37164740000000002</v>
      </c>
      <c r="X430" s="36">
        <v>0.49329329999999999</v>
      </c>
      <c r="Y430" s="36">
        <v>0.61103580000000002</v>
      </c>
      <c r="Z430" s="36">
        <v>0.62760479999999996</v>
      </c>
      <c r="AA430" s="36">
        <v>0.67514620000000003</v>
      </c>
      <c r="AB430" s="393">
        <v>1</v>
      </c>
    </row>
    <row r="431" spans="2:28" ht="0.5" customHeight="1">
      <c r="B431" s="9" t="s">
        <v>113</v>
      </c>
      <c r="C431" s="9" t="str">
        <f t="shared" si="62"/>
        <v>Dominican Republic34</v>
      </c>
      <c r="D431" s="9">
        <v>34</v>
      </c>
      <c r="E431" s="36">
        <v>0.2123458</v>
      </c>
      <c r="F431" s="36">
        <v>0.34947309999999998</v>
      </c>
      <c r="G431" s="36">
        <v>0.86386540000000001</v>
      </c>
      <c r="H431" s="36">
        <v>0.88747259999999994</v>
      </c>
      <c r="I431" s="36">
        <v>0.91684569999999999</v>
      </c>
      <c r="J431" s="393">
        <v>1</v>
      </c>
      <c r="K431" s="36">
        <v>0.44747920000000002</v>
      </c>
      <c r="L431" s="36">
        <v>0.57527039999999996</v>
      </c>
      <c r="M431" s="36">
        <v>0.85106490000000001</v>
      </c>
      <c r="N431" s="36">
        <v>0.90185769999999998</v>
      </c>
      <c r="O431" s="36">
        <v>0.93512680000000004</v>
      </c>
      <c r="P431" s="393">
        <v>1</v>
      </c>
      <c r="Q431" s="36">
        <v>0.1007585</v>
      </c>
      <c r="R431" s="36">
        <v>0.2824123</v>
      </c>
      <c r="S431" s="36">
        <v>0.42753380000000002</v>
      </c>
      <c r="T431" s="36">
        <v>0.43546649999999998</v>
      </c>
      <c r="U431" s="36">
        <v>0.47590539999999998</v>
      </c>
      <c r="V431" s="393">
        <v>1</v>
      </c>
      <c r="W431" s="36">
        <v>0.3765135</v>
      </c>
      <c r="X431" s="36">
        <v>0.49419059999999998</v>
      </c>
      <c r="Y431" s="36">
        <v>0.62018390000000001</v>
      </c>
      <c r="Z431" s="36">
        <v>0.63920390000000005</v>
      </c>
      <c r="AA431" s="36">
        <v>0.68343690000000001</v>
      </c>
      <c r="AB431" s="393">
        <v>1</v>
      </c>
    </row>
    <row r="432" spans="2:28" ht="0.5" customHeight="1">
      <c r="B432" s="9" t="s">
        <v>113</v>
      </c>
      <c r="C432" s="9" t="str">
        <f t="shared" si="62"/>
        <v>Dominican Republic35</v>
      </c>
      <c r="D432" s="9">
        <v>35</v>
      </c>
      <c r="E432" s="36">
        <v>0.21268049999999999</v>
      </c>
      <c r="F432" s="36">
        <v>0.34769339999999999</v>
      </c>
      <c r="G432" s="36">
        <v>0.86285940000000005</v>
      </c>
      <c r="H432" s="36">
        <v>0.88787070000000001</v>
      </c>
      <c r="I432" s="36">
        <v>0.91650089999999995</v>
      </c>
      <c r="J432" s="393">
        <v>1</v>
      </c>
      <c r="K432" s="36">
        <v>0.44740439999999998</v>
      </c>
      <c r="L432" s="36">
        <v>0.57243069999999996</v>
      </c>
      <c r="M432" s="36">
        <v>0.85275820000000002</v>
      </c>
      <c r="N432" s="36">
        <v>0.90667779999999998</v>
      </c>
      <c r="O432" s="36">
        <v>0.93817499999999998</v>
      </c>
      <c r="P432" s="393">
        <v>1</v>
      </c>
      <c r="Q432" s="36">
        <v>0.10136530000000001</v>
      </c>
      <c r="R432" s="36">
        <v>0.28447820000000001</v>
      </c>
      <c r="S432" s="36">
        <v>0.43197210000000003</v>
      </c>
      <c r="T432" s="36">
        <v>0.44025449999999999</v>
      </c>
      <c r="U432" s="36">
        <v>0.47948170000000001</v>
      </c>
      <c r="V432" s="393">
        <v>1</v>
      </c>
      <c r="W432" s="36">
        <v>0.37736409999999998</v>
      </c>
      <c r="X432" s="36">
        <v>0.49293720000000002</v>
      </c>
      <c r="Y432" s="36">
        <v>0.62237180000000003</v>
      </c>
      <c r="Z432" s="36">
        <v>0.64239310000000005</v>
      </c>
      <c r="AA432" s="36">
        <v>0.68482909999999997</v>
      </c>
      <c r="AB432" s="393">
        <v>1</v>
      </c>
    </row>
    <row r="433" spans="2:28" ht="0.5" customHeight="1">
      <c r="B433" s="9" t="s">
        <v>113</v>
      </c>
      <c r="C433" s="9" t="str">
        <f t="shared" si="62"/>
        <v>Dominican Republic36</v>
      </c>
      <c r="D433" s="9">
        <v>36</v>
      </c>
      <c r="E433" s="36">
        <v>0.213727</v>
      </c>
      <c r="F433" s="36">
        <v>0.34670079999999998</v>
      </c>
      <c r="G433" s="36">
        <v>0.86177190000000004</v>
      </c>
      <c r="H433" s="36">
        <v>0.88810120000000004</v>
      </c>
      <c r="I433" s="36">
        <v>0.91594929999999997</v>
      </c>
      <c r="J433" s="393">
        <v>1</v>
      </c>
      <c r="K433" s="36">
        <v>0.44639640000000003</v>
      </c>
      <c r="L433" s="36">
        <v>0.5681581</v>
      </c>
      <c r="M433" s="36">
        <v>0.85158990000000001</v>
      </c>
      <c r="N433" s="36">
        <v>0.90868839999999995</v>
      </c>
      <c r="O433" s="36">
        <v>0.93844950000000005</v>
      </c>
      <c r="P433" s="393">
        <v>1</v>
      </c>
      <c r="Q433" s="36">
        <v>0.1019712</v>
      </c>
      <c r="R433" s="36">
        <v>0.28480919999999998</v>
      </c>
      <c r="S433" s="36">
        <v>0.43491210000000002</v>
      </c>
      <c r="T433" s="36">
        <v>0.44346140000000001</v>
      </c>
      <c r="U433" s="36">
        <v>0.48157699999999998</v>
      </c>
      <c r="V433" s="393">
        <v>1</v>
      </c>
      <c r="W433" s="36">
        <v>0.38030029999999998</v>
      </c>
      <c r="X433" s="36">
        <v>0.49365999999999999</v>
      </c>
      <c r="Y433" s="36">
        <v>0.62466129999999997</v>
      </c>
      <c r="Z433" s="36">
        <v>0.64561489999999999</v>
      </c>
      <c r="AA433" s="36">
        <v>0.68619019999999997</v>
      </c>
      <c r="AB433" s="393">
        <v>1</v>
      </c>
    </row>
    <row r="434" spans="2:28" ht="0.5" customHeight="1">
      <c r="B434" s="9" t="s">
        <v>113</v>
      </c>
      <c r="C434" s="9" t="str">
        <f t="shared" si="62"/>
        <v>Dominican Republic37</v>
      </c>
      <c r="D434" s="9">
        <v>37</v>
      </c>
      <c r="E434" s="36">
        <v>0.2160165</v>
      </c>
      <c r="F434" s="36">
        <v>0.3455569</v>
      </c>
      <c r="G434" s="36">
        <v>0.85995379999999999</v>
      </c>
      <c r="H434" s="36">
        <v>0.88821260000000002</v>
      </c>
      <c r="I434" s="36">
        <v>0.91432880000000005</v>
      </c>
      <c r="J434" s="393">
        <v>1</v>
      </c>
      <c r="K434" s="36">
        <v>0.44453520000000002</v>
      </c>
      <c r="L434" s="36">
        <v>0.55985490000000004</v>
      </c>
      <c r="M434" s="36">
        <v>0.84499000000000002</v>
      </c>
      <c r="N434" s="36">
        <v>0.90938220000000003</v>
      </c>
      <c r="O434" s="36">
        <v>0.93691429999999998</v>
      </c>
      <c r="P434" s="393">
        <v>1</v>
      </c>
      <c r="Q434" s="36">
        <v>0.103131</v>
      </c>
      <c r="R434" s="36">
        <v>0.28433589999999997</v>
      </c>
      <c r="S434" s="36">
        <v>0.4387046</v>
      </c>
      <c r="T434" s="36">
        <v>0.44782889999999997</v>
      </c>
      <c r="U434" s="36">
        <v>0.48260459999999999</v>
      </c>
      <c r="V434" s="393">
        <v>1</v>
      </c>
      <c r="W434" s="36">
        <v>0.39410469999999997</v>
      </c>
      <c r="X434" s="36">
        <v>0.50352319999999995</v>
      </c>
      <c r="Y434" s="36">
        <v>0.63833419999999996</v>
      </c>
      <c r="Z434" s="36">
        <v>0.66095789999999999</v>
      </c>
      <c r="AA434" s="36">
        <v>0.69838610000000001</v>
      </c>
      <c r="AB434" s="393">
        <v>1</v>
      </c>
    </row>
    <row r="435" spans="2:28" ht="0.5" customHeight="1">
      <c r="B435" s="9" t="s">
        <v>113</v>
      </c>
      <c r="C435" s="9" t="str">
        <f t="shared" si="62"/>
        <v>Dominican Republic38</v>
      </c>
      <c r="D435" s="9">
        <v>38</v>
      </c>
      <c r="E435" s="36">
        <v>0.2172115</v>
      </c>
      <c r="F435" s="36">
        <v>0.34536909999999998</v>
      </c>
      <c r="G435" s="36">
        <v>0.85914000000000001</v>
      </c>
      <c r="H435" s="36">
        <v>0.88816870000000003</v>
      </c>
      <c r="I435" s="36">
        <v>0.91331680000000004</v>
      </c>
      <c r="J435" s="393">
        <v>1</v>
      </c>
      <c r="K435" s="36">
        <v>0.4457991</v>
      </c>
      <c r="L435" s="36">
        <v>0.55972630000000001</v>
      </c>
      <c r="M435" s="36">
        <v>0.84405620000000003</v>
      </c>
      <c r="N435" s="36">
        <v>0.91156009999999998</v>
      </c>
      <c r="O435" s="36">
        <v>0.93850619999999996</v>
      </c>
      <c r="P435" s="393">
        <v>1</v>
      </c>
      <c r="Q435" s="36">
        <v>0.10345219999999999</v>
      </c>
      <c r="R435" s="36">
        <v>0.28305200000000003</v>
      </c>
      <c r="S435" s="36">
        <v>0.43935390000000002</v>
      </c>
      <c r="T435" s="36">
        <v>0.44872190000000001</v>
      </c>
      <c r="U435" s="36">
        <v>0.48181780000000002</v>
      </c>
      <c r="V435" s="393">
        <v>1</v>
      </c>
      <c r="W435" s="36">
        <v>0.40238679999999999</v>
      </c>
      <c r="X435" s="36">
        <v>0.50946740000000001</v>
      </c>
      <c r="Y435" s="36">
        <v>0.64583979999999996</v>
      </c>
      <c r="Z435" s="36">
        <v>0.66923520000000003</v>
      </c>
      <c r="AA435" s="36">
        <v>0.70546640000000005</v>
      </c>
      <c r="AB435" s="393">
        <v>1</v>
      </c>
    </row>
    <row r="436" spans="2:28" ht="0.5" customHeight="1">
      <c r="B436" s="9" t="s">
        <v>113</v>
      </c>
      <c r="C436" s="9" t="str">
        <f t="shared" ref="C436:C499" si="63">CONCATENATE(B436,D436)</f>
        <v>Dominican Republic39</v>
      </c>
      <c r="D436" s="9">
        <v>39</v>
      </c>
      <c r="E436" s="36">
        <v>0.21993579999999999</v>
      </c>
      <c r="F436" s="36">
        <v>0.3456843</v>
      </c>
      <c r="G436" s="36">
        <v>0.86151979999999995</v>
      </c>
      <c r="H436" s="36">
        <v>0.89182570000000005</v>
      </c>
      <c r="I436" s="36">
        <v>0.91536289999999998</v>
      </c>
      <c r="J436" s="393">
        <v>1</v>
      </c>
      <c r="K436" s="36">
        <v>0.44418669999999999</v>
      </c>
      <c r="L436" s="36">
        <v>0.55345940000000005</v>
      </c>
      <c r="M436" s="36">
        <v>0.83923979999999998</v>
      </c>
      <c r="N436" s="36">
        <v>0.91408829999999996</v>
      </c>
      <c r="O436" s="36">
        <v>0.94050009999999995</v>
      </c>
      <c r="P436" s="393">
        <v>1</v>
      </c>
      <c r="Q436" s="36">
        <v>0.1039852</v>
      </c>
      <c r="R436" s="36">
        <v>0.27904010000000001</v>
      </c>
      <c r="S436" s="36">
        <v>0.4372953</v>
      </c>
      <c r="T436" s="36">
        <v>0.44722479999999998</v>
      </c>
      <c r="U436" s="36">
        <v>0.47754679999999999</v>
      </c>
      <c r="V436" s="393">
        <v>1</v>
      </c>
      <c r="W436" s="36">
        <v>0.4196493</v>
      </c>
      <c r="X436" s="36">
        <v>0.52195579999999997</v>
      </c>
      <c r="Y436" s="36">
        <v>0.66088089999999999</v>
      </c>
      <c r="Z436" s="36">
        <v>0.68564789999999998</v>
      </c>
      <c r="AA436" s="36">
        <v>0.71938389999999997</v>
      </c>
      <c r="AB436" s="393">
        <v>1</v>
      </c>
    </row>
    <row r="437" spans="2:28" ht="0.5" customHeight="1">
      <c r="B437" s="9" t="s">
        <v>113</v>
      </c>
      <c r="C437" s="9" t="str">
        <f t="shared" si="63"/>
        <v>Dominican Republic40</v>
      </c>
      <c r="D437" s="9">
        <v>40</v>
      </c>
      <c r="E437" s="36">
        <v>0.22123709999999999</v>
      </c>
      <c r="F437" s="36">
        <v>0.34558119999999998</v>
      </c>
      <c r="G437" s="36">
        <v>0.86310690000000001</v>
      </c>
      <c r="H437" s="36">
        <v>0.89404919999999999</v>
      </c>
      <c r="I437" s="36">
        <v>0.9170663</v>
      </c>
      <c r="J437" s="393">
        <v>1</v>
      </c>
      <c r="K437" s="36">
        <v>0.44153710000000002</v>
      </c>
      <c r="L437" s="36">
        <v>0.54878349999999998</v>
      </c>
      <c r="M437" s="36">
        <v>0.8358333</v>
      </c>
      <c r="N437" s="36">
        <v>0.91465030000000003</v>
      </c>
      <c r="O437" s="36">
        <v>0.94103099999999995</v>
      </c>
      <c r="P437" s="393">
        <v>1</v>
      </c>
      <c r="Q437" s="36">
        <v>0.1039379</v>
      </c>
      <c r="R437" s="36">
        <v>0.27589380000000002</v>
      </c>
      <c r="S437" s="36">
        <v>0.43462000000000001</v>
      </c>
      <c r="T437" s="36">
        <v>0.44474570000000002</v>
      </c>
      <c r="U437" s="36">
        <v>0.4738001</v>
      </c>
      <c r="V437" s="393">
        <v>1</v>
      </c>
      <c r="W437" s="36">
        <v>0.42610540000000002</v>
      </c>
      <c r="X437" s="36">
        <v>0.52556820000000004</v>
      </c>
      <c r="Y437" s="36">
        <v>0.66606339999999997</v>
      </c>
      <c r="Z437" s="36">
        <v>0.69135800000000003</v>
      </c>
      <c r="AA437" s="36">
        <v>0.72382409999999997</v>
      </c>
      <c r="AB437" s="393">
        <v>1</v>
      </c>
    </row>
    <row r="438" spans="2:28" ht="0.5" customHeight="1">
      <c r="B438" s="9" t="s">
        <v>113</v>
      </c>
      <c r="C438" s="9" t="str">
        <f t="shared" si="63"/>
        <v>Dominican Republic41</v>
      </c>
      <c r="D438" s="9">
        <v>41</v>
      </c>
      <c r="E438" s="36">
        <v>0.22163530000000001</v>
      </c>
      <c r="F438" s="36">
        <v>0.3445394</v>
      </c>
      <c r="G438" s="36">
        <v>0.86350709999999997</v>
      </c>
      <c r="H438" s="36">
        <v>0.89509320000000003</v>
      </c>
      <c r="I438" s="36">
        <v>0.9175816</v>
      </c>
      <c r="J438" s="393">
        <v>1</v>
      </c>
      <c r="K438" s="36">
        <v>0.43866129999999998</v>
      </c>
      <c r="L438" s="36">
        <v>0.54386679999999998</v>
      </c>
      <c r="M438" s="36">
        <v>0.83236869999999996</v>
      </c>
      <c r="N438" s="36">
        <v>0.91464140000000005</v>
      </c>
      <c r="O438" s="36">
        <v>0.94121069999999996</v>
      </c>
      <c r="P438" s="393">
        <v>1</v>
      </c>
      <c r="Q438" s="36">
        <v>0.1037086</v>
      </c>
      <c r="R438" s="36">
        <v>0.27262259999999999</v>
      </c>
      <c r="S438" s="36">
        <v>0.43152059999999998</v>
      </c>
      <c r="T438" s="36">
        <v>0.44186730000000002</v>
      </c>
      <c r="U438" s="36">
        <v>0.46959489999999998</v>
      </c>
      <c r="V438" s="393">
        <v>1</v>
      </c>
      <c r="W438" s="36">
        <v>0.43010799999999999</v>
      </c>
      <c r="X438" s="36">
        <v>0.52745439999999999</v>
      </c>
      <c r="Y438" s="36">
        <v>0.66943509999999995</v>
      </c>
      <c r="Z438" s="36">
        <v>0.69494040000000001</v>
      </c>
      <c r="AA438" s="36">
        <v>0.72606769999999998</v>
      </c>
      <c r="AB438" s="393">
        <v>1</v>
      </c>
    </row>
    <row r="439" spans="2:28" ht="0.5" customHeight="1">
      <c r="B439" s="9" t="s">
        <v>113</v>
      </c>
      <c r="C439" s="9" t="str">
        <f t="shared" si="63"/>
        <v>Dominican Republic42</v>
      </c>
      <c r="D439" s="9">
        <v>42</v>
      </c>
      <c r="E439" s="36">
        <v>0.2181621</v>
      </c>
      <c r="F439" s="36">
        <v>0.33782790000000001</v>
      </c>
      <c r="G439" s="36">
        <v>0.86010620000000004</v>
      </c>
      <c r="H439" s="36">
        <v>0.89273020000000003</v>
      </c>
      <c r="I439" s="36">
        <v>0.91422740000000002</v>
      </c>
      <c r="J439" s="393">
        <v>1</v>
      </c>
      <c r="K439" s="36">
        <v>0.42785879999999998</v>
      </c>
      <c r="L439" s="36">
        <v>0.52788650000000004</v>
      </c>
      <c r="M439" s="36">
        <v>0.81606290000000004</v>
      </c>
      <c r="N439" s="36">
        <v>0.90379509999999996</v>
      </c>
      <c r="O439" s="36">
        <v>0.93031629999999998</v>
      </c>
      <c r="P439" s="393">
        <v>1</v>
      </c>
      <c r="Q439" s="36">
        <v>0.1049501</v>
      </c>
      <c r="R439" s="36">
        <v>0.26852870000000001</v>
      </c>
      <c r="S439" s="36">
        <v>0.4273535</v>
      </c>
      <c r="T439" s="36">
        <v>0.43791560000000002</v>
      </c>
      <c r="U439" s="36">
        <v>0.46435300000000002</v>
      </c>
      <c r="V439" s="393">
        <v>1</v>
      </c>
      <c r="W439" s="36">
        <v>0.42870720000000001</v>
      </c>
      <c r="X439" s="36">
        <v>0.52119269999999995</v>
      </c>
      <c r="Y439" s="36">
        <v>0.66456380000000004</v>
      </c>
      <c r="Z439" s="36">
        <v>0.69031319999999996</v>
      </c>
      <c r="AA439" s="36">
        <v>0.71894910000000001</v>
      </c>
      <c r="AB439" s="393">
        <v>1</v>
      </c>
    </row>
    <row r="440" spans="2:28" ht="0.5" customHeight="1">
      <c r="B440" s="9" t="s">
        <v>113</v>
      </c>
      <c r="C440" s="9" t="str">
        <f t="shared" si="63"/>
        <v>Dominican Republic43</v>
      </c>
      <c r="D440" s="9">
        <v>43</v>
      </c>
      <c r="E440" s="36">
        <v>0.21652869999999999</v>
      </c>
      <c r="F440" s="36">
        <v>0.3342657</v>
      </c>
      <c r="G440" s="36">
        <v>0.85726789999999997</v>
      </c>
      <c r="H440" s="36">
        <v>0.89033929999999994</v>
      </c>
      <c r="I440" s="36">
        <v>0.91175329999999999</v>
      </c>
      <c r="J440" s="393">
        <v>1</v>
      </c>
      <c r="K440" s="36">
        <v>0.42340529999999998</v>
      </c>
      <c r="L440" s="36">
        <v>0.52070729999999998</v>
      </c>
      <c r="M440" s="36">
        <v>0.80920150000000002</v>
      </c>
      <c r="N440" s="36">
        <v>0.89823839999999999</v>
      </c>
      <c r="O440" s="36">
        <v>0.9244367</v>
      </c>
      <c r="P440" s="393">
        <v>1</v>
      </c>
      <c r="Q440" s="36">
        <v>0.10585550000000001</v>
      </c>
      <c r="R440" s="36">
        <v>0.26677770000000001</v>
      </c>
      <c r="S440" s="36">
        <v>0.42501290000000003</v>
      </c>
      <c r="T440" s="36">
        <v>0.43558449999999999</v>
      </c>
      <c r="U440" s="36">
        <v>0.4612713</v>
      </c>
      <c r="V440" s="393">
        <v>1</v>
      </c>
      <c r="W440" s="36">
        <v>0.42641390000000001</v>
      </c>
      <c r="X440" s="36">
        <v>0.51742949999999999</v>
      </c>
      <c r="Y440" s="36">
        <v>0.66099620000000003</v>
      </c>
      <c r="Z440" s="36">
        <v>0.68683910000000004</v>
      </c>
      <c r="AA440" s="36">
        <v>0.71445910000000001</v>
      </c>
      <c r="AB440" s="393">
        <v>1</v>
      </c>
    </row>
    <row r="441" spans="2:28" ht="0.5" customHeight="1">
      <c r="B441" s="9" t="s">
        <v>113</v>
      </c>
      <c r="C441" s="9" t="str">
        <f t="shared" si="63"/>
        <v>Dominican Republic44</v>
      </c>
      <c r="D441" s="9">
        <v>44</v>
      </c>
      <c r="E441" s="36">
        <v>0.2133591</v>
      </c>
      <c r="F441" s="36">
        <v>0.32634800000000003</v>
      </c>
      <c r="G441" s="36">
        <v>0.84843060000000003</v>
      </c>
      <c r="H441" s="36">
        <v>0.88247140000000002</v>
      </c>
      <c r="I441" s="36">
        <v>0.90356329999999996</v>
      </c>
      <c r="J441" s="393">
        <v>1</v>
      </c>
      <c r="K441" s="36">
        <v>0.4231084</v>
      </c>
      <c r="L441" s="36">
        <v>0.51444179999999995</v>
      </c>
      <c r="M441" s="36">
        <v>0.80659530000000002</v>
      </c>
      <c r="N441" s="36">
        <v>0.89669810000000005</v>
      </c>
      <c r="O441" s="36">
        <v>0.92182399999999998</v>
      </c>
      <c r="P441" s="393">
        <v>1</v>
      </c>
      <c r="Q441" s="36">
        <v>0.106556</v>
      </c>
      <c r="R441" s="36">
        <v>0.26279010000000003</v>
      </c>
      <c r="S441" s="36">
        <v>0.42008040000000002</v>
      </c>
      <c r="T441" s="36">
        <v>0.43060009999999999</v>
      </c>
      <c r="U441" s="36">
        <v>0.4543411</v>
      </c>
      <c r="V441" s="393">
        <v>1</v>
      </c>
      <c r="W441" s="36">
        <v>0.42389670000000002</v>
      </c>
      <c r="X441" s="36">
        <v>0.51199779999999995</v>
      </c>
      <c r="Y441" s="36">
        <v>0.65368459999999995</v>
      </c>
      <c r="Z441" s="36">
        <v>0.67952760000000001</v>
      </c>
      <c r="AA441" s="36">
        <v>0.70483370000000001</v>
      </c>
      <c r="AB441" s="393">
        <v>1</v>
      </c>
    </row>
    <row r="442" spans="2:28" ht="0.5" customHeight="1">
      <c r="B442" s="9" t="s">
        <v>113</v>
      </c>
      <c r="C442" s="9" t="str">
        <f t="shared" si="63"/>
        <v>Dominican Republic45</v>
      </c>
      <c r="D442" s="9">
        <v>45</v>
      </c>
      <c r="E442" s="36">
        <v>0.21133779999999999</v>
      </c>
      <c r="F442" s="36">
        <v>0.32166139999999999</v>
      </c>
      <c r="G442" s="36">
        <v>0.84422430000000004</v>
      </c>
      <c r="H442" s="36">
        <v>0.87872980000000001</v>
      </c>
      <c r="I442" s="36">
        <v>0.8996885</v>
      </c>
      <c r="J442" s="393">
        <v>1</v>
      </c>
      <c r="K442" s="36">
        <v>0.4286741</v>
      </c>
      <c r="L442" s="36">
        <v>0.51723419999999998</v>
      </c>
      <c r="M442" s="36">
        <v>0.81185529999999995</v>
      </c>
      <c r="N442" s="36">
        <v>0.90234639999999999</v>
      </c>
      <c r="O442" s="36">
        <v>0.92651709999999998</v>
      </c>
      <c r="P442" s="393">
        <v>1</v>
      </c>
      <c r="Q442" s="36">
        <v>0.1052242</v>
      </c>
      <c r="R442" s="36">
        <v>0.2590808</v>
      </c>
      <c r="S442" s="36">
        <v>0.4165045</v>
      </c>
      <c r="T442" s="36">
        <v>0.4270234</v>
      </c>
      <c r="U442" s="36">
        <v>0.44950679999999998</v>
      </c>
      <c r="V442" s="393">
        <v>1</v>
      </c>
      <c r="W442" s="36">
        <v>0.42353190000000002</v>
      </c>
      <c r="X442" s="36">
        <v>0.50977090000000003</v>
      </c>
      <c r="Y442" s="36">
        <v>0.64967969999999997</v>
      </c>
      <c r="Z442" s="36">
        <v>0.67519830000000003</v>
      </c>
      <c r="AA442" s="36">
        <v>0.69943739999999999</v>
      </c>
      <c r="AB442" s="393">
        <v>1</v>
      </c>
    </row>
    <row r="443" spans="2:28" ht="0.5" customHeight="1">
      <c r="B443" s="9" t="s">
        <v>113</v>
      </c>
      <c r="C443" s="9" t="str">
        <f t="shared" si="63"/>
        <v>Dominican Republic46</v>
      </c>
      <c r="D443" s="9">
        <v>46</v>
      </c>
      <c r="E443" s="36">
        <v>0.20973710000000001</v>
      </c>
      <c r="F443" s="36">
        <v>0.3176407</v>
      </c>
      <c r="G443" s="36">
        <v>0.83955250000000003</v>
      </c>
      <c r="H443" s="36">
        <v>0.87444580000000005</v>
      </c>
      <c r="I443" s="36">
        <v>0.89519320000000002</v>
      </c>
      <c r="J443" s="393">
        <v>1</v>
      </c>
      <c r="K443" s="36">
        <v>0.43306159999999999</v>
      </c>
      <c r="L443" s="36">
        <v>0.51835750000000003</v>
      </c>
      <c r="M443" s="36">
        <v>0.81523350000000006</v>
      </c>
      <c r="N443" s="36">
        <v>0.90615029999999996</v>
      </c>
      <c r="O443" s="36">
        <v>0.92951499999999998</v>
      </c>
      <c r="P443" s="393">
        <v>1</v>
      </c>
      <c r="Q443" s="36">
        <v>0.1032315</v>
      </c>
      <c r="R443" s="36">
        <v>0.25401269999999998</v>
      </c>
      <c r="S443" s="36">
        <v>0.41131109999999999</v>
      </c>
      <c r="T443" s="36">
        <v>0.42187859999999999</v>
      </c>
      <c r="U443" s="36">
        <v>0.44322470000000003</v>
      </c>
      <c r="V443" s="393">
        <v>1</v>
      </c>
      <c r="W443" s="36">
        <v>0.4239096</v>
      </c>
      <c r="X443" s="36">
        <v>0.50807709999999995</v>
      </c>
      <c r="Y443" s="36">
        <v>0.64485840000000005</v>
      </c>
      <c r="Z443" s="36">
        <v>0.67033730000000002</v>
      </c>
      <c r="AA443" s="36">
        <v>0.69341050000000004</v>
      </c>
      <c r="AB443" s="393">
        <v>1</v>
      </c>
    </row>
    <row r="444" spans="2:28" ht="0.5" customHeight="1">
      <c r="B444" s="9" t="s">
        <v>113</v>
      </c>
      <c r="C444" s="9" t="str">
        <f t="shared" si="63"/>
        <v>Dominican Republic47</v>
      </c>
      <c r="D444" s="9">
        <v>47</v>
      </c>
      <c r="E444" s="36">
        <v>0.20773340000000001</v>
      </c>
      <c r="F444" s="36">
        <v>0.31123210000000001</v>
      </c>
      <c r="G444" s="36">
        <v>0.83147979999999999</v>
      </c>
      <c r="H444" s="36">
        <v>0.86719999999999997</v>
      </c>
      <c r="I444" s="36">
        <v>0.88742140000000003</v>
      </c>
      <c r="J444" s="393">
        <v>1</v>
      </c>
      <c r="K444" s="36">
        <v>0.43584319999999999</v>
      </c>
      <c r="L444" s="36">
        <v>0.51475939999999998</v>
      </c>
      <c r="M444" s="36">
        <v>0.81023420000000002</v>
      </c>
      <c r="N444" s="36">
        <v>0.90104410000000001</v>
      </c>
      <c r="O444" s="36">
        <v>0.92353419999999997</v>
      </c>
      <c r="P444" s="393">
        <v>1</v>
      </c>
      <c r="Q444" s="36">
        <v>9.8548300000000005E-2</v>
      </c>
      <c r="R444" s="36">
        <v>0.24253160000000001</v>
      </c>
      <c r="S444" s="36">
        <v>0.39906199999999997</v>
      </c>
      <c r="T444" s="36">
        <v>0.40962310000000002</v>
      </c>
      <c r="U444" s="36">
        <v>0.42809989999999998</v>
      </c>
      <c r="V444" s="393">
        <v>1</v>
      </c>
      <c r="W444" s="36">
        <v>0.42760930000000003</v>
      </c>
      <c r="X444" s="36">
        <v>0.50689770000000001</v>
      </c>
      <c r="Y444" s="36">
        <v>0.63749250000000002</v>
      </c>
      <c r="Z444" s="36">
        <v>0.66258589999999995</v>
      </c>
      <c r="AA444" s="36">
        <v>0.68348940000000002</v>
      </c>
      <c r="AB444" s="393">
        <v>1</v>
      </c>
    </row>
    <row r="445" spans="2:28" ht="0.5" customHeight="1">
      <c r="B445" s="9" t="s">
        <v>113</v>
      </c>
      <c r="C445" s="9" t="str">
        <f t="shared" si="63"/>
        <v>Dominican Republic48</v>
      </c>
      <c r="D445" s="9">
        <v>48</v>
      </c>
      <c r="E445" s="36">
        <v>0.20775460000000001</v>
      </c>
      <c r="F445" s="36">
        <v>0.30948310000000001</v>
      </c>
      <c r="G445" s="36">
        <v>0.82837919999999998</v>
      </c>
      <c r="H445" s="36">
        <v>0.86484280000000002</v>
      </c>
      <c r="I445" s="36">
        <v>0.88501879999999999</v>
      </c>
      <c r="J445" s="393">
        <v>1</v>
      </c>
      <c r="K445" s="36">
        <v>0.43498409999999998</v>
      </c>
      <c r="L445" s="36">
        <v>0.51195970000000002</v>
      </c>
      <c r="M445" s="36">
        <v>0.80402180000000001</v>
      </c>
      <c r="N445" s="36">
        <v>0.89450569999999996</v>
      </c>
      <c r="O445" s="36">
        <v>0.91649199999999997</v>
      </c>
      <c r="P445" s="393">
        <v>1</v>
      </c>
      <c r="Q445" s="36">
        <v>9.6268599999999996E-2</v>
      </c>
      <c r="R445" s="36">
        <v>0.235952</v>
      </c>
      <c r="S445" s="36">
        <v>0.39241920000000002</v>
      </c>
      <c r="T445" s="36">
        <v>0.40290710000000002</v>
      </c>
      <c r="U445" s="36">
        <v>0.41967660000000001</v>
      </c>
      <c r="V445" s="393">
        <v>1</v>
      </c>
      <c r="W445" s="36">
        <v>0.42728630000000001</v>
      </c>
      <c r="X445" s="36">
        <v>0.50422480000000003</v>
      </c>
      <c r="Y445" s="36">
        <v>0.63244270000000002</v>
      </c>
      <c r="Z445" s="36">
        <v>0.65744270000000005</v>
      </c>
      <c r="AA445" s="36">
        <v>0.67721799999999999</v>
      </c>
      <c r="AB445" s="393">
        <v>1</v>
      </c>
    </row>
    <row r="446" spans="2:28" ht="0.5" customHeight="1">
      <c r="B446" s="9" t="s">
        <v>113</v>
      </c>
      <c r="C446" s="9" t="str">
        <f t="shared" si="63"/>
        <v>Dominican Republic49</v>
      </c>
      <c r="D446" s="9">
        <v>49</v>
      </c>
      <c r="E446" s="36">
        <v>0.20846980000000001</v>
      </c>
      <c r="F446" s="36">
        <v>0.30671340000000002</v>
      </c>
      <c r="G446" s="36">
        <v>0.82250520000000005</v>
      </c>
      <c r="H446" s="36">
        <v>0.86018969999999995</v>
      </c>
      <c r="I446" s="36">
        <v>0.8806041</v>
      </c>
      <c r="J446" s="393">
        <v>1</v>
      </c>
      <c r="K446" s="36">
        <v>0.42820459999999999</v>
      </c>
      <c r="L446" s="36">
        <v>0.50148230000000005</v>
      </c>
      <c r="M446" s="36">
        <v>0.78764339999999999</v>
      </c>
      <c r="N446" s="36">
        <v>0.8773685</v>
      </c>
      <c r="O446" s="36">
        <v>0.89934840000000005</v>
      </c>
      <c r="P446" s="393">
        <v>1</v>
      </c>
      <c r="Q446" s="36">
        <v>9.1517899999999999E-2</v>
      </c>
      <c r="R446" s="36">
        <v>0.22230440000000001</v>
      </c>
      <c r="S446" s="36">
        <v>0.37837199999999999</v>
      </c>
      <c r="T446" s="36">
        <v>0.38860479999999997</v>
      </c>
      <c r="U446" s="36">
        <v>0.4019625</v>
      </c>
      <c r="V446" s="393">
        <v>1</v>
      </c>
      <c r="W446" s="36">
        <v>0.42117359999999998</v>
      </c>
      <c r="X446" s="36">
        <v>0.49336069999999999</v>
      </c>
      <c r="Y446" s="36">
        <v>0.61730949999999996</v>
      </c>
      <c r="Z446" s="36">
        <v>0.64195380000000002</v>
      </c>
      <c r="AA446" s="36">
        <v>0.65950980000000003</v>
      </c>
      <c r="AB446" s="393">
        <v>1</v>
      </c>
    </row>
    <row r="447" spans="2:28" ht="0.5" customHeight="1">
      <c r="B447" s="9" t="s">
        <v>113</v>
      </c>
      <c r="C447" s="9" t="str">
        <f t="shared" si="63"/>
        <v>Dominican Republic50</v>
      </c>
      <c r="D447" s="9">
        <v>50</v>
      </c>
      <c r="E447" s="36">
        <v>0.207066</v>
      </c>
      <c r="F447" s="36">
        <v>0.30359039999999998</v>
      </c>
      <c r="G447" s="36">
        <v>0.81569559999999997</v>
      </c>
      <c r="H447" s="36">
        <v>0.85377970000000003</v>
      </c>
      <c r="I447" s="36">
        <v>0.87425870000000006</v>
      </c>
      <c r="J447" s="393">
        <v>1</v>
      </c>
      <c r="K447" s="36">
        <v>0.4259715</v>
      </c>
      <c r="L447" s="36">
        <v>0.49696669999999998</v>
      </c>
      <c r="M447" s="36">
        <v>0.78077629999999998</v>
      </c>
      <c r="N447" s="36">
        <v>0.86990060000000002</v>
      </c>
      <c r="O447" s="36">
        <v>0.89234230000000003</v>
      </c>
      <c r="P447" s="393">
        <v>1</v>
      </c>
      <c r="Q447" s="36">
        <v>8.9047000000000001E-2</v>
      </c>
      <c r="R447" s="36">
        <v>0.21529909999999999</v>
      </c>
      <c r="S447" s="36">
        <v>0.3712143</v>
      </c>
      <c r="T447" s="36">
        <v>0.38115480000000002</v>
      </c>
      <c r="U447" s="36">
        <v>0.39348850000000002</v>
      </c>
      <c r="V447" s="393">
        <v>1</v>
      </c>
      <c r="W447" s="36">
        <v>0.4151125</v>
      </c>
      <c r="X447" s="36">
        <v>0.48592269999999999</v>
      </c>
      <c r="Y447" s="36">
        <v>0.60841239999999996</v>
      </c>
      <c r="Z447" s="36">
        <v>0.63317690000000004</v>
      </c>
      <c r="AA447" s="36">
        <v>0.64957299999999996</v>
      </c>
      <c r="AB447" s="393">
        <v>1</v>
      </c>
    </row>
    <row r="448" spans="2:28" ht="0.5" customHeight="1">
      <c r="B448" s="9" t="s">
        <v>113</v>
      </c>
      <c r="C448" s="9" t="str">
        <f t="shared" si="63"/>
        <v>Dominican Republic51</v>
      </c>
      <c r="D448" s="9">
        <v>51</v>
      </c>
      <c r="E448" s="36">
        <v>0.20536090000000001</v>
      </c>
      <c r="F448" s="36">
        <v>0.30027019999999999</v>
      </c>
      <c r="G448" s="36">
        <v>0.80708060000000004</v>
      </c>
      <c r="H448" s="36">
        <v>0.84557599999999999</v>
      </c>
      <c r="I448" s="36">
        <v>0.86623039999999996</v>
      </c>
      <c r="J448" s="393">
        <v>1</v>
      </c>
      <c r="K448" s="36">
        <v>0.42597279999999998</v>
      </c>
      <c r="L448" s="36">
        <v>0.49412299999999998</v>
      </c>
      <c r="M448" s="36">
        <v>0.77501430000000004</v>
      </c>
      <c r="N448" s="36">
        <v>0.86425790000000002</v>
      </c>
      <c r="O448" s="36">
        <v>0.8875923</v>
      </c>
      <c r="P448" s="393">
        <v>1</v>
      </c>
      <c r="Q448" s="36">
        <v>8.6139900000000005E-2</v>
      </c>
      <c r="R448" s="36">
        <v>0.2084181</v>
      </c>
      <c r="S448" s="36">
        <v>0.36391699999999999</v>
      </c>
      <c r="T448" s="36">
        <v>0.37356349999999999</v>
      </c>
      <c r="U448" s="36">
        <v>0.38524950000000002</v>
      </c>
      <c r="V448" s="393">
        <v>1</v>
      </c>
      <c r="W448" s="36">
        <v>0.40361999999999998</v>
      </c>
      <c r="X448" s="36">
        <v>0.47328900000000002</v>
      </c>
      <c r="Y448" s="36">
        <v>0.59418689999999996</v>
      </c>
      <c r="Z448" s="36">
        <v>0.61917</v>
      </c>
      <c r="AA448" s="36">
        <v>0.63455799999999996</v>
      </c>
      <c r="AB448" s="393">
        <v>1</v>
      </c>
    </row>
    <row r="449" spans="2:28" ht="0.5" customHeight="1">
      <c r="B449" s="9" t="s">
        <v>113</v>
      </c>
      <c r="C449" s="9" t="str">
        <f t="shared" si="63"/>
        <v>Dominican Republic52</v>
      </c>
      <c r="D449" s="9">
        <v>52</v>
      </c>
      <c r="E449" s="36">
        <v>0.20093620000000001</v>
      </c>
      <c r="F449" s="36">
        <v>0.29315249999999998</v>
      </c>
      <c r="G449" s="36">
        <v>0.78928659999999995</v>
      </c>
      <c r="H449" s="36">
        <v>0.82866039999999996</v>
      </c>
      <c r="I449" s="36">
        <v>0.8502478</v>
      </c>
      <c r="J449" s="393">
        <v>1</v>
      </c>
      <c r="K449" s="36">
        <v>0.43288480000000001</v>
      </c>
      <c r="L449" s="36">
        <v>0.49754599999999999</v>
      </c>
      <c r="M449" s="36">
        <v>0.7679047</v>
      </c>
      <c r="N449" s="36">
        <v>0.85936069999999998</v>
      </c>
      <c r="O449" s="36">
        <v>0.88433680000000003</v>
      </c>
      <c r="P449" s="393">
        <v>1</v>
      </c>
      <c r="Q449" s="36">
        <v>8.0701499999999995E-2</v>
      </c>
      <c r="R449" s="36">
        <v>0.19583229999999999</v>
      </c>
      <c r="S449" s="36">
        <v>0.35029179999999999</v>
      </c>
      <c r="T449" s="36">
        <v>0.35935929999999999</v>
      </c>
      <c r="U449" s="36">
        <v>0.3699636</v>
      </c>
      <c r="V449" s="393">
        <v>1</v>
      </c>
      <c r="W449" s="36">
        <v>0.38159989999999999</v>
      </c>
      <c r="X449" s="36">
        <v>0.4496521</v>
      </c>
      <c r="Y449" s="36">
        <v>0.56630590000000003</v>
      </c>
      <c r="Z449" s="36">
        <v>0.59216460000000004</v>
      </c>
      <c r="AA449" s="36">
        <v>0.60592789999999996</v>
      </c>
      <c r="AB449" s="393">
        <v>1</v>
      </c>
    </row>
    <row r="450" spans="2:28" ht="0.5" customHeight="1">
      <c r="B450" s="9" t="s">
        <v>113</v>
      </c>
      <c r="C450" s="9" t="str">
        <f t="shared" si="63"/>
        <v>Dominican Republic53</v>
      </c>
      <c r="D450" s="9">
        <v>53</v>
      </c>
      <c r="E450" s="36">
        <v>0.1971212</v>
      </c>
      <c r="F450" s="36">
        <v>0.2885047</v>
      </c>
      <c r="G450" s="36">
        <v>0.78109439999999997</v>
      </c>
      <c r="H450" s="36">
        <v>0.82092880000000001</v>
      </c>
      <c r="I450" s="36">
        <v>0.84335789999999999</v>
      </c>
      <c r="J450" s="393">
        <v>1</v>
      </c>
      <c r="K450" s="36">
        <v>0.43785059999999998</v>
      </c>
      <c r="L450" s="36">
        <v>0.50131599999999998</v>
      </c>
      <c r="M450" s="36">
        <v>0.76473769999999996</v>
      </c>
      <c r="N450" s="36">
        <v>0.85708269999999998</v>
      </c>
      <c r="O450" s="36">
        <v>0.88265289999999996</v>
      </c>
      <c r="P450" s="393">
        <v>1</v>
      </c>
      <c r="Q450" s="36">
        <v>7.9055399999999998E-2</v>
      </c>
      <c r="R450" s="36">
        <v>0.1906726</v>
      </c>
      <c r="S450" s="36">
        <v>0.34468680000000002</v>
      </c>
      <c r="T450" s="36">
        <v>0.35348889999999999</v>
      </c>
      <c r="U450" s="36">
        <v>0.36347010000000002</v>
      </c>
      <c r="V450" s="393">
        <v>1</v>
      </c>
      <c r="W450" s="36">
        <v>0.36836049999999998</v>
      </c>
      <c r="X450" s="36">
        <v>0.43648290000000001</v>
      </c>
      <c r="Y450" s="36">
        <v>0.55056669999999996</v>
      </c>
      <c r="Z450" s="36">
        <v>0.5771773</v>
      </c>
      <c r="AA450" s="36">
        <v>0.58987860000000003</v>
      </c>
      <c r="AB450" s="393">
        <v>1</v>
      </c>
    </row>
    <row r="451" spans="2:28" ht="0.5" customHeight="1">
      <c r="B451" s="9" t="s">
        <v>113</v>
      </c>
      <c r="C451" s="9" t="str">
        <f t="shared" si="63"/>
        <v>Dominican Republic54</v>
      </c>
      <c r="D451" s="9">
        <v>54</v>
      </c>
      <c r="E451" s="36">
        <v>0.18772810000000001</v>
      </c>
      <c r="F451" s="36">
        <v>0.27862809999999999</v>
      </c>
      <c r="G451" s="36">
        <v>0.76639539999999995</v>
      </c>
      <c r="H451" s="36">
        <v>0.80628960000000005</v>
      </c>
      <c r="I451" s="36">
        <v>0.83180739999999997</v>
      </c>
      <c r="J451" s="393">
        <v>1</v>
      </c>
      <c r="K451" s="36">
        <v>0.45203660000000001</v>
      </c>
      <c r="L451" s="36">
        <v>0.51456849999999998</v>
      </c>
      <c r="M451" s="36">
        <v>0.76765380000000005</v>
      </c>
      <c r="N451" s="36">
        <v>0.86171719999999996</v>
      </c>
      <c r="O451" s="36">
        <v>0.88858630000000005</v>
      </c>
      <c r="P451" s="393">
        <v>1</v>
      </c>
      <c r="Q451" s="36">
        <v>7.7298000000000006E-2</v>
      </c>
      <c r="R451" s="36">
        <v>0.18306149999999999</v>
      </c>
      <c r="S451" s="36">
        <v>0.33660040000000002</v>
      </c>
      <c r="T451" s="36">
        <v>0.34465760000000001</v>
      </c>
      <c r="U451" s="36">
        <v>0.35427599999999998</v>
      </c>
      <c r="V451" s="393">
        <v>1</v>
      </c>
      <c r="W451" s="36">
        <v>0.33785140000000002</v>
      </c>
      <c r="X451" s="36">
        <v>0.4136225</v>
      </c>
      <c r="Y451" s="36">
        <v>0.51788909999999999</v>
      </c>
      <c r="Z451" s="36">
        <v>0.54757670000000003</v>
      </c>
      <c r="AA451" s="36">
        <v>0.55696480000000004</v>
      </c>
      <c r="AB451" s="393">
        <v>1</v>
      </c>
    </row>
    <row r="452" spans="2:28" ht="0.5" customHeight="1">
      <c r="B452" s="9" t="s">
        <v>113</v>
      </c>
      <c r="C452" s="9" t="str">
        <f t="shared" si="63"/>
        <v>Dominican Republic55</v>
      </c>
      <c r="D452" s="9">
        <v>55</v>
      </c>
      <c r="E452" s="36">
        <v>0.18406020000000001</v>
      </c>
      <c r="F452" s="36">
        <v>0.27459090000000003</v>
      </c>
      <c r="G452" s="36">
        <v>0.76822840000000003</v>
      </c>
      <c r="H452" s="36">
        <v>0.80752049999999997</v>
      </c>
      <c r="I452" s="36">
        <v>0.8349898</v>
      </c>
      <c r="J452" s="393">
        <v>1</v>
      </c>
      <c r="K452" s="36">
        <v>0.4675764</v>
      </c>
      <c r="L452" s="36">
        <v>0.53105919999999995</v>
      </c>
      <c r="M452" s="36">
        <v>0.78228189999999997</v>
      </c>
      <c r="N452" s="36">
        <v>0.87796680000000005</v>
      </c>
      <c r="O452" s="36">
        <v>0.90531879999999998</v>
      </c>
      <c r="P452" s="393">
        <v>1</v>
      </c>
      <c r="Q452" s="36">
        <v>7.54108E-2</v>
      </c>
      <c r="R452" s="36">
        <v>0.17844299999999999</v>
      </c>
      <c r="S452" s="36">
        <v>0.33275450000000001</v>
      </c>
      <c r="T452" s="36">
        <v>0.34013100000000002</v>
      </c>
      <c r="U452" s="36">
        <v>0.34949479999999999</v>
      </c>
      <c r="V452" s="393">
        <v>1</v>
      </c>
      <c r="W452" s="36">
        <v>0.32269700000000001</v>
      </c>
      <c r="X452" s="36">
        <v>0.40559070000000003</v>
      </c>
      <c r="Y452" s="36">
        <v>0.50000599999999995</v>
      </c>
      <c r="Z452" s="36">
        <v>0.53164239999999996</v>
      </c>
      <c r="AA452" s="36">
        <v>0.53967180000000003</v>
      </c>
      <c r="AB452" s="393">
        <v>1</v>
      </c>
    </row>
    <row r="453" spans="2:28" ht="0.5" customHeight="1">
      <c r="B453" s="9" t="s">
        <v>55</v>
      </c>
      <c r="C453" s="9" t="str">
        <f t="shared" si="63"/>
        <v>Paraguay20</v>
      </c>
      <c r="D453" s="9">
        <v>20</v>
      </c>
      <c r="E453" s="36">
        <v>4.8107299999999999E-2</v>
      </c>
      <c r="F453" s="36">
        <v>0.59492469999999997</v>
      </c>
      <c r="G453" s="36">
        <v>0.69019260000000004</v>
      </c>
      <c r="H453" s="36">
        <v>0.69511460000000003</v>
      </c>
      <c r="I453" s="36">
        <v>0.81983839999999997</v>
      </c>
      <c r="J453" s="393">
        <v>1</v>
      </c>
      <c r="K453" s="36">
        <v>0.1258042</v>
      </c>
      <c r="L453" s="36">
        <v>0.51041789999999998</v>
      </c>
      <c r="M453" s="36">
        <v>0.56464919999999996</v>
      </c>
      <c r="N453" s="36">
        <v>0.57176570000000004</v>
      </c>
      <c r="O453" s="36">
        <v>0.70558010000000004</v>
      </c>
      <c r="P453" s="393">
        <v>1</v>
      </c>
      <c r="Q453" s="36">
        <v>9.0483000000000004E-3</v>
      </c>
      <c r="R453" s="36">
        <v>0.2945892</v>
      </c>
      <c r="S453" s="36">
        <v>0.33953250000000001</v>
      </c>
      <c r="T453" s="36">
        <v>0.34081699999999998</v>
      </c>
      <c r="U453" s="36">
        <v>0.43280600000000002</v>
      </c>
      <c r="V453" s="393">
        <v>1</v>
      </c>
      <c r="W453" s="36">
        <v>7.0782800000000007E-2</v>
      </c>
      <c r="X453" s="36">
        <v>0.39808579999999999</v>
      </c>
      <c r="Y453" s="36">
        <v>0.43004550000000002</v>
      </c>
      <c r="Z453" s="36">
        <v>0.4329057</v>
      </c>
      <c r="AA453" s="36">
        <v>0.56256870000000003</v>
      </c>
      <c r="AB453" s="393">
        <v>1</v>
      </c>
    </row>
    <row r="454" spans="2:28" ht="0.5" customHeight="1">
      <c r="B454" s="9" t="s">
        <v>55</v>
      </c>
      <c r="C454" s="9" t="str">
        <f t="shared" si="63"/>
        <v>Paraguay21</v>
      </c>
      <c r="D454" s="9">
        <v>21</v>
      </c>
      <c r="E454" s="36">
        <v>5.3634500000000002E-2</v>
      </c>
      <c r="F454" s="36">
        <v>0.60877099999999995</v>
      </c>
      <c r="G454" s="36">
        <v>0.71674839999999995</v>
      </c>
      <c r="H454" s="36">
        <v>0.72574309999999997</v>
      </c>
      <c r="I454" s="36">
        <v>0.84395960000000003</v>
      </c>
      <c r="J454" s="393">
        <v>1</v>
      </c>
      <c r="K454" s="36">
        <v>0.1556063</v>
      </c>
      <c r="L454" s="36">
        <v>0.55385580000000001</v>
      </c>
      <c r="M454" s="36">
        <v>0.61264320000000005</v>
      </c>
      <c r="N454" s="36">
        <v>0.62223200000000001</v>
      </c>
      <c r="O454" s="36">
        <v>0.74802559999999996</v>
      </c>
      <c r="P454" s="393">
        <v>1</v>
      </c>
      <c r="Q454" s="36">
        <v>1.05696E-2</v>
      </c>
      <c r="R454" s="36">
        <v>0.29299049999999999</v>
      </c>
      <c r="S454" s="36">
        <v>0.34784619999999999</v>
      </c>
      <c r="T454" s="36">
        <v>0.34951969999999999</v>
      </c>
      <c r="U454" s="36">
        <v>0.43357319999999999</v>
      </c>
      <c r="V454" s="393">
        <v>1</v>
      </c>
      <c r="W454" s="36">
        <v>9.4761999999999999E-2</v>
      </c>
      <c r="X454" s="36">
        <v>0.42653489999999999</v>
      </c>
      <c r="Y454" s="36">
        <v>0.46320149999999999</v>
      </c>
      <c r="Z454" s="36">
        <v>0.46730929999999998</v>
      </c>
      <c r="AA454" s="36">
        <v>0.59516539999999996</v>
      </c>
      <c r="AB454" s="393">
        <v>1</v>
      </c>
    </row>
    <row r="455" spans="2:28" ht="0.5" customHeight="1">
      <c r="B455" s="9" t="s">
        <v>55</v>
      </c>
      <c r="C455" s="9" t="str">
        <f t="shared" si="63"/>
        <v>Paraguay22</v>
      </c>
      <c r="D455" s="9">
        <v>22</v>
      </c>
      <c r="E455" s="36">
        <v>6.4758300000000005E-2</v>
      </c>
      <c r="F455" s="36">
        <v>0.62930359999999996</v>
      </c>
      <c r="G455" s="36">
        <v>0.75890959999999996</v>
      </c>
      <c r="H455" s="36">
        <v>0.77522170000000001</v>
      </c>
      <c r="I455" s="36">
        <v>0.87908759999999997</v>
      </c>
      <c r="J455" s="393">
        <v>1</v>
      </c>
      <c r="K455" s="36">
        <v>0.2067242</v>
      </c>
      <c r="L455" s="36">
        <v>0.62106249999999996</v>
      </c>
      <c r="M455" s="36">
        <v>0.69260259999999996</v>
      </c>
      <c r="N455" s="36">
        <v>0.70873200000000003</v>
      </c>
      <c r="O455" s="36">
        <v>0.81919339999999996</v>
      </c>
      <c r="P455" s="393">
        <v>1</v>
      </c>
      <c r="Q455" s="36">
        <v>1.33425E-2</v>
      </c>
      <c r="R455" s="36">
        <v>0.28498190000000001</v>
      </c>
      <c r="S455" s="36">
        <v>0.35723820000000001</v>
      </c>
      <c r="T455" s="36">
        <v>0.359877</v>
      </c>
      <c r="U455" s="36">
        <v>0.43325989999999998</v>
      </c>
      <c r="V455" s="393">
        <v>1</v>
      </c>
      <c r="W455" s="36">
        <v>0.1412011</v>
      </c>
      <c r="X455" s="36">
        <v>0.47344799999999998</v>
      </c>
      <c r="Y455" s="36">
        <v>0.52356769999999997</v>
      </c>
      <c r="Z455" s="36">
        <v>0.53057710000000002</v>
      </c>
      <c r="AA455" s="36">
        <v>0.64929009999999998</v>
      </c>
      <c r="AB455" s="393">
        <v>1</v>
      </c>
    </row>
    <row r="456" spans="2:28" ht="0.5" customHeight="1">
      <c r="B456" s="9" t="s">
        <v>55</v>
      </c>
      <c r="C456" s="9" t="str">
        <f t="shared" si="63"/>
        <v>Paraguay23</v>
      </c>
      <c r="D456" s="9">
        <v>23</v>
      </c>
      <c r="E456" s="36">
        <v>7.0795899999999995E-2</v>
      </c>
      <c r="F456" s="36">
        <v>0.63686160000000003</v>
      </c>
      <c r="G456" s="36">
        <v>0.77650459999999999</v>
      </c>
      <c r="H456" s="36">
        <v>0.79676429999999998</v>
      </c>
      <c r="I456" s="36">
        <v>0.8933122</v>
      </c>
      <c r="J456" s="393">
        <v>1</v>
      </c>
      <c r="K456" s="36">
        <v>0.23116200000000001</v>
      </c>
      <c r="L456" s="36">
        <v>0.64549179999999995</v>
      </c>
      <c r="M456" s="36">
        <v>0.72432209999999997</v>
      </c>
      <c r="N456" s="36">
        <v>0.74426950000000003</v>
      </c>
      <c r="O456" s="36">
        <v>0.84726449999999998</v>
      </c>
      <c r="P456" s="393">
        <v>1</v>
      </c>
      <c r="Q456" s="36">
        <v>1.46686E-2</v>
      </c>
      <c r="R456" s="36">
        <v>0.27961039999999998</v>
      </c>
      <c r="S456" s="36">
        <v>0.3605834</v>
      </c>
      <c r="T456" s="36">
        <v>0.36380440000000003</v>
      </c>
      <c r="U456" s="36">
        <v>0.43313119999999999</v>
      </c>
      <c r="V456" s="393">
        <v>1</v>
      </c>
      <c r="W456" s="36">
        <v>0.1651717</v>
      </c>
      <c r="X456" s="36">
        <v>0.49366019999999999</v>
      </c>
      <c r="Y456" s="36">
        <v>0.55192730000000001</v>
      </c>
      <c r="Z456" s="36">
        <v>0.56068280000000004</v>
      </c>
      <c r="AA456" s="36">
        <v>0.67344539999999997</v>
      </c>
      <c r="AB456" s="393">
        <v>1</v>
      </c>
    </row>
    <row r="457" spans="2:28" ht="0.5" customHeight="1">
      <c r="B457" s="9" t="s">
        <v>55</v>
      </c>
      <c r="C457" s="9" t="str">
        <f t="shared" si="63"/>
        <v>Paraguay24</v>
      </c>
      <c r="D457" s="9">
        <v>24</v>
      </c>
      <c r="E457" s="36">
        <v>8.2741300000000004E-2</v>
      </c>
      <c r="F457" s="36">
        <v>0.64404079999999997</v>
      </c>
      <c r="G457" s="36">
        <v>0.80294750000000004</v>
      </c>
      <c r="H457" s="36">
        <v>0.83096130000000001</v>
      </c>
      <c r="I457" s="36">
        <v>0.91451640000000001</v>
      </c>
      <c r="J457" s="393">
        <v>1</v>
      </c>
      <c r="K457" s="36">
        <v>0.27835670000000001</v>
      </c>
      <c r="L457" s="36">
        <v>0.6850349</v>
      </c>
      <c r="M457" s="36">
        <v>0.77903670000000003</v>
      </c>
      <c r="N457" s="36">
        <v>0.80701429999999996</v>
      </c>
      <c r="O457" s="36">
        <v>0.89536470000000001</v>
      </c>
      <c r="P457" s="393">
        <v>1</v>
      </c>
      <c r="Q457" s="36">
        <v>1.7135899999999999E-2</v>
      </c>
      <c r="R457" s="36">
        <v>0.26910970000000001</v>
      </c>
      <c r="S457" s="36">
        <v>0.36818840000000003</v>
      </c>
      <c r="T457" s="36">
        <v>0.37278630000000001</v>
      </c>
      <c r="U457" s="36">
        <v>0.43465330000000002</v>
      </c>
      <c r="V457" s="393">
        <v>1</v>
      </c>
      <c r="W457" s="36">
        <v>0.21021429999999999</v>
      </c>
      <c r="X457" s="36">
        <v>0.52771020000000002</v>
      </c>
      <c r="Y457" s="36">
        <v>0.60241739999999999</v>
      </c>
      <c r="Z457" s="36">
        <v>0.61496099999999998</v>
      </c>
      <c r="AA457" s="36">
        <v>0.71500660000000005</v>
      </c>
      <c r="AB457" s="393">
        <v>1</v>
      </c>
    </row>
    <row r="458" spans="2:28" ht="0.5" customHeight="1">
      <c r="B458" s="9" t="s">
        <v>55</v>
      </c>
      <c r="C458" s="9" t="str">
        <f t="shared" si="63"/>
        <v>Paraguay25</v>
      </c>
      <c r="D458" s="9">
        <v>25</v>
      </c>
      <c r="E458" s="36">
        <v>8.79389E-2</v>
      </c>
      <c r="F458" s="36">
        <v>0.6424723</v>
      </c>
      <c r="G458" s="36">
        <v>0.80947349999999996</v>
      </c>
      <c r="H458" s="36">
        <v>0.84148120000000004</v>
      </c>
      <c r="I458" s="36">
        <v>0.91960330000000001</v>
      </c>
      <c r="J458" s="393">
        <v>1</v>
      </c>
      <c r="K458" s="36">
        <v>0.29754330000000001</v>
      </c>
      <c r="L458" s="36">
        <v>0.69775889999999996</v>
      </c>
      <c r="M458" s="36">
        <v>0.79846479999999997</v>
      </c>
      <c r="N458" s="36">
        <v>0.83080860000000001</v>
      </c>
      <c r="O458" s="36">
        <v>0.91178040000000005</v>
      </c>
      <c r="P458" s="393">
        <v>1</v>
      </c>
      <c r="Q458" s="36">
        <v>1.8176100000000001E-2</v>
      </c>
      <c r="R458" s="36">
        <v>0.2648954</v>
      </c>
      <c r="S458" s="36">
        <v>0.3731971</v>
      </c>
      <c r="T458" s="36">
        <v>0.37864360000000002</v>
      </c>
      <c r="U458" s="36">
        <v>0.4369208</v>
      </c>
      <c r="V458" s="393">
        <v>1</v>
      </c>
      <c r="W458" s="36">
        <v>0.23099819999999999</v>
      </c>
      <c r="X458" s="36">
        <v>0.54112170000000004</v>
      </c>
      <c r="Y458" s="36">
        <v>0.62370440000000005</v>
      </c>
      <c r="Z458" s="36">
        <v>0.63819999999999999</v>
      </c>
      <c r="AA458" s="36">
        <v>0.73201300000000002</v>
      </c>
      <c r="AB458" s="393">
        <v>1</v>
      </c>
    </row>
    <row r="459" spans="2:28" ht="0.5" customHeight="1">
      <c r="B459" s="9" t="s">
        <v>55</v>
      </c>
      <c r="C459" s="9" t="str">
        <f t="shared" si="63"/>
        <v>Paraguay26</v>
      </c>
      <c r="D459" s="9">
        <v>26</v>
      </c>
      <c r="E459" s="36">
        <v>9.33002E-2</v>
      </c>
      <c r="F459" s="36">
        <v>0.63972459999999998</v>
      </c>
      <c r="G459" s="36">
        <v>0.81457939999999995</v>
      </c>
      <c r="H459" s="36">
        <v>0.85042660000000003</v>
      </c>
      <c r="I459" s="36">
        <v>0.92348660000000005</v>
      </c>
      <c r="J459" s="393">
        <v>1</v>
      </c>
      <c r="K459" s="36">
        <v>0.3172198</v>
      </c>
      <c r="L459" s="36">
        <v>0.70732910000000004</v>
      </c>
      <c r="M459" s="36">
        <v>0.81456039999999996</v>
      </c>
      <c r="N459" s="36">
        <v>0.85180069999999997</v>
      </c>
      <c r="O459" s="36">
        <v>0.92534289999999997</v>
      </c>
      <c r="P459" s="393">
        <v>1</v>
      </c>
      <c r="Q459" s="36">
        <v>1.9160300000000002E-2</v>
      </c>
      <c r="R459" s="36">
        <v>0.26150089999999998</v>
      </c>
      <c r="S459" s="36">
        <v>0.37836940000000002</v>
      </c>
      <c r="T459" s="36">
        <v>0.38467079999999998</v>
      </c>
      <c r="U459" s="36">
        <v>0.44058370000000002</v>
      </c>
      <c r="V459" s="393">
        <v>1</v>
      </c>
      <c r="W459" s="36">
        <v>0.25139729999999999</v>
      </c>
      <c r="X459" s="36">
        <v>0.55058339999999995</v>
      </c>
      <c r="Y459" s="36">
        <v>0.64100489999999999</v>
      </c>
      <c r="Z459" s="36">
        <v>0.65750779999999998</v>
      </c>
      <c r="AA459" s="36">
        <v>0.74483350000000004</v>
      </c>
      <c r="AB459" s="393">
        <v>1</v>
      </c>
    </row>
    <row r="460" spans="2:28" ht="0.5" customHeight="1">
      <c r="B460" s="9" t="s">
        <v>55</v>
      </c>
      <c r="C460" s="9" t="str">
        <f t="shared" si="63"/>
        <v>Paraguay27</v>
      </c>
      <c r="D460" s="9">
        <v>27</v>
      </c>
      <c r="E460" s="36">
        <v>0.1041106</v>
      </c>
      <c r="F460" s="36">
        <v>0.63402899999999995</v>
      </c>
      <c r="G460" s="36">
        <v>0.8241385</v>
      </c>
      <c r="H460" s="36">
        <v>0.86760579999999998</v>
      </c>
      <c r="I460" s="36">
        <v>0.93197859999999999</v>
      </c>
      <c r="J460" s="393">
        <v>1</v>
      </c>
      <c r="K460" s="36">
        <v>0.35300989999999999</v>
      </c>
      <c r="L460" s="36">
        <v>0.71867840000000005</v>
      </c>
      <c r="M460" s="36">
        <v>0.83884760000000003</v>
      </c>
      <c r="N460" s="36">
        <v>0.8873721</v>
      </c>
      <c r="O460" s="36">
        <v>0.94740389999999997</v>
      </c>
      <c r="P460" s="393">
        <v>1</v>
      </c>
      <c r="Q460" s="36">
        <v>2.1001100000000002E-2</v>
      </c>
      <c r="R460" s="36">
        <v>0.25435819999999998</v>
      </c>
      <c r="S460" s="36">
        <v>0.38958429999999999</v>
      </c>
      <c r="T460" s="36">
        <v>0.39743020000000001</v>
      </c>
      <c r="U460" s="36">
        <v>0.44977010000000001</v>
      </c>
      <c r="V460" s="393">
        <v>1</v>
      </c>
      <c r="W460" s="36">
        <v>0.28884209999999999</v>
      </c>
      <c r="X460" s="36">
        <v>0.56322190000000005</v>
      </c>
      <c r="Y460" s="36">
        <v>0.66922970000000004</v>
      </c>
      <c r="Z460" s="36">
        <v>0.69021440000000001</v>
      </c>
      <c r="AA460" s="36">
        <v>0.76442160000000003</v>
      </c>
      <c r="AB460" s="393">
        <v>1</v>
      </c>
    </row>
    <row r="461" spans="2:28" ht="0.5" customHeight="1">
      <c r="B461" s="9" t="s">
        <v>55</v>
      </c>
      <c r="C461" s="9" t="str">
        <f t="shared" si="63"/>
        <v>Paraguay28</v>
      </c>
      <c r="D461" s="9">
        <v>28</v>
      </c>
      <c r="E461" s="36">
        <v>0.1086389</v>
      </c>
      <c r="F461" s="36">
        <v>0.62858210000000003</v>
      </c>
      <c r="G461" s="36">
        <v>0.82560860000000003</v>
      </c>
      <c r="H461" s="36">
        <v>0.87293790000000004</v>
      </c>
      <c r="I461" s="36">
        <v>0.93433140000000003</v>
      </c>
      <c r="J461" s="393">
        <v>1</v>
      </c>
      <c r="K461" s="36">
        <v>0.36788480000000001</v>
      </c>
      <c r="L461" s="36">
        <v>0.72207549999999998</v>
      </c>
      <c r="M461" s="36">
        <v>0.84782170000000001</v>
      </c>
      <c r="N461" s="36">
        <v>0.90288950000000001</v>
      </c>
      <c r="O461" s="36">
        <v>0.95690209999999998</v>
      </c>
      <c r="P461" s="393">
        <v>1</v>
      </c>
      <c r="Q461" s="36">
        <v>2.1804E-2</v>
      </c>
      <c r="R461" s="36">
        <v>0.2511891</v>
      </c>
      <c r="S461" s="36">
        <v>0.39641409999999999</v>
      </c>
      <c r="T461" s="36">
        <v>0.40510469999999998</v>
      </c>
      <c r="U461" s="36">
        <v>0.45559250000000001</v>
      </c>
      <c r="V461" s="393">
        <v>1</v>
      </c>
      <c r="W461" s="36">
        <v>0.3048324</v>
      </c>
      <c r="X461" s="36">
        <v>0.56635480000000005</v>
      </c>
      <c r="Y461" s="36">
        <v>0.67940829999999997</v>
      </c>
      <c r="Z461" s="36">
        <v>0.70291170000000003</v>
      </c>
      <c r="AA461" s="36">
        <v>0.77116569999999995</v>
      </c>
      <c r="AB461" s="393">
        <v>1</v>
      </c>
    </row>
    <row r="462" spans="2:28" ht="0.5" customHeight="1">
      <c r="B462" s="9" t="s">
        <v>55</v>
      </c>
      <c r="C462" s="9" t="str">
        <f t="shared" si="63"/>
        <v>Paraguay29</v>
      </c>
      <c r="D462" s="9">
        <v>29</v>
      </c>
      <c r="E462" s="36">
        <v>0.116521</v>
      </c>
      <c r="F462" s="36">
        <v>0.61740390000000001</v>
      </c>
      <c r="G462" s="36">
        <v>0.82801219999999998</v>
      </c>
      <c r="H462" s="36">
        <v>0.88381719999999997</v>
      </c>
      <c r="I462" s="36">
        <v>0.93999929999999998</v>
      </c>
      <c r="J462" s="393">
        <v>1</v>
      </c>
      <c r="K462" s="36">
        <v>0.38896340000000001</v>
      </c>
      <c r="L462" s="36">
        <v>0.72057769999999999</v>
      </c>
      <c r="M462" s="36">
        <v>0.85760199999999998</v>
      </c>
      <c r="N462" s="36">
        <v>0.92749800000000004</v>
      </c>
      <c r="O462" s="36">
        <v>0.97086170000000005</v>
      </c>
      <c r="P462" s="393">
        <v>1</v>
      </c>
      <c r="Q462" s="36">
        <v>2.31144E-2</v>
      </c>
      <c r="R462" s="36">
        <v>0.2451845</v>
      </c>
      <c r="S462" s="36">
        <v>0.4119467</v>
      </c>
      <c r="T462" s="36">
        <v>0.42211670000000001</v>
      </c>
      <c r="U462" s="36">
        <v>0.46916720000000001</v>
      </c>
      <c r="V462" s="393">
        <v>1</v>
      </c>
      <c r="W462" s="36">
        <v>0.33050370000000001</v>
      </c>
      <c r="X462" s="36">
        <v>0.56649059999999996</v>
      </c>
      <c r="Y462" s="36">
        <v>0.69015490000000002</v>
      </c>
      <c r="Z462" s="36">
        <v>0.71881220000000001</v>
      </c>
      <c r="AA462" s="36">
        <v>0.77822100000000005</v>
      </c>
      <c r="AB462" s="393">
        <v>1</v>
      </c>
    </row>
    <row r="463" spans="2:28" ht="0.5" customHeight="1">
      <c r="B463" s="9" t="s">
        <v>55</v>
      </c>
      <c r="C463" s="9" t="str">
        <f t="shared" si="63"/>
        <v>Paraguay30</v>
      </c>
      <c r="D463" s="9">
        <v>30</v>
      </c>
      <c r="E463" s="36">
        <v>0.1187148</v>
      </c>
      <c r="F463" s="36">
        <v>0.61068769999999994</v>
      </c>
      <c r="G463" s="36">
        <v>0.8281288</v>
      </c>
      <c r="H463" s="36">
        <v>0.88788650000000002</v>
      </c>
      <c r="I463" s="36">
        <v>0.94193590000000005</v>
      </c>
      <c r="J463" s="393">
        <v>1</v>
      </c>
      <c r="K463" s="36">
        <v>0.39683269999999998</v>
      </c>
      <c r="L463" s="36">
        <v>0.71509900000000004</v>
      </c>
      <c r="M463" s="36">
        <v>0.85685060000000002</v>
      </c>
      <c r="N463" s="36">
        <v>0.93380669999999999</v>
      </c>
      <c r="O463" s="36">
        <v>0.972889</v>
      </c>
      <c r="P463" s="393">
        <v>1</v>
      </c>
      <c r="Q463" s="36">
        <v>2.3786499999999999E-2</v>
      </c>
      <c r="R463" s="36">
        <v>0.2435281</v>
      </c>
      <c r="S463" s="36">
        <v>0.42060740000000002</v>
      </c>
      <c r="T463" s="36">
        <v>0.43147029999999997</v>
      </c>
      <c r="U463" s="36">
        <v>0.47692519999999999</v>
      </c>
      <c r="V463" s="393">
        <v>1</v>
      </c>
      <c r="W463" s="36">
        <v>0.3415145</v>
      </c>
      <c r="X463" s="36">
        <v>0.56546129999999994</v>
      </c>
      <c r="Y463" s="36">
        <v>0.69314580000000003</v>
      </c>
      <c r="Z463" s="36">
        <v>0.7245142</v>
      </c>
      <c r="AA463" s="36">
        <v>0.78018829999999995</v>
      </c>
      <c r="AB463" s="393">
        <v>1</v>
      </c>
    </row>
    <row r="464" spans="2:28" ht="0.5" customHeight="1">
      <c r="B464" s="9" t="s">
        <v>55</v>
      </c>
      <c r="C464" s="9" t="str">
        <f t="shared" si="63"/>
        <v>Paraguay31</v>
      </c>
      <c r="D464" s="9">
        <v>31</v>
      </c>
      <c r="E464" s="36">
        <v>0.12047040000000001</v>
      </c>
      <c r="F464" s="36">
        <v>0.60437240000000003</v>
      </c>
      <c r="G464" s="36">
        <v>0.82931710000000003</v>
      </c>
      <c r="H464" s="36">
        <v>0.89252629999999999</v>
      </c>
      <c r="I464" s="36">
        <v>0.94481610000000005</v>
      </c>
      <c r="J464" s="393">
        <v>1</v>
      </c>
      <c r="K464" s="36">
        <v>0.40290419999999999</v>
      </c>
      <c r="L464" s="36">
        <v>0.70770639999999996</v>
      </c>
      <c r="M464" s="36">
        <v>0.85371969999999997</v>
      </c>
      <c r="N464" s="36">
        <v>0.93773759999999995</v>
      </c>
      <c r="O464" s="36">
        <v>0.97301689999999996</v>
      </c>
      <c r="P464" s="393">
        <v>1</v>
      </c>
      <c r="Q464" s="36">
        <v>2.4485799999999999E-2</v>
      </c>
      <c r="R464" s="36">
        <v>0.24197189999999999</v>
      </c>
      <c r="S464" s="36">
        <v>0.42922959999999999</v>
      </c>
      <c r="T464" s="36">
        <v>0.44073109999999999</v>
      </c>
      <c r="U464" s="36">
        <v>0.48512290000000002</v>
      </c>
      <c r="V464" s="393">
        <v>1</v>
      </c>
      <c r="W464" s="36">
        <v>0.35273539999999998</v>
      </c>
      <c r="X464" s="36">
        <v>0.5659189</v>
      </c>
      <c r="Y464" s="36">
        <v>0.69736339999999997</v>
      </c>
      <c r="Z464" s="36">
        <v>0.73143009999999997</v>
      </c>
      <c r="AA464" s="36">
        <v>0.78370709999999999</v>
      </c>
      <c r="AB464" s="393">
        <v>1</v>
      </c>
    </row>
    <row r="465" spans="2:28" ht="0.5" customHeight="1">
      <c r="B465" s="9" t="s">
        <v>55</v>
      </c>
      <c r="C465" s="9" t="str">
        <f t="shared" si="63"/>
        <v>Paraguay32</v>
      </c>
      <c r="D465" s="9">
        <v>32</v>
      </c>
      <c r="E465" s="36">
        <v>0.1229291</v>
      </c>
      <c r="F465" s="36">
        <v>0.58825360000000004</v>
      </c>
      <c r="G465" s="36">
        <v>0.82830990000000004</v>
      </c>
      <c r="H465" s="36">
        <v>0.89800530000000001</v>
      </c>
      <c r="I465" s="36">
        <v>0.94810839999999996</v>
      </c>
      <c r="J465" s="393">
        <v>1</v>
      </c>
      <c r="K465" s="36">
        <v>0.4115103</v>
      </c>
      <c r="L465" s="36">
        <v>0.69252630000000004</v>
      </c>
      <c r="M465" s="36">
        <v>0.84370579999999995</v>
      </c>
      <c r="N465" s="36">
        <v>0.94162509999999999</v>
      </c>
      <c r="O465" s="36">
        <v>0.97171589999999997</v>
      </c>
      <c r="P465" s="393">
        <v>1</v>
      </c>
      <c r="Q465" s="36">
        <v>2.5681900000000001E-2</v>
      </c>
      <c r="R465" s="36">
        <v>0.2388149</v>
      </c>
      <c r="S465" s="36">
        <v>0.4454457</v>
      </c>
      <c r="T465" s="36">
        <v>0.45818490000000001</v>
      </c>
      <c r="U465" s="36">
        <v>0.50177510000000003</v>
      </c>
      <c r="V465" s="393">
        <v>1</v>
      </c>
      <c r="W465" s="36">
        <v>0.36700179999999999</v>
      </c>
      <c r="X465" s="36">
        <v>0.56383190000000005</v>
      </c>
      <c r="Y465" s="36">
        <v>0.70273920000000001</v>
      </c>
      <c r="Z465" s="36">
        <v>0.74158310000000005</v>
      </c>
      <c r="AA465" s="36">
        <v>0.78922320000000001</v>
      </c>
      <c r="AB465" s="393">
        <v>1</v>
      </c>
    </row>
    <row r="466" spans="2:28" ht="0.5" customHeight="1">
      <c r="B466" s="9" t="s">
        <v>55</v>
      </c>
      <c r="C466" s="9" t="str">
        <f t="shared" si="63"/>
        <v>Paraguay33</v>
      </c>
      <c r="D466" s="9">
        <v>33</v>
      </c>
      <c r="E466" s="36">
        <v>0.12344189999999999</v>
      </c>
      <c r="F466" s="36">
        <v>0.57905989999999996</v>
      </c>
      <c r="G466" s="36">
        <v>0.82644980000000001</v>
      </c>
      <c r="H466" s="36">
        <v>0.89981909999999998</v>
      </c>
      <c r="I466" s="36">
        <v>0.94906159999999995</v>
      </c>
      <c r="J466" s="393">
        <v>1</v>
      </c>
      <c r="K466" s="36">
        <v>0.41517700000000002</v>
      </c>
      <c r="L466" s="36">
        <v>0.68569979999999997</v>
      </c>
      <c r="M466" s="36">
        <v>0.83927149999999995</v>
      </c>
      <c r="N466" s="36">
        <v>0.94390969999999996</v>
      </c>
      <c r="O466" s="36">
        <v>0.9722421</v>
      </c>
      <c r="P466" s="393">
        <v>1</v>
      </c>
      <c r="Q466" s="36">
        <v>2.6184599999999999E-2</v>
      </c>
      <c r="R466" s="36">
        <v>0.23686750000000001</v>
      </c>
      <c r="S466" s="36">
        <v>0.45265850000000002</v>
      </c>
      <c r="T466" s="36">
        <v>0.46589399999999997</v>
      </c>
      <c r="U466" s="36">
        <v>0.50883540000000005</v>
      </c>
      <c r="V466" s="393">
        <v>1</v>
      </c>
      <c r="W466" s="36">
        <v>0.37172539999999998</v>
      </c>
      <c r="X466" s="36">
        <v>0.56180330000000001</v>
      </c>
      <c r="Y466" s="36">
        <v>0.70468580000000003</v>
      </c>
      <c r="Z466" s="36">
        <v>0.74576679999999995</v>
      </c>
      <c r="AA466" s="36">
        <v>0.79136280000000003</v>
      </c>
      <c r="AB466" s="393">
        <v>1</v>
      </c>
    </row>
    <row r="467" spans="2:28" ht="0.5" customHeight="1">
      <c r="B467" s="9" t="s">
        <v>55</v>
      </c>
      <c r="C467" s="9" t="str">
        <f t="shared" si="63"/>
        <v>Paraguay34</v>
      </c>
      <c r="D467" s="9">
        <v>34</v>
      </c>
      <c r="E467" s="36">
        <v>0.1230458</v>
      </c>
      <c r="F467" s="36">
        <v>0.55825380000000002</v>
      </c>
      <c r="G467" s="36">
        <v>0.8201444</v>
      </c>
      <c r="H467" s="36">
        <v>0.90097329999999998</v>
      </c>
      <c r="I467" s="36">
        <v>0.94882979999999995</v>
      </c>
      <c r="J467" s="393">
        <v>1</v>
      </c>
      <c r="K467" s="36">
        <v>0.4276083</v>
      </c>
      <c r="L467" s="36">
        <v>0.67780470000000004</v>
      </c>
      <c r="M467" s="36">
        <v>0.83639010000000003</v>
      </c>
      <c r="N467" s="36">
        <v>0.95242970000000005</v>
      </c>
      <c r="O467" s="36">
        <v>0.97888299999999995</v>
      </c>
      <c r="P467" s="393">
        <v>1</v>
      </c>
      <c r="Q467" s="36">
        <v>2.7343599999999999E-2</v>
      </c>
      <c r="R467" s="36">
        <v>0.23316819999999999</v>
      </c>
      <c r="S467" s="36">
        <v>0.46480310000000002</v>
      </c>
      <c r="T467" s="36">
        <v>0.47888249999999999</v>
      </c>
      <c r="U467" s="36">
        <v>0.51996319999999996</v>
      </c>
      <c r="V467" s="393">
        <v>1</v>
      </c>
      <c r="W467" s="36">
        <v>0.37986760000000003</v>
      </c>
      <c r="X467" s="36">
        <v>0.55701179999999995</v>
      </c>
      <c r="Y467" s="36">
        <v>0.70749620000000002</v>
      </c>
      <c r="Z467" s="36">
        <v>0.75306139999999999</v>
      </c>
      <c r="AA467" s="36">
        <v>0.79521140000000001</v>
      </c>
      <c r="AB467" s="393">
        <v>1</v>
      </c>
    </row>
    <row r="468" spans="2:28" ht="0.5" customHeight="1">
      <c r="B468" s="9" t="s">
        <v>55</v>
      </c>
      <c r="C468" s="9" t="str">
        <f t="shared" si="63"/>
        <v>Paraguay35</v>
      </c>
      <c r="D468" s="9">
        <v>35</v>
      </c>
      <c r="E468" s="36">
        <v>0.1230567</v>
      </c>
      <c r="F468" s="36">
        <v>0.54819320000000005</v>
      </c>
      <c r="G468" s="36">
        <v>0.81667259999999997</v>
      </c>
      <c r="H468" s="36">
        <v>0.90160240000000003</v>
      </c>
      <c r="I468" s="36">
        <v>0.94884670000000004</v>
      </c>
      <c r="J468" s="393">
        <v>1</v>
      </c>
      <c r="K468" s="36">
        <v>0.43209130000000001</v>
      </c>
      <c r="L468" s="36">
        <v>0.67456479999999996</v>
      </c>
      <c r="M468" s="36">
        <v>0.83616829999999998</v>
      </c>
      <c r="N468" s="36">
        <v>0.95692549999999998</v>
      </c>
      <c r="O468" s="36">
        <v>0.98261200000000004</v>
      </c>
      <c r="P468" s="393">
        <v>1</v>
      </c>
      <c r="Q468" s="36">
        <v>2.8035399999999999E-2</v>
      </c>
      <c r="R468" s="36">
        <v>0.23067869999999999</v>
      </c>
      <c r="S468" s="36">
        <v>0.46826099999999998</v>
      </c>
      <c r="T468" s="36">
        <v>0.48263339999999999</v>
      </c>
      <c r="U468" s="36">
        <v>0.52272730000000001</v>
      </c>
      <c r="V468" s="393">
        <v>1</v>
      </c>
      <c r="W468" s="36">
        <v>0.3853567</v>
      </c>
      <c r="X468" s="36">
        <v>0.55418889999999998</v>
      </c>
      <c r="Y468" s="36">
        <v>0.70865109999999998</v>
      </c>
      <c r="Z468" s="36">
        <v>0.75602499999999995</v>
      </c>
      <c r="AA468" s="36">
        <v>0.7963209</v>
      </c>
      <c r="AB468" s="393">
        <v>1</v>
      </c>
    </row>
    <row r="469" spans="2:28" ht="0.5" customHeight="1">
      <c r="B469" s="9" t="s">
        <v>55</v>
      </c>
      <c r="C469" s="9" t="str">
        <f t="shared" si="63"/>
        <v>Paraguay36</v>
      </c>
      <c r="D469" s="9">
        <v>36</v>
      </c>
      <c r="E469" s="36">
        <v>0.1234133</v>
      </c>
      <c r="F469" s="36">
        <v>0.53813630000000001</v>
      </c>
      <c r="G469" s="36">
        <v>0.81300399999999995</v>
      </c>
      <c r="H469" s="36">
        <v>0.90219830000000001</v>
      </c>
      <c r="I469" s="36">
        <v>0.94891449999999999</v>
      </c>
      <c r="J469" s="393">
        <v>1</v>
      </c>
      <c r="K469" s="36">
        <v>0.43519200000000002</v>
      </c>
      <c r="L469" s="36">
        <v>0.67134039999999995</v>
      </c>
      <c r="M469" s="36">
        <v>0.83518150000000002</v>
      </c>
      <c r="N469" s="36">
        <v>0.95914860000000002</v>
      </c>
      <c r="O469" s="36">
        <v>0.98439719999999997</v>
      </c>
      <c r="P469" s="393">
        <v>1</v>
      </c>
      <c r="Q469" s="36">
        <v>2.8684899999999999E-2</v>
      </c>
      <c r="R469" s="36">
        <v>0.22900989999999999</v>
      </c>
      <c r="S469" s="36">
        <v>0.47103270000000003</v>
      </c>
      <c r="T469" s="36">
        <v>0.48560619999999999</v>
      </c>
      <c r="U469" s="36">
        <v>0.52492459999999996</v>
      </c>
      <c r="V469" s="393">
        <v>1</v>
      </c>
      <c r="W469" s="36">
        <v>0.38821129999999998</v>
      </c>
      <c r="X469" s="36">
        <v>0.55067440000000001</v>
      </c>
      <c r="Y469" s="36">
        <v>0.70918300000000001</v>
      </c>
      <c r="Z469" s="36">
        <v>0.7580768</v>
      </c>
      <c r="AA469" s="36">
        <v>0.79671550000000002</v>
      </c>
      <c r="AB469" s="393">
        <v>1</v>
      </c>
    </row>
    <row r="470" spans="2:28" ht="0.5" customHeight="1">
      <c r="B470" s="9" t="s">
        <v>55</v>
      </c>
      <c r="C470" s="9" t="str">
        <f t="shared" si="63"/>
        <v>Paraguay37</v>
      </c>
      <c r="D470" s="9">
        <v>37</v>
      </c>
      <c r="E470" s="36">
        <v>0.1257653</v>
      </c>
      <c r="F470" s="36">
        <v>0.51972379999999996</v>
      </c>
      <c r="G470" s="36">
        <v>0.80410479999999995</v>
      </c>
      <c r="H470" s="36">
        <v>0.90094870000000005</v>
      </c>
      <c r="I470" s="36">
        <v>0.94706889999999999</v>
      </c>
      <c r="J470" s="393">
        <v>1</v>
      </c>
      <c r="K470" s="36">
        <v>0.43806620000000002</v>
      </c>
      <c r="L470" s="36">
        <v>0.66292870000000004</v>
      </c>
      <c r="M470" s="36">
        <v>0.82981819999999995</v>
      </c>
      <c r="N470" s="36">
        <v>0.95815989999999995</v>
      </c>
      <c r="O470" s="36">
        <v>0.98443769999999997</v>
      </c>
      <c r="P470" s="393">
        <v>1</v>
      </c>
      <c r="Q470" s="36">
        <v>2.9781100000000001E-2</v>
      </c>
      <c r="R470" s="36">
        <v>0.22635240000000001</v>
      </c>
      <c r="S470" s="36">
        <v>0.47751919999999998</v>
      </c>
      <c r="T470" s="36">
        <v>0.49235570000000001</v>
      </c>
      <c r="U470" s="36">
        <v>0.52985819999999995</v>
      </c>
      <c r="V470" s="393">
        <v>1</v>
      </c>
      <c r="W470" s="36">
        <v>0.39072499999999999</v>
      </c>
      <c r="X470" s="36">
        <v>0.54307930000000004</v>
      </c>
      <c r="Y470" s="36">
        <v>0.70685390000000003</v>
      </c>
      <c r="Z470" s="36">
        <v>0.75821349999999998</v>
      </c>
      <c r="AA470" s="36">
        <v>0.79322570000000003</v>
      </c>
      <c r="AB470" s="393">
        <v>1</v>
      </c>
    </row>
    <row r="471" spans="2:28" ht="0.5" customHeight="1">
      <c r="B471" s="9" t="s">
        <v>55</v>
      </c>
      <c r="C471" s="9" t="str">
        <f t="shared" si="63"/>
        <v>Paraguay38</v>
      </c>
      <c r="D471" s="9">
        <v>38</v>
      </c>
      <c r="E471" s="36">
        <v>0.1269777</v>
      </c>
      <c r="F471" s="36">
        <v>0.51193390000000005</v>
      </c>
      <c r="G471" s="36">
        <v>0.80048730000000001</v>
      </c>
      <c r="H471" s="36">
        <v>0.90059080000000002</v>
      </c>
      <c r="I471" s="36">
        <v>0.94619819999999999</v>
      </c>
      <c r="J471" s="393">
        <v>1</v>
      </c>
      <c r="K471" s="36">
        <v>0.44056050000000002</v>
      </c>
      <c r="L471" s="36">
        <v>0.66027899999999995</v>
      </c>
      <c r="M471" s="36">
        <v>0.82861499999999999</v>
      </c>
      <c r="N471" s="36">
        <v>0.9594511</v>
      </c>
      <c r="O471" s="36">
        <v>0.98629619999999996</v>
      </c>
      <c r="P471" s="393">
        <v>1</v>
      </c>
      <c r="Q471" s="36">
        <v>3.0412600000000001E-2</v>
      </c>
      <c r="R471" s="36">
        <v>0.2245761</v>
      </c>
      <c r="S471" s="36">
        <v>0.47962949999999999</v>
      </c>
      <c r="T471" s="36">
        <v>0.49447229999999998</v>
      </c>
      <c r="U471" s="36">
        <v>0.5305493</v>
      </c>
      <c r="V471" s="393">
        <v>1</v>
      </c>
      <c r="W471" s="36">
        <v>0.39368710000000001</v>
      </c>
      <c r="X471" s="36">
        <v>0.54166340000000002</v>
      </c>
      <c r="Y471" s="36">
        <v>0.70731739999999999</v>
      </c>
      <c r="Z471" s="36">
        <v>0.75970269999999995</v>
      </c>
      <c r="AA471" s="36">
        <v>0.79281769999999996</v>
      </c>
      <c r="AB471" s="393">
        <v>1</v>
      </c>
    </row>
    <row r="472" spans="2:28" ht="0.5" customHeight="1">
      <c r="B472" s="9" t="s">
        <v>55</v>
      </c>
      <c r="C472" s="9" t="str">
        <f t="shared" si="63"/>
        <v>Paraguay39</v>
      </c>
      <c r="D472" s="9">
        <v>39</v>
      </c>
      <c r="E472" s="36">
        <v>0.1300222</v>
      </c>
      <c r="F472" s="36">
        <v>0.49890380000000001</v>
      </c>
      <c r="G472" s="36">
        <v>0.79549179999999997</v>
      </c>
      <c r="H472" s="36">
        <v>0.90018889999999996</v>
      </c>
      <c r="I472" s="36">
        <v>0.94533940000000005</v>
      </c>
      <c r="J472" s="393">
        <v>1</v>
      </c>
      <c r="K472" s="36">
        <v>0.43610710000000003</v>
      </c>
      <c r="L472" s="36">
        <v>0.65026390000000001</v>
      </c>
      <c r="M472" s="36">
        <v>0.82352139999999996</v>
      </c>
      <c r="N472" s="36">
        <v>0.95979530000000002</v>
      </c>
      <c r="O472" s="36">
        <v>0.98753740000000001</v>
      </c>
      <c r="P472" s="393">
        <v>1</v>
      </c>
      <c r="Q472" s="36">
        <v>3.1557799999999997E-2</v>
      </c>
      <c r="R472" s="36">
        <v>0.22128729999999999</v>
      </c>
      <c r="S472" s="36">
        <v>0.48217860000000001</v>
      </c>
      <c r="T472" s="36">
        <v>0.4972762</v>
      </c>
      <c r="U472" s="36">
        <v>0.53058280000000002</v>
      </c>
      <c r="V472" s="393">
        <v>1</v>
      </c>
      <c r="W472" s="36">
        <v>0.39993529999999999</v>
      </c>
      <c r="X472" s="36">
        <v>0.54593860000000005</v>
      </c>
      <c r="Y472" s="36">
        <v>0.71407220000000005</v>
      </c>
      <c r="Z472" s="36">
        <v>0.76836720000000003</v>
      </c>
      <c r="AA472" s="36">
        <v>0.79884359999999999</v>
      </c>
      <c r="AB472" s="393">
        <v>1</v>
      </c>
    </row>
    <row r="473" spans="2:28" ht="0.5" customHeight="1">
      <c r="B473" s="9" t="s">
        <v>55</v>
      </c>
      <c r="C473" s="9" t="str">
        <f t="shared" si="63"/>
        <v>Paraguay40</v>
      </c>
      <c r="D473" s="9">
        <v>40</v>
      </c>
      <c r="E473" s="36">
        <v>0.13139310000000001</v>
      </c>
      <c r="F473" s="36">
        <v>0.4924868</v>
      </c>
      <c r="G473" s="36">
        <v>0.79245810000000005</v>
      </c>
      <c r="H473" s="36">
        <v>0.89909329999999998</v>
      </c>
      <c r="I473" s="36">
        <v>0.94491800000000004</v>
      </c>
      <c r="J473" s="393">
        <v>1</v>
      </c>
      <c r="K473" s="36">
        <v>0.43429240000000002</v>
      </c>
      <c r="L473" s="36">
        <v>0.64497930000000003</v>
      </c>
      <c r="M473" s="36">
        <v>0.82117240000000002</v>
      </c>
      <c r="N473" s="36">
        <v>0.96044620000000003</v>
      </c>
      <c r="O473" s="36">
        <v>0.98847879999999999</v>
      </c>
      <c r="P473" s="393">
        <v>1</v>
      </c>
      <c r="Q473" s="36">
        <v>3.1941700000000003E-2</v>
      </c>
      <c r="R473" s="36">
        <v>0.2193553</v>
      </c>
      <c r="S473" s="36">
        <v>0.4826397</v>
      </c>
      <c r="T473" s="36">
        <v>0.49787789999999998</v>
      </c>
      <c r="U473" s="36">
        <v>0.52969719999999998</v>
      </c>
      <c r="V473" s="393">
        <v>1</v>
      </c>
      <c r="W473" s="36">
        <v>0.40153080000000002</v>
      </c>
      <c r="X473" s="36">
        <v>0.54802680000000004</v>
      </c>
      <c r="Y473" s="36">
        <v>0.71631469999999997</v>
      </c>
      <c r="Z473" s="36">
        <v>0.77170369999999999</v>
      </c>
      <c r="AA473" s="36">
        <v>0.80079560000000005</v>
      </c>
      <c r="AB473" s="393">
        <v>1</v>
      </c>
    </row>
    <row r="474" spans="2:28" ht="0.5" customHeight="1">
      <c r="B474" s="9" t="s">
        <v>55</v>
      </c>
      <c r="C474" s="9" t="str">
        <f t="shared" si="63"/>
        <v>Paraguay41</v>
      </c>
      <c r="D474" s="9">
        <v>41</v>
      </c>
      <c r="E474" s="36">
        <v>0.13261580000000001</v>
      </c>
      <c r="F474" s="36">
        <v>0.48629250000000002</v>
      </c>
      <c r="G474" s="36">
        <v>0.78917250000000005</v>
      </c>
      <c r="H474" s="36">
        <v>0.8973506</v>
      </c>
      <c r="I474" s="36">
        <v>0.94365860000000001</v>
      </c>
      <c r="J474" s="393">
        <v>1</v>
      </c>
      <c r="K474" s="36">
        <v>0.43065419999999999</v>
      </c>
      <c r="L474" s="36">
        <v>0.63729349999999996</v>
      </c>
      <c r="M474" s="36">
        <v>0.81757709999999995</v>
      </c>
      <c r="N474" s="36">
        <v>0.96008139999999997</v>
      </c>
      <c r="O474" s="36">
        <v>0.98796729999999999</v>
      </c>
      <c r="P474" s="393">
        <v>1</v>
      </c>
      <c r="Q474" s="36">
        <v>3.2189099999999998E-2</v>
      </c>
      <c r="R474" s="36">
        <v>0.21751180000000001</v>
      </c>
      <c r="S474" s="36">
        <v>0.48274410000000001</v>
      </c>
      <c r="T474" s="36">
        <v>0.49808849999999999</v>
      </c>
      <c r="U474" s="36">
        <v>0.52852469999999996</v>
      </c>
      <c r="V474" s="393">
        <v>1</v>
      </c>
      <c r="W474" s="36">
        <v>0.40185850000000001</v>
      </c>
      <c r="X474" s="36">
        <v>0.54889589999999999</v>
      </c>
      <c r="Y474" s="36">
        <v>0.71728309999999995</v>
      </c>
      <c r="Z474" s="36">
        <v>0.77378630000000004</v>
      </c>
      <c r="AA474" s="36">
        <v>0.80179809999999996</v>
      </c>
      <c r="AB474" s="393">
        <v>1</v>
      </c>
    </row>
    <row r="475" spans="2:28" ht="0.5" customHeight="1">
      <c r="B475" s="9" t="s">
        <v>55</v>
      </c>
      <c r="C475" s="9" t="str">
        <f t="shared" si="63"/>
        <v>Paraguay42</v>
      </c>
      <c r="D475" s="9">
        <v>42</v>
      </c>
      <c r="E475" s="36">
        <v>0.1341204</v>
      </c>
      <c r="F475" s="36">
        <v>0.4759794</v>
      </c>
      <c r="G475" s="36">
        <v>0.78439519999999996</v>
      </c>
      <c r="H475" s="36">
        <v>0.89340140000000001</v>
      </c>
      <c r="I475" s="36">
        <v>0.94083629999999996</v>
      </c>
      <c r="J475" s="393">
        <v>1</v>
      </c>
      <c r="K475" s="36">
        <v>0.42167549999999998</v>
      </c>
      <c r="L475" s="36">
        <v>0.61930490000000005</v>
      </c>
      <c r="M475" s="36">
        <v>0.80716569999999999</v>
      </c>
      <c r="N475" s="36">
        <v>0.95672740000000001</v>
      </c>
      <c r="O475" s="36">
        <v>0.98336500000000004</v>
      </c>
      <c r="P475" s="393">
        <v>1</v>
      </c>
      <c r="Q475" s="36">
        <v>3.2360899999999998E-2</v>
      </c>
      <c r="R475" s="36">
        <v>0.2130785</v>
      </c>
      <c r="S475" s="36">
        <v>0.47997780000000001</v>
      </c>
      <c r="T475" s="36">
        <v>0.49550260000000002</v>
      </c>
      <c r="U475" s="36">
        <v>0.52463870000000001</v>
      </c>
      <c r="V475" s="393">
        <v>1</v>
      </c>
      <c r="W475" s="36">
        <v>0.3930283</v>
      </c>
      <c r="X475" s="36">
        <v>0.54239990000000005</v>
      </c>
      <c r="Y475" s="36">
        <v>0.71121120000000004</v>
      </c>
      <c r="Z475" s="36">
        <v>0.7697138</v>
      </c>
      <c r="AA475" s="36">
        <v>0.79809929999999996</v>
      </c>
      <c r="AB475" s="393">
        <v>1</v>
      </c>
    </row>
    <row r="476" spans="2:28" ht="0.5" customHeight="1">
      <c r="B476" s="9" t="s">
        <v>55</v>
      </c>
      <c r="C476" s="9" t="str">
        <f t="shared" si="63"/>
        <v>Paraguay43</v>
      </c>
      <c r="D476" s="9">
        <v>43</v>
      </c>
      <c r="E476" s="36">
        <v>0.13440389999999999</v>
      </c>
      <c r="F476" s="36">
        <v>0.47057480000000002</v>
      </c>
      <c r="G476" s="36">
        <v>0.78231899999999999</v>
      </c>
      <c r="H476" s="36">
        <v>0.89146800000000004</v>
      </c>
      <c r="I476" s="36">
        <v>0.93976599999999999</v>
      </c>
      <c r="J476" s="393">
        <v>1</v>
      </c>
      <c r="K476" s="36">
        <v>0.41767199999999999</v>
      </c>
      <c r="L476" s="36">
        <v>0.60834710000000003</v>
      </c>
      <c r="M476" s="36">
        <v>0.80028920000000003</v>
      </c>
      <c r="N476" s="36">
        <v>0.95346949999999997</v>
      </c>
      <c r="O476" s="36">
        <v>0.97951719999999998</v>
      </c>
      <c r="P476" s="393">
        <v>1</v>
      </c>
      <c r="Q476" s="36">
        <v>3.22157E-2</v>
      </c>
      <c r="R476" s="36">
        <v>0.2101652</v>
      </c>
      <c r="S476" s="36">
        <v>0.47788530000000001</v>
      </c>
      <c r="T476" s="36">
        <v>0.4934693</v>
      </c>
      <c r="U476" s="36">
        <v>0.52247650000000001</v>
      </c>
      <c r="V476" s="393">
        <v>1</v>
      </c>
      <c r="W476" s="36">
        <v>0.3892159</v>
      </c>
      <c r="X476" s="36">
        <v>0.53595090000000001</v>
      </c>
      <c r="Y476" s="36">
        <v>0.70590450000000005</v>
      </c>
      <c r="Z476" s="36">
        <v>0.76510440000000002</v>
      </c>
      <c r="AA476" s="36">
        <v>0.79436560000000001</v>
      </c>
      <c r="AB476" s="393">
        <v>1</v>
      </c>
    </row>
    <row r="477" spans="2:28" ht="0.5" customHeight="1">
      <c r="B477" s="9" t="s">
        <v>55</v>
      </c>
      <c r="C477" s="9" t="str">
        <f t="shared" si="63"/>
        <v>Paraguay44</v>
      </c>
      <c r="D477" s="9">
        <v>44</v>
      </c>
      <c r="E477" s="36">
        <v>0.1348936</v>
      </c>
      <c r="F477" s="36">
        <v>0.458893</v>
      </c>
      <c r="G477" s="36">
        <v>0.77636459999999996</v>
      </c>
      <c r="H477" s="36">
        <v>0.8838665</v>
      </c>
      <c r="I477" s="36">
        <v>0.93438410000000005</v>
      </c>
      <c r="J477" s="393">
        <v>1</v>
      </c>
      <c r="K477" s="36">
        <v>0.4121071</v>
      </c>
      <c r="L477" s="36">
        <v>0.58995770000000003</v>
      </c>
      <c r="M477" s="36">
        <v>0.78732869999999999</v>
      </c>
      <c r="N477" s="36">
        <v>0.94899770000000006</v>
      </c>
      <c r="O477" s="36">
        <v>0.97345579999999998</v>
      </c>
      <c r="P477" s="393">
        <v>1</v>
      </c>
      <c r="Q477" s="36">
        <v>3.1593400000000001E-2</v>
      </c>
      <c r="R477" s="36">
        <v>0.20310439999999999</v>
      </c>
      <c r="S477" s="36">
        <v>0.47119109999999997</v>
      </c>
      <c r="T477" s="36">
        <v>0.48700850000000001</v>
      </c>
      <c r="U477" s="36">
        <v>0.51613640000000005</v>
      </c>
      <c r="V477" s="393">
        <v>1</v>
      </c>
      <c r="W477" s="36">
        <v>0.37388389999999999</v>
      </c>
      <c r="X477" s="36">
        <v>0.51762280000000005</v>
      </c>
      <c r="Y477" s="36">
        <v>0.69166830000000001</v>
      </c>
      <c r="Z477" s="36">
        <v>0.75224820000000003</v>
      </c>
      <c r="AA477" s="36">
        <v>0.78257719999999997</v>
      </c>
      <c r="AB477" s="393">
        <v>1</v>
      </c>
    </row>
    <row r="478" spans="2:28" ht="0.5" customHeight="1">
      <c r="B478" s="9" t="s">
        <v>55</v>
      </c>
      <c r="C478" s="9" t="str">
        <f t="shared" si="63"/>
        <v>Paraguay45</v>
      </c>
      <c r="D478" s="9">
        <v>45</v>
      </c>
      <c r="E478" s="36">
        <v>0.13506940000000001</v>
      </c>
      <c r="F478" s="36">
        <v>0.4538237</v>
      </c>
      <c r="G478" s="36">
        <v>0.77458939999999998</v>
      </c>
      <c r="H478" s="36">
        <v>0.88127759999999999</v>
      </c>
      <c r="I478" s="36">
        <v>0.93248560000000003</v>
      </c>
      <c r="J478" s="393">
        <v>1</v>
      </c>
      <c r="K478" s="36">
        <v>0.40885650000000001</v>
      </c>
      <c r="L478" s="36">
        <v>0.58112870000000005</v>
      </c>
      <c r="M478" s="36">
        <v>0.7808775</v>
      </c>
      <c r="N478" s="36">
        <v>0.94510810000000001</v>
      </c>
      <c r="O478" s="36">
        <v>0.96943270000000004</v>
      </c>
      <c r="P478" s="393">
        <v>1</v>
      </c>
      <c r="Q478" s="36">
        <v>3.1319800000000002E-2</v>
      </c>
      <c r="R478" s="36">
        <v>0.19918050000000001</v>
      </c>
      <c r="S478" s="36">
        <v>0.46853430000000001</v>
      </c>
      <c r="T478" s="36">
        <v>0.48446919999999999</v>
      </c>
      <c r="U478" s="36">
        <v>0.51375510000000002</v>
      </c>
      <c r="V478" s="393">
        <v>1</v>
      </c>
      <c r="W478" s="36">
        <v>0.36115199999999997</v>
      </c>
      <c r="X478" s="36">
        <v>0.50069620000000004</v>
      </c>
      <c r="Y478" s="36">
        <v>0.67722510000000002</v>
      </c>
      <c r="Z478" s="36">
        <v>0.73893900000000001</v>
      </c>
      <c r="AA478" s="36">
        <v>0.76944480000000004</v>
      </c>
      <c r="AB478" s="393">
        <v>1</v>
      </c>
    </row>
    <row r="479" spans="2:28" ht="0.5" customHeight="1">
      <c r="B479" s="9" t="s">
        <v>55</v>
      </c>
      <c r="C479" s="9" t="str">
        <f t="shared" si="63"/>
        <v>Paraguay46</v>
      </c>
      <c r="D479" s="9">
        <v>46</v>
      </c>
      <c r="E479" s="36">
        <v>0.13478770000000001</v>
      </c>
      <c r="F479" s="36">
        <v>0.44950699999999999</v>
      </c>
      <c r="G479" s="36">
        <v>0.77378340000000001</v>
      </c>
      <c r="H479" s="36">
        <v>0.88039080000000003</v>
      </c>
      <c r="I479" s="36">
        <v>0.9323032</v>
      </c>
      <c r="J479" s="393">
        <v>1</v>
      </c>
      <c r="K479" s="36">
        <v>0.40739120000000001</v>
      </c>
      <c r="L479" s="36">
        <v>0.57522340000000005</v>
      </c>
      <c r="M479" s="36">
        <v>0.77684960000000003</v>
      </c>
      <c r="N479" s="36">
        <v>0.94287500000000002</v>
      </c>
      <c r="O479" s="36">
        <v>0.96716740000000001</v>
      </c>
      <c r="P479" s="393">
        <v>1</v>
      </c>
      <c r="Q479" s="36">
        <v>3.1050399999999999E-2</v>
      </c>
      <c r="R479" s="36">
        <v>0.1949777</v>
      </c>
      <c r="S479" s="36">
        <v>0.46543129999999999</v>
      </c>
      <c r="T479" s="36">
        <v>0.4815451</v>
      </c>
      <c r="U479" s="36">
        <v>0.51080409999999998</v>
      </c>
      <c r="V479" s="393">
        <v>1</v>
      </c>
      <c r="W479" s="36">
        <v>0.35009050000000003</v>
      </c>
      <c r="X479" s="36">
        <v>0.4859253</v>
      </c>
      <c r="Y479" s="36">
        <v>0.66543330000000001</v>
      </c>
      <c r="Z479" s="36">
        <v>0.7280761</v>
      </c>
      <c r="AA479" s="36">
        <v>0.75872879999999998</v>
      </c>
      <c r="AB479" s="393">
        <v>1</v>
      </c>
    </row>
    <row r="480" spans="2:28" ht="0.5" customHeight="1">
      <c r="B480" s="9" t="s">
        <v>55</v>
      </c>
      <c r="C480" s="9" t="str">
        <f t="shared" si="63"/>
        <v>Paraguay47</v>
      </c>
      <c r="D480" s="9">
        <v>47</v>
      </c>
      <c r="E480" s="36">
        <v>0.1333626</v>
      </c>
      <c r="F480" s="36">
        <v>0.44020480000000001</v>
      </c>
      <c r="G480" s="36">
        <v>0.76982499999999998</v>
      </c>
      <c r="H480" s="36">
        <v>0.87669609999999998</v>
      </c>
      <c r="I480" s="36">
        <v>0.93005910000000003</v>
      </c>
      <c r="J480" s="393">
        <v>1</v>
      </c>
      <c r="K480" s="36">
        <v>0.39970650000000002</v>
      </c>
      <c r="L480" s="36">
        <v>0.56329910000000005</v>
      </c>
      <c r="M480" s="36">
        <v>0.76911660000000004</v>
      </c>
      <c r="N480" s="36">
        <v>0.93589659999999997</v>
      </c>
      <c r="O480" s="36">
        <v>0.96059439999999996</v>
      </c>
      <c r="P480" s="393">
        <v>1</v>
      </c>
      <c r="Q480" s="36">
        <v>3.0468499999999999E-2</v>
      </c>
      <c r="R480" s="36">
        <v>0.1858262</v>
      </c>
      <c r="S480" s="36">
        <v>0.46070650000000002</v>
      </c>
      <c r="T480" s="36">
        <v>0.47719279999999997</v>
      </c>
      <c r="U480" s="36">
        <v>0.50669059999999999</v>
      </c>
      <c r="V480" s="393">
        <v>1</v>
      </c>
      <c r="W480" s="36">
        <v>0.3242215</v>
      </c>
      <c r="X480" s="36">
        <v>0.45624130000000002</v>
      </c>
      <c r="Y480" s="36">
        <v>0.64167300000000005</v>
      </c>
      <c r="Z480" s="36">
        <v>0.7059145</v>
      </c>
      <c r="AA480" s="36">
        <v>0.73706749999999999</v>
      </c>
      <c r="AB480" s="393">
        <v>1</v>
      </c>
    </row>
    <row r="481" spans="2:28" ht="0.5" customHeight="1">
      <c r="B481" s="9" t="s">
        <v>55</v>
      </c>
      <c r="C481" s="9" t="str">
        <f t="shared" si="63"/>
        <v>Paraguay48</v>
      </c>
      <c r="D481" s="9">
        <v>48</v>
      </c>
      <c r="E481" s="36">
        <v>0.1322719</v>
      </c>
      <c r="F481" s="36">
        <v>0.43433640000000001</v>
      </c>
      <c r="G481" s="36">
        <v>0.76652290000000001</v>
      </c>
      <c r="H481" s="36">
        <v>0.87362890000000004</v>
      </c>
      <c r="I481" s="36">
        <v>0.92849619999999999</v>
      </c>
      <c r="J481" s="393">
        <v>1</v>
      </c>
      <c r="K481" s="36">
        <v>0.39817160000000001</v>
      </c>
      <c r="L481" s="36">
        <v>0.56179129999999999</v>
      </c>
      <c r="M481" s="36">
        <v>0.76829729999999996</v>
      </c>
      <c r="N481" s="36">
        <v>0.93543520000000002</v>
      </c>
      <c r="O481" s="36">
        <v>0.96105560000000001</v>
      </c>
      <c r="P481" s="393">
        <v>1</v>
      </c>
      <c r="Q481" s="36">
        <v>3.0168899999999998E-2</v>
      </c>
      <c r="R481" s="36">
        <v>0.18054700000000001</v>
      </c>
      <c r="S481" s="36">
        <v>0.45656000000000002</v>
      </c>
      <c r="T481" s="36">
        <v>0.47327259999999999</v>
      </c>
      <c r="U481" s="36">
        <v>0.50280760000000002</v>
      </c>
      <c r="V481" s="393">
        <v>1</v>
      </c>
      <c r="W481" s="36">
        <v>0.31329829999999997</v>
      </c>
      <c r="X481" s="36">
        <v>0.44288689999999997</v>
      </c>
      <c r="Y481" s="36">
        <v>0.63136859999999995</v>
      </c>
      <c r="Z481" s="36">
        <v>0.69736620000000005</v>
      </c>
      <c r="AA481" s="36">
        <v>0.72853129999999999</v>
      </c>
      <c r="AB481" s="393">
        <v>1</v>
      </c>
    </row>
    <row r="482" spans="2:28" ht="0.5" customHeight="1">
      <c r="B482" s="9" t="s">
        <v>55</v>
      </c>
      <c r="C482" s="9" t="str">
        <f t="shared" si="63"/>
        <v>Paraguay49</v>
      </c>
      <c r="D482" s="9">
        <v>49</v>
      </c>
      <c r="E482" s="36">
        <v>0.12894269999999999</v>
      </c>
      <c r="F482" s="36">
        <v>0.41853360000000001</v>
      </c>
      <c r="G482" s="36">
        <v>0.75471949999999999</v>
      </c>
      <c r="H482" s="36">
        <v>0.86162470000000002</v>
      </c>
      <c r="I482" s="36">
        <v>0.91923080000000001</v>
      </c>
      <c r="J482" s="393">
        <v>1</v>
      </c>
      <c r="K482" s="36">
        <v>0.38558310000000001</v>
      </c>
      <c r="L482" s="36">
        <v>0.54927099999999995</v>
      </c>
      <c r="M482" s="36">
        <v>0.75691839999999999</v>
      </c>
      <c r="N482" s="36">
        <v>0.92393069999999999</v>
      </c>
      <c r="O482" s="36">
        <v>0.95291530000000002</v>
      </c>
      <c r="P482" s="393">
        <v>1</v>
      </c>
      <c r="Q482" s="36">
        <v>2.9642600000000002E-2</v>
      </c>
      <c r="R482" s="36">
        <v>0.170677</v>
      </c>
      <c r="S482" s="36">
        <v>0.44819009999999998</v>
      </c>
      <c r="T482" s="36">
        <v>0.4652231</v>
      </c>
      <c r="U482" s="36">
        <v>0.49443409999999999</v>
      </c>
      <c r="V482" s="393">
        <v>1</v>
      </c>
      <c r="W482" s="36">
        <v>0.28985739999999999</v>
      </c>
      <c r="X482" s="36">
        <v>0.41478300000000001</v>
      </c>
      <c r="Y482" s="36">
        <v>0.60676399999999997</v>
      </c>
      <c r="Z482" s="36">
        <v>0.67653470000000004</v>
      </c>
      <c r="AA482" s="36">
        <v>0.70685580000000003</v>
      </c>
      <c r="AB482" s="393">
        <v>1</v>
      </c>
    </row>
    <row r="483" spans="2:28" ht="0.5" customHeight="1">
      <c r="B483" s="9" t="s">
        <v>55</v>
      </c>
      <c r="C483" s="9" t="str">
        <f t="shared" si="63"/>
        <v>Paraguay50</v>
      </c>
      <c r="D483" s="9">
        <v>50</v>
      </c>
      <c r="E483" s="36">
        <v>0.12596889999999999</v>
      </c>
      <c r="F483" s="36">
        <v>0.40736499999999998</v>
      </c>
      <c r="G483" s="36">
        <v>0.74497270000000004</v>
      </c>
      <c r="H483" s="36">
        <v>0.85164550000000006</v>
      </c>
      <c r="I483" s="36">
        <v>0.91044270000000005</v>
      </c>
      <c r="J483" s="393">
        <v>1</v>
      </c>
      <c r="K483" s="36">
        <v>0.37481910000000002</v>
      </c>
      <c r="L483" s="36">
        <v>0.54147730000000005</v>
      </c>
      <c r="M483" s="36">
        <v>0.74922469999999997</v>
      </c>
      <c r="N483" s="36">
        <v>0.9165082</v>
      </c>
      <c r="O483" s="36">
        <v>0.94658909999999996</v>
      </c>
      <c r="P483" s="393">
        <v>1</v>
      </c>
      <c r="Q483" s="36">
        <v>2.9524600000000002E-2</v>
      </c>
      <c r="R483" s="36">
        <v>0.16559460000000001</v>
      </c>
      <c r="S483" s="36">
        <v>0.44310909999999998</v>
      </c>
      <c r="T483" s="36">
        <v>0.4602639</v>
      </c>
      <c r="U483" s="36">
        <v>0.4884636</v>
      </c>
      <c r="V483" s="393">
        <v>1</v>
      </c>
      <c r="W483" s="36">
        <v>0.27853939999999999</v>
      </c>
      <c r="X483" s="36">
        <v>0.40201150000000002</v>
      </c>
      <c r="Y483" s="36">
        <v>0.5934817</v>
      </c>
      <c r="Z483" s="36">
        <v>0.66475960000000001</v>
      </c>
      <c r="AA483" s="36">
        <v>0.69395099999999998</v>
      </c>
      <c r="AB483" s="393">
        <v>1</v>
      </c>
    </row>
    <row r="484" spans="2:28" ht="0.5" customHeight="1">
      <c r="B484" s="9" t="s">
        <v>55</v>
      </c>
      <c r="C484" s="9" t="str">
        <f t="shared" si="63"/>
        <v>Paraguay51</v>
      </c>
      <c r="D484" s="9">
        <v>51</v>
      </c>
      <c r="E484" s="36">
        <v>0.1227172</v>
      </c>
      <c r="F484" s="36">
        <v>0.39677750000000001</v>
      </c>
      <c r="G484" s="36">
        <v>0.73594320000000002</v>
      </c>
      <c r="H484" s="36">
        <v>0.84319310000000003</v>
      </c>
      <c r="I484" s="36">
        <v>0.90323640000000005</v>
      </c>
      <c r="J484" s="393">
        <v>1</v>
      </c>
      <c r="K484" s="36">
        <v>0.3656759</v>
      </c>
      <c r="L484" s="36">
        <v>0.53267629999999999</v>
      </c>
      <c r="M484" s="36">
        <v>0.74112049999999996</v>
      </c>
      <c r="N484" s="36">
        <v>0.90955850000000005</v>
      </c>
      <c r="O484" s="36">
        <v>0.94038250000000001</v>
      </c>
      <c r="P484" s="393">
        <v>1</v>
      </c>
      <c r="Q484" s="36">
        <v>2.9479100000000001E-2</v>
      </c>
      <c r="R484" s="36">
        <v>0.1606089</v>
      </c>
      <c r="S484" s="36">
        <v>0.43685420000000003</v>
      </c>
      <c r="T484" s="36">
        <v>0.45411940000000001</v>
      </c>
      <c r="U484" s="36">
        <v>0.4807958</v>
      </c>
      <c r="V484" s="393">
        <v>1</v>
      </c>
      <c r="W484" s="36">
        <v>0.27054210000000001</v>
      </c>
      <c r="X484" s="36">
        <v>0.39225480000000001</v>
      </c>
      <c r="Y484" s="36">
        <v>0.58228159999999995</v>
      </c>
      <c r="Z484" s="36">
        <v>0.65521379999999996</v>
      </c>
      <c r="AA484" s="36">
        <v>0.68301579999999995</v>
      </c>
      <c r="AB484" s="393">
        <v>1</v>
      </c>
    </row>
    <row r="485" spans="2:28" ht="0.5" customHeight="1">
      <c r="B485" s="9" t="s">
        <v>55</v>
      </c>
      <c r="C485" s="9" t="str">
        <f t="shared" si="63"/>
        <v>Paraguay52</v>
      </c>
      <c r="D485" s="9">
        <v>52</v>
      </c>
      <c r="E485" s="36">
        <v>0.1173129</v>
      </c>
      <c r="F485" s="36">
        <v>0.37564920000000002</v>
      </c>
      <c r="G485" s="36">
        <v>0.7171575</v>
      </c>
      <c r="H485" s="36">
        <v>0.82597600000000004</v>
      </c>
      <c r="I485" s="36">
        <v>0.8881831</v>
      </c>
      <c r="J485" s="393">
        <v>1</v>
      </c>
      <c r="K485" s="36">
        <v>0.35132940000000001</v>
      </c>
      <c r="L485" s="36">
        <v>0.5170323</v>
      </c>
      <c r="M485" s="36">
        <v>0.72795149999999997</v>
      </c>
      <c r="N485" s="36">
        <v>0.89965899999999999</v>
      </c>
      <c r="O485" s="36">
        <v>0.93086089999999999</v>
      </c>
      <c r="P485" s="393">
        <v>1</v>
      </c>
      <c r="Q485" s="36">
        <v>2.9733800000000001E-2</v>
      </c>
      <c r="R485" s="36">
        <v>0.15170069999999999</v>
      </c>
      <c r="S485" s="36">
        <v>0.42167900000000003</v>
      </c>
      <c r="T485" s="36">
        <v>0.4390773</v>
      </c>
      <c r="U485" s="36">
        <v>0.4628429</v>
      </c>
      <c r="V485" s="393">
        <v>1</v>
      </c>
      <c r="W485" s="36">
        <v>0.25697229999999999</v>
      </c>
      <c r="X485" s="36">
        <v>0.3773417</v>
      </c>
      <c r="Y485" s="36">
        <v>0.56227229999999995</v>
      </c>
      <c r="Z485" s="36">
        <v>0.63883230000000002</v>
      </c>
      <c r="AA485" s="36">
        <v>0.66410060000000004</v>
      </c>
      <c r="AB485" s="393">
        <v>1</v>
      </c>
    </row>
    <row r="486" spans="2:28" ht="0.5" customHeight="1">
      <c r="B486" s="9" t="s">
        <v>55</v>
      </c>
      <c r="C486" s="9" t="str">
        <f t="shared" si="63"/>
        <v>Paraguay53</v>
      </c>
      <c r="D486" s="9">
        <v>53</v>
      </c>
      <c r="E486" s="36">
        <v>0.1144611</v>
      </c>
      <c r="F486" s="36">
        <v>0.36513580000000001</v>
      </c>
      <c r="G486" s="36">
        <v>0.70726199999999995</v>
      </c>
      <c r="H486" s="36">
        <v>0.81709189999999998</v>
      </c>
      <c r="I486" s="36">
        <v>0.88043090000000002</v>
      </c>
      <c r="J486" s="393">
        <v>1</v>
      </c>
      <c r="K486" s="36">
        <v>0.34274919999999998</v>
      </c>
      <c r="L486" s="36">
        <v>0.50672220000000001</v>
      </c>
      <c r="M486" s="36">
        <v>0.71913419999999995</v>
      </c>
      <c r="N486" s="36">
        <v>0.8938199</v>
      </c>
      <c r="O486" s="36">
        <v>0.92475770000000002</v>
      </c>
      <c r="P486" s="393">
        <v>1</v>
      </c>
      <c r="Q486" s="36">
        <v>3.0162399999999999E-2</v>
      </c>
      <c r="R486" s="36">
        <v>0.14703160000000001</v>
      </c>
      <c r="S486" s="36">
        <v>0.41254980000000002</v>
      </c>
      <c r="T486" s="36">
        <v>0.42996879999999998</v>
      </c>
      <c r="U486" s="36">
        <v>0.45215260000000002</v>
      </c>
      <c r="V486" s="393">
        <v>1</v>
      </c>
      <c r="W486" s="36">
        <v>0.2489922</v>
      </c>
      <c r="X486" s="36">
        <v>0.36748259999999999</v>
      </c>
      <c r="Y486" s="36">
        <v>0.54844649999999995</v>
      </c>
      <c r="Z486" s="36">
        <v>0.6265463</v>
      </c>
      <c r="AA486" s="36">
        <v>0.65038339999999994</v>
      </c>
      <c r="AB486" s="393">
        <v>1</v>
      </c>
    </row>
    <row r="487" spans="2:28" ht="0.5" customHeight="1">
      <c r="B487" s="9" t="s">
        <v>55</v>
      </c>
      <c r="C487" s="9" t="str">
        <f t="shared" si="63"/>
        <v>Paraguay54</v>
      </c>
      <c r="D487" s="9">
        <v>54</v>
      </c>
      <c r="E487" s="36">
        <v>0.1099938</v>
      </c>
      <c r="F487" s="36">
        <v>0.35008509999999998</v>
      </c>
      <c r="G487" s="36">
        <v>0.69069910000000001</v>
      </c>
      <c r="H487" s="36">
        <v>0.80139950000000004</v>
      </c>
      <c r="I487" s="36">
        <v>0.86424529999999999</v>
      </c>
      <c r="J487" s="393">
        <v>1</v>
      </c>
      <c r="K487" s="36">
        <v>0.32566060000000002</v>
      </c>
      <c r="L487" s="36">
        <v>0.4837207</v>
      </c>
      <c r="M487" s="36">
        <v>0.701268</v>
      </c>
      <c r="N487" s="36">
        <v>0.88434959999999996</v>
      </c>
      <c r="O487" s="36">
        <v>0.91179339999999998</v>
      </c>
      <c r="P487" s="393">
        <v>1</v>
      </c>
      <c r="Q487" s="36">
        <v>3.1339499999999999E-2</v>
      </c>
      <c r="R487" s="36">
        <v>0.1358123</v>
      </c>
      <c r="S487" s="36">
        <v>0.39149410000000001</v>
      </c>
      <c r="T487" s="36">
        <v>0.40872700000000001</v>
      </c>
      <c r="U487" s="36">
        <v>0.42574469999999998</v>
      </c>
      <c r="V487" s="393">
        <v>1</v>
      </c>
      <c r="W487" s="36">
        <v>0.2323336</v>
      </c>
      <c r="X487" s="36">
        <v>0.3528346</v>
      </c>
      <c r="Y487" s="36">
        <v>0.52124380000000003</v>
      </c>
      <c r="Z487" s="36">
        <v>0.60103720000000005</v>
      </c>
      <c r="AA487" s="36">
        <v>0.62030940000000001</v>
      </c>
      <c r="AB487" s="393">
        <v>1</v>
      </c>
    </row>
    <row r="488" spans="2:28" ht="0.5" customHeight="1">
      <c r="B488" s="9" t="s">
        <v>55</v>
      </c>
      <c r="C488" s="9" t="str">
        <f t="shared" si="63"/>
        <v>Paraguay55</v>
      </c>
      <c r="D488" s="9">
        <v>55</v>
      </c>
      <c r="E488" s="36">
        <v>0.1083045</v>
      </c>
      <c r="F488" s="36">
        <v>0.34570149999999999</v>
      </c>
      <c r="G488" s="36">
        <v>0.68182830000000005</v>
      </c>
      <c r="H488" s="36">
        <v>0.79354040000000003</v>
      </c>
      <c r="I488" s="36">
        <v>0.85534659999999996</v>
      </c>
      <c r="J488" s="393">
        <v>1</v>
      </c>
      <c r="K488" s="36">
        <v>0.32820820000000001</v>
      </c>
      <c r="L488" s="36">
        <v>0.48096129999999998</v>
      </c>
      <c r="M488" s="36">
        <v>0.70195839999999998</v>
      </c>
      <c r="N488" s="36">
        <v>0.89114009999999999</v>
      </c>
      <c r="O488" s="36">
        <v>0.91398279999999998</v>
      </c>
      <c r="P488" s="393">
        <v>1</v>
      </c>
      <c r="Q488" s="36">
        <v>3.1949400000000003E-2</v>
      </c>
      <c r="R488" s="36">
        <v>0.1287153</v>
      </c>
      <c r="S488" s="36">
        <v>0.3780385</v>
      </c>
      <c r="T488" s="36">
        <v>0.3948682</v>
      </c>
      <c r="U488" s="36">
        <v>0.4072035</v>
      </c>
      <c r="V488" s="393">
        <v>1</v>
      </c>
      <c r="W488" s="36">
        <v>0.2241919</v>
      </c>
      <c r="X488" s="36">
        <v>0.34639639999999999</v>
      </c>
      <c r="Y488" s="36">
        <v>0.50272459999999997</v>
      </c>
      <c r="Z488" s="36">
        <v>0.58185949999999997</v>
      </c>
      <c r="AA488" s="36">
        <v>0.59860939999999996</v>
      </c>
      <c r="AB488" s="393">
        <v>1</v>
      </c>
    </row>
    <row r="489" spans="2:28" ht="0.5" customHeight="1">
      <c r="B489" s="9" t="s">
        <v>52</v>
      </c>
      <c r="C489" s="9" t="str">
        <f t="shared" si="63"/>
        <v>Mexico20</v>
      </c>
      <c r="D489" s="9">
        <v>20</v>
      </c>
      <c r="E489" s="36">
        <v>0.29461039999999999</v>
      </c>
      <c r="F489" s="36">
        <v>0.73532920000000002</v>
      </c>
      <c r="G489" s="36">
        <v>0.76454339999999998</v>
      </c>
      <c r="H489" s="36">
        <v>0.76791240000000005</v>
      </c>
      <c r="I489" s="36">
        <v>0.85639080000000001</v>
      </c>
      <c r="J489" s="393">
        <v>1</v>
      </c>
      <c r="K489" s="36">
        <v>0.18931590000000001</v>
      </c>
      <c r="L489" s="36">
        <v>0.39532279999999997</v>
      </c>
      <c r="M489" s="36">
        <v>0.4066167</v>
      </c>
      <c r="N489" s="36">
        <v>0.41018860000000001</v>
      </c>
      <c r="O489" s="36">
        <v>0.46440130000000002</v>
      </c>
      <c r="P489" s="393">
        <v>1</v>
      </c>
      <c r="Q489" s="36">
        <v>0.1220267</v>
      </c>
      <c r="R489" s="36">
        <v>0.31311689999999998</v>
      </c>
      <c r="S489" s="36">
        <v>0.34149449999999998</v>
      </c>
      <c r="T489" s="36">
        <v>0.34487679999999998</v>
      </c>
      <c r="U489" s="36">
        <v>0.37275140000000001</v>
      </c>
      <c r="V489" s="393">
        <v>1</v>
      </c>
      <c r="W489" s="36">
        <v>0.15005180000000001</v>
      </c>
      <c r="X489" s="36">
        <v>0.3092819</v>
      </c>
      <c r="Y489" s="36">
        <v>0.32537369999999999</v>
      </c>
      <c r="Z489" s="36">
        <v>0.3273433</v>
      </c>
      <c r="AA489" s="36">
        <v>0.3551571</v>
      </c>
      <c r="AB489" s="393">
        <v>1</v>
      </c>
    </row>
    <row r="490" spans="2:28" ht="0.5" customHeight="1">
      <c r="B490" s="9" t="s">
        <v>52</v>
      </c>
      <c r="C490" s="9" t="str">
        <f t="shared" si="63"/>
        <v>Mexico21</v>
      </c>
      <c r="D490" s="9">
        <v>21</v>
      </c>
      <c r="E490" s="36">
        <v>0.31299519999999997</v>
      </c>
      <c r="F490" s="36">
        <v>0.75503089999999995</v>
      </c>
      <c r="G490" s="36">
        <v>0.78811030000000004</v>
      </c>
      <c r="H490" s="36">
        <v>0.79373660000000001</v>
      </c>
      <c r="I490" s="36">
        <v>0.87838059999999996</v>
      </c>
      <c r="J490" s="393">
        <v>1</v>
      </c>
      <c r="K490" s="36">
        <v>0.22362489999999999</v>
      </c>
      <c r="L490" s="36">
        <v>0.43977919999999998</v>
      </c>
      <c r="M490" s="36">
        <v>0.45599089999999998</v>
      </c>
      <c r="N490" s="36">
        <v>0.46203810000000001</v>
      </c>
      <c r="O490" s="36">
        <v>0.51788440000000002</v>
      </c>
      <c r="P490" s="393">
        <v>1</v>
      </c>
      <c r="Q490" s="36">
        <v>0.1220532</v>
      </c>
      <c r="R490" s="36">
        <v>0.30527169999999998</v>
      </c>
      <c r="S490" s="36">
        <v>0.33650000000000002</v>
      </c>
      <c r="T490" s="36">
        <v>0.34021020000000002</v>
      </c>
      <c r="U490" s="36">
        <v>0.36505910000000003</v>
      </c>
      <c r="V490" s="393">
        <v>1</v>
      </c>
      <c r="W490" s="36">
        <v>0.17383950000000001</v>
      </c>
      <c r="X490" s="36">
        <v>0.3403023</v>
      </c>
      <c r="Y490" s="36">
        <v>0.36009269999999999</v>
      </c>
      <c r="Z490" s="36">
        <v>0.36281429999999998</v>
      </c>
      <c r="AA490" s="36">
        <v>0.39829550000000002</v>
      </c>
      <c r="AB490" s="393">
        <v>1</v>
      </c>
    </row>
    <row r="491" spans="2:28" ht="0.5" customHeight="1">
      <c r="B491" s="9" t="s">
        <v>52</v>
      </c>
      <c r="C491" s="9" t="str">
        <f t="shared" si="63"/>
        <v>Mexico22</v>
      </c>
      <c r="D491" s="9">
        <v>22</v>
      </c>
      <c r="E491" s="36">
        <v>0.34265679999999998</v>
      </c>
      <c r="F491" s="36">
        <v>0.78331010000000001</v>
      </c>
      <c r="G491" s="36">
        <v>0.82579910000000001</v>
      </c>
      <c r="H491" s="36">
        <v>0.83585580000000004</v>
      </c>
      <c r="I491" s="36">
        <v>0.9105086</v>
      </c>
      <c r="J491" s="393">
        <v>1</v>
      </c>
      <c r="K491" s="36">
        <v>0.30312489999999997</v>
      </c>
      <c r="L491" s="36">
        <v>0.53489980000000004</v>
      </c>
      <c r="M491" s="36">
        <v>0.56122209999999995</v>
      </c>
      <c r="N491" s="36">
        <v>0.57299630000000001</v>
      </c>
      <c r="O491" s="36">
        <v>0.63662870000000005</v>
      </c>
      <c r="P491" s="393">
        <v>1</v>
      </c>
      <c r="Q491" s="36">
        <v>0.1210092</v>
      </c>
      <c r="R491" s="36">
        <v>0.29107460000000002</v>
      </c>
      <c r="S491" s="36">
        <v>0.33101550000000002</v>
      </c>
      <c r="T491" s="36">
        <v>0.3354492</v>
      </c>
      <c r="U491" s="36">
        <v>0.35442459999999998</v>
      </c>
      <c r="V491" s="393">
        <v>1</v>
      </c>
      <c r="W491" s="36">
        <v>0.24357960000000001</v>
      </c>
      <c r="X491" s="36">
        <v>0.41965770000000002</v>
      </c>
      <c r="Y491" s="36">
        <v>0.44730760000000003</v>
      </c>
      <c r="Z491" s="36">
        <v>0.45198709999999997</v>
      </c>
      <c r="AA491" s="36">
        <v>0.49892700000000001</v>
      </c>
      <c r="AB491" s="393">
        <v>1</v>
      </c>
    </row>
    <row r="492" spans="2:28" ht="0.5" customHeight="1">
      <c r="B492" s="9" t="s">
        <v>52</v>
      </c>
      <c r="C492" s="9" t="str">
        <f t="shared" si="63"/>
        <v>Mexico23</v>
      </c>
      <c r="D492" s="9">
        <v>23</v>
      </c>
      <c r="E492" s="36">
        <v>0.35449069999999999</v>
      </c>
      <c r="F492" s="36">
        <v>0.79259959999999996</v>
      </c>
      <c r="G492" s="36">
        <v>0.84010589999999996</v>
      </c>
      <c r="H492" s="36">
        <v>0.85239229999999999</v>
      </c>
      <c r="I492" s="36">
        <v>0.92226490000000005</v>
      </c>
      <c r="J492" s="393">
        <v>1</v>
      </c>
      <c r="K492" s="36">
        <v>0.348551</v>
      </c>
      <c r="L492" s="36">
        <v>0.58591990000000005</v>
      </c>
      <c r="M492" s="36">
        <v>0.6173206</v>
      </c>
      <c r="N492" s="36">
        <v>0.63195219999999996</v>
      </c>
      <c r="O492" s="36">
        <v>0.6986677</v>
      </c>
      <c r="P492" s="393">
        <v>1</v>
      </c>
      <c r="Q492" s="36">
        <v>0.1197778</v>
      </c>
      <c r="R492" s="36">
        <v>0.28423039999999999</v>
      </c>
      <c r="S492" s="36">
        <v>0.32942769999999999</v>
      </c>
      <c r="T492" s="36">
        <v>0.33421879999999998</v>
      </c>
      <c r="U492" s="36">
        <v>0.35081309999999999</v>
      </c>
      <c r="V492" s="393">
        <v>1</v>
      </c>
      <c r="W492" s="36">
        <v>0.2853501</v>
      </c>
      <c r="X492" s="36">
        <v>0.46373779999999998</v>
      </c>
      <c r="Y492" s="36">
        <v>0.49542700000000001</v>
      </c>
      <c r="Z492" s="36">
        <v>0.50102369999999996</v>
      </c>
      <c r="AA492" s="36">
        <v>0.5511393</v>
      </c>
      <c r="AB492" s="393">
        <v>1</v>
      </c>
    </row>
    <row r="493" spans="2:28" ht="0.5" customHeight="1">
      <c r="B493" s="9" t="s">
        <v>52</v>
      </c>
      <c r="C493" s="9" t="str">
        <f t="shared" si="63"/>
        <v>Mexico24</v>
      </c>
      <c r="D493" s="9">
        <v>24</v>
      </c>
      <c r="E493" s="36">
        <v>0.3700271</v>
      </c>
      <c r="F493" s="36">
        <v>0.80169259999999998</v>
      </c>
      <c r="G493" s="36">
        <v>0.85956730000000003</v>
      </c>
      <c r="H493" s="36">
        <v>0.87616879999999997</v>
      </c>
      <c r="I493" s="36">
        <v>0.93717609999999996</v>
      </c>
      <c r="J493" s="393">
        <v>1</v>
      </c>
      <c r="K493" s="36">
        <v>0.43716890000000003</v>
      </c>
      <c r="L493" s="36">
        <v>0.681925</v>
      </c>
      <c r="M493" s="36">
        <v>0.72339299999999995</v>
      </c>
      <c r="N493" s="36">
        <v>0.74411830000000001</v>
      </c>
      <c r="O493" s="36">
        <v>0.81503749999999997</v>
      </c>
      <c r="P493" s="393">
        <v>1</v>
      </c>
      <c r="Q493" s="36">
        <v>0.1156928</v>
      </c>
      <c r="R493" s="36">
        <v>0.27232479999999998</v>
      </c>
      <c r="S493" s="36">
        <v>0.32818370000000002</v>
      </c>
      <c r="T493" s="36">
        <v>0.33353500000000003</v>
      </c>
      <c r="U493" s="36">
        <v>0.34672979999999998</v>
      </c>
      <c r="V493" s="393">
        <v>1</v>
      </c>
      <c r="W493" s="36">
        <v>0.35672359999999997</v>
      </c>
      <c r="X493" s="36">
        <v>0.53496999999999995</v>
      </c>
      <c r="Y493" s="36">
        <v>0.57471130000000004</v>
      </c>
      <c r="Z493" s="36">
        <v>0.58206360000000001</v>
      </c>
      <c r="AA493" s="36">
        <v>0.6315655</v>
      </c>
      <c r="AB493" s="393">
        <v>1</v>
      </c>
    </row>
    <row r="494" spans="2:28" ht="0.5" customHeight="1">
      <c r="B494" s="9" t="s">
        <v>52</v>
      </c>
      <c r="C494" s="9" t="str">
        <f t="shared" si="63"/>
        <v>Mexico25</v>
      </c>
      <c r="D494" s="9">
        <v>25</v>
      </c>
      <c r="E494" s="36">
        <v>0.37442959999999997</v>
      </c>
      <c r="F494" s="36">
        <v>0.80302870000000004</v>
      </c>
      <c r="G494" s="36">
        <v>0.86625830000000004</v>
      </c>
      <c r="H494" s="36">
        <v>0.88482989999999995</v>
      </c>
      <c r="I494" s="36">
        <v>0.94175240000000005</v>
      </c>
      <c r="J494" s="393">
        <v>1</v>
      </c>
      <c r="K494" s="36">
        <v>0.47071249999999998</v>
      </c>
      <c r="L494" s="36">
        <v>0.71487639999999997</v>
      </c>
      <c r="M494" s="36">
        <v>0.76159880000000002</v>
      </c>
      <c r="N494" s="36">
        <v>0.78561429999999999</v>
      </c>
      <c r="O494" s="36">
        <v>0.85581759999999996</v>
      </c>
      <c r="P494" s="393">
        <v>1</v>
      </c>
      <c r="Q494" s="36">
        <v>0.1131968</v>
      </c>
      <c r="R494" s="36">
        <v>0.26638440000000002</v>
      </c>
      <c r="S494" s="36">
        <v>0.3275979</v>
      </c>
      <c r="T494" s="36">
        <v>0.33324330000000002</v>
      </c>
      <c r="U494" s="36">
        <v>0.34541519999999998</v>
      </c>
      <c r="V494" s="393">
        <v>1</v>
      </c>
      <c r="W494" s="36">
        <v>0.37698959999999998</v>
      </c>
      <c r="X494" s="36">
        <v>0.55226560000000002</v>
      </c>
      <c r="Y494" s="36">
        <v>0.59582659999999998</v>
      </c>
      <c r="Z494" s="36">
        <v>0.60415549999999996</v>
      </c>
      <c r="AA494" s="36">
        <v>0.65093400000000001</v>
      </c>
      <c r="AB494" s="393">
        <v>1</v>
      </c>
    </row>
    <row r="495" spans="2:28" ht="0.5" customHeight="1">
      <c r="B495" s="9" t="s">
        <v>52</v>
      </c>
      <c r="C495" s="9" t="str">
        <f t="shared" si="63"/>
        <v>Mexico26</v>
      </c>
      <c r="D495" s="9">
        <v>26</v>
      </c>
      <c r="E495" s="36">
        <v>0.37661820000000001</v>
      </c>
      <c r="F495" s="36">
        <v>0.80222170000000004</v>
      </c>
      <c r="G495" s="36">
        <v>0.87094959999999999</v>
      </c>
      <c r="H495" s="36">
        <v>0.89143519999999998</v>
      </c>
      <c r="I495" s="36">
        <v>0.94439320000000004</v>
      </c>
      <c r="J495" s="393">
        <v>1</v>
      </c>
      <c r="K495" s="36">
        <v>0.49746780000000002</v>
      </c>
      <c r="L495" s="36">
        <v>0.74057030000000001</v>
      </c>
      <c r="M495" s="36">
        <v>0.79285119999999998</v>
      </c>
      <c r="N495" s="36">
        <v>0.82024560000000002</v>
      </c>
      <c r="O495" s="36">
        <v>0.88831970000000005</v>
      </c>
      <c r="P495" s="393">
        <v>1</v>
      </c>
      <c r="Q495" s="36">
        <v>0.1107064</v>
      </c>
      <c r="R495" s="36">
        <v>0.26147939999999997</v>
      </c>
      <c r="S495" s="36">
        <v>0.32779330000000001</v>
      </c>
      <c r="T495" s="36">
        <v>0.333762</v>
      </c>
      <c r="U495" s="36">
        <v>0.34534819999999999</v>
      </c>
      <c r="V495" s="393">
        <v>1</v>
      </c>
      <c r="W495" s="36">
        <v>0.38921099999999997</v>
      </c>
      <c r="X495" s="36">
        <v>0.56106610000000001</v>
      </c>
      <c r="Y495" s="36">
        <v>0.60808530000000005</v>
      </c>
      <c r="Z495" s="36">
        <v>0.61745229999999995</v>
      </c>
      <c r="AA495" s="36">
        <v>0.66041190000000005</v>
      </c>
      <c r="AB495" s="393">
        <v>1</v>
      </c>
    </row>
    <row r="496" spans="2:28" ht="0.5" customHeight="1">
      <c r="B496" s="9" t="s">
        <v>52</v>
      </c>
      <c r="C496" s="9" t="str">
        <f t="shared" si="63"/>
        <v>Mexico27</v>
      </c>
      <c r="D496" s="9">
        <v>27</v>
      </c>
      <c r="E496" s="36">
        <v>0.37782650000000001</v>
      </c>
      <c r="F496" s="36">
        <v>0.7949794</v>
      </c>
      <c r="G496" s="36">
        <v>0.87488200000000005</v>
      </c>
      <c r="H496" s="36">
        <v>0.89903200000000005</v>
      </c>
      <c r="I496" s="36">
        <v>0.94528690000000004</v>
      </c>
      <c r="J496" s="393">
        <v>1</v>
      </c>
      <c r="K496" s="36">
        <v>0.54039959999999998</v>
      </c>
      <c r="L496" s="36">
        <v>0.7761595</v>
      </c>
      <c r="M496" s="36">
        <v>0.83845170000000002</v>
      </c>
      <c r="N496" s="36">
        <v>0.87304210000000004</v>
      </c>
      <c r="O496" s="36">
        <v>0.93408679999999999</v>
      </c>
      <c r="P496" s="393">
        <v>1</v>
      </c>
      <c r="Q496" s="36">
        <v>0.10660219999999999</v>
      </c>
      <c r="R496" s="36">
        <v>0.25717640000000003</v>
      </c>
      <c r="S496" s="36">
        <v>0.3339453</v>
      </c>
      <c r="T496" s="36">
        <v>0.34057229999999999</v>
      </c>
      <c r="U496" s="36">
        <v>0.35120289999999998</v>
      </c>
      <c r="V496" s="393">
        <v>1</v>
      </c>
      <c r="W496" s="36">
        <v>0.40538030000000003</v>
      </c>
      <c r="X496" s="36">
        <v>0.57112450000000003</v>
      </c>
      <c r="Y496" s="36">
        <v>0.6244556</v>
      </c>
      <c r="Z496" s="36">
        <v>0.6360924</v>
      </c>
      <c r="AA496" s="36">
        <v>0.67084149999999998</v>
      </c>
      <c r="AB496" s="393">
        <v>1</v>
      </c>
    </row>
    <row r="497" spans="2:28" ht="0.5" customHeight="1">
      <c r="B497" s="9" t="s">
        <v>52</v>
      </c>
      <c r="C497" s="9" t="str">
        <f t="shared" si="63"/>
        <v>Mexico28</v>
      </c>
      <c r="D497" s="9">
        <v>28</v>
      </c>
      <c r="E497" s="36">
        <v>0.37626749999999998</v>
      </c>
      <c r="F497" s="36">
        <v>0.78880689999999998</v>
      </c>
      <c r="G497" s="36">
        <v>0.87417750000000005</v>
      </c>
      <c r="H497" s="36">
        <v>0.9002116</v>
      </c>
      <c r="I497" s="36">
        <v>0.94352199999999997</v>
      </c>
      <c r="J497" s="393">
        <v>1</v>
      </c>
      <c r="K497" s="36">
        <v>0.55643810000000005</v>
      </c>
      <c r="L497" s="36">
        <v>0.78709580000000001</v>
      </c>
      <c r="M497" s="36">
        <v>0.85378730000000003</v>
      </c>
      <c r="N497" s="36">
        <v>0.89220120000000003</v>
      </c>
      <c r="O497" s="36">
        <v>0.94894809999999996</v>
      </c>
      <c r="P497" s="393">
        <v>1</v>
      </c>
      <c r="Q497" s="36">
        <v>0.1049153</v>
      </c>
      <c r="R497" s="36">
        <v>0.25733099999999998</v>
      </c>
      <c r="S497" s="36">
        <v>0.33900200000000003</v>
      </c>
      <c r="T497" s="36">
        <v>0.34598230000000002</v>
      </c>
      <c r="U497" s="36">
        <v>0.35608129999999999</v>
      </c>
      <c r="V497" s="393">
        <v>1</v>
      </c>
      <c r="W497" s="36">
        <v>0.41178360000000003</v>
      </c>
      <c r="X497" s="36">
        <v>0.57355699999999998</v>
      </c>
      <c r="Y497" s="36">
        <v>0.62962479999999998</v>
      </c>
      <c r="Z497" s="36">
        <v>0.64245430000000003</v>
      </c>
      <c r="AA497" s="36">
        <v>0.67353589999999997</v>
      </c>
      <c r="AB497" s="393">
        <v>1</v>
      </c>
    </row>
    <row r="498" spans="2:28" ht="0.5" customHeight="1">
      <c r="B498" s="9" t="s">
        <v>52</v>
      </c>
      <c r="C498" s="9" t="str">
        <f t="shared" si="63"/>
        <v>Mexico29</v>
      </c>
      <c r="D498" s="9">
        <v>29</v>
      </c>
      <c r="E498" s="36">
        <v>0.3741025</v>
      </c>
      <c r="F498" s="36">
        <v>0.77809530000000005</v>
      </c>
      <c r="G498" s="36">
        <v>0.87397190000000002</v>
      </c>
      <c r="H498" s="36">
        <v>0.90399180000000001</v>
      </c>
      <c r="I498" s="36">
        <v>0.94270209999999999</v>
      </c>
      <c r="J498" s="393">
        <v>1</v>
      </c>
      <c r="K498" s="36">
        <v>0.58380200000000004</v>
      </c>
      <c r="L498" s="36">
        <v>0.80440659999999997</v>
      </c>
      <c r="M498" s="36">
        <v>0.87977919999999998</v>
      </c>
      <c r="N498" s="36">
        <v>0.92528779999999999</v>
      </c>
      <c r="O498" s="36">
        <v>0.97230640000000002</v>
      </c>
      <c r="P498" s="393">
        <v>1</v>
      </c>
      <c r="Q498" s="36">
        <v>0.1034197</v>
      </c>
      <c r="R498" s="36">
        <v>0.25985520000000001</v>
      </c>
      <c r="S498" s="36">
        <v>0.35027839999999999</v>
      </c>
      <c r="T498" s="36">
        <v>0.3580238</v>
      </c>
      <c r="U498" s="36">
        <v>0.36690859999999997</v>
      </c>
      <c r="V498" s="393">
        <v>1</v>
      </c>
      <c r="W498" s="36">
        <v>0.42662830000000002</v>
      </c>
      <c r="X498" s="36">
        <v>0.57921699999999998</v>
      </c>
      <c r="Y498" s="36">
        <v>0.64002099999999995</v>
      </c>
      <c r="Z498" s="36">
        <v>0.65514090000000003</v>
      </c>
      <c r="AA498" s="36">
        <v>0.68070319999999995</v>
      </c>
      <c r="AB498" s="393">
        <v>1</v>
      </c>
    </row>
    <row r="499" spans="2:28" ht="0.5" customHeight="1">
      <c r="B499" s="9" t="s">
        <v>52</v>
      </c>
      <c r="C499" s="9" t="str">
        <f t="shared" si="63"/>
        <v>Mexico30</v>
      </c>
      <c r="D499" s="9">
        <v>30</v>
      </c>
      <c r="E499" s="36">
        <v>0.37313629999999998</v>
      </c>
      <c r="F499" s="36">
        <v>0.7732869</v>
      </c>
      <c r="G499" s="36">
        <v>0.87418249999999997</v>
      </c>
      <c r="H499" s="36">
        <v>0.90612119999999996</v>
      </c>
      <c r="I499" s="36">
        <v>0.94290980000000002</v>
      </c>
      <c r="J499" s="393">
        <v>1</v>
      </c>
      <c r="K499" s="36">
        <v>0.58990010000000004</v>
      </c>
      <c r="L499" s="36">
        <v>0.8060948</v>
      </c>
      <c r="M499" s="36">
        <v>0.88512990000000002</v>
      </c>
      <c r="N499" s="36">
        <v>0.93422760000000005</v>
      </c>
      <c r="O499" s="36">
        <v>0.97659359999999995</v>
      </c>
      <c r="P499" s="393">
        <v>1</v>
      </c>
      <c r="Q499" s="36">
        <v>0.1040051</v>
      </c>
      <c r="R499" s="36">
        <v>0.26330730000000002</v>
      </c>
      <c r="S499" s="36">
        <v>0.3577883</v>
      </c>
      <c r="T499" s="36">
        <v>0.36605949999999998</v>
      </c>
      <c r="U499" s="36">
        <v>0.37443460000000001</v>
      </c>
      <c r="V499" s="393">
        <v>1</v>
      </c>
      <c r="W499" s="36">
        <v>0.42939860000000002</v>
      </c>
      <c r="X499" s="36">
        <v>0.57786999999999999</v>
      </c>
      <c r="Y499" s="36">
        <v>0.64076100000000002</v>
      </c>
      <c r="Z499" s="36">
        <v>0.65692669999999997</v>
      </c>
      <c r="AA499" s="36">
        <v>0.68042709999999995</v>
      </c>
      <c r="AB499" s="393">
        <v>1</v>
      </c>
    </row>
    <row r="500" spans="2:28" ht="0.5" customHeight="1">
      <c r="B500" s="9" t="s">
        <v>52</v>
      </c>
      <c r="C500" s="9" t="str">
        <f t="shared" ref="C500:C524" si="64">CONCATENATE(B500,D500)</f>
        <v>Mexico31</v>
      </c>
      <c r="D500" s="9">
        <v>31</v>
      </c>
      <c r="E500" s="36">
        <v>0.3710985</v>
      </c>
      <c r="F500" s="36">
        <v>0.76759770000000005</v>
      </c>
      <c r="G500" s="36">
        <v>0.87338629999999995</v>
      </c>
      <c r="H500" s="36">
        <v>0.90711589999999998</v>
      </c>
      <c r="I500" s="36">
        <v>0.94231880000000001</v>
      </c>
      <c r="J500" s="393">
        <v>1</v>
      </c>
      <c r="K500" s="36">
        <v>0.59205149999999995</v>
      </c>
      <c r="L500" s="36">
        <v>0.80426679999999995</v>
      </c>
      <c r="M500" s="36">
        <v>0.88644020000000001</v>
      </c>
      <c r="N500" s="36">
        <v>0.93956600000000001</v>
      </c>
      <c r="O500" s="36">
        <v>0.97781600000000002</v>
      </c>
      <c r="P500" s="393">
        <v>1</v>
      </c>
      <c r="Q500" s="36">
        <v>0.1048202</v>
      </c>
      <c r="R500" s="36">
        <v>0.26690920000000001</v>
      </c>
      <c r="S500" s="36">
        <v>0.36553970000000002</v>
      </c>
      <c r="T500" s="36">
        <v>0.37435869999999999</v>
      </c>
      <c r="U500" s="36">
        <v>0.38225789999999998</v>
      </c>
      <c r="V500" s="393">
        <v>1</v>
      </c>
      <c r="W500" s="36">
        <v>0.43127090000000001</v>
      </c>
      <c r="X500" s="36">
        <v>0.57563869999999995</v>
      </c>
      <c r="Y500" s="36">
        <v>0.64091180000000003</v>
      </c>
      <c r="Z500" s="36">
        <v>0.65811540000000002</v>
      </c>
      <c r="AA500" s="36">
        <v>0.67991009999999996</v>
      </c>
      <c r="AB500" s="393">
        <v>1</v>
      </c>
    </row>
    <row r="501" spans="2:28" ht="0.5" customHeight="1">
      <c r="B501" s="9" t="s">
        <v>52</v>
      </c>
      <c r="C501" s="9" t="str">
        <f t="shared" si="64"/>
        <v>Mexico32</v>
      </c>
      <c r="D501" s="9">
        <v>32</v>
      </c>
      <c r="E501" s="36">
        <v>0.36744779999999999</v>
      </c>
      <c r="F501" s="36">
        <v>0.75603900000000002</v>
      </c>
      <c r="G501" s="36">
        <v>0.87069399999999997</v>
      </c>
      <c r="H501" s="36">
        <v>0.90772640000000004</v>
      </c>
      <c r="I501" s="36">
        <v>0.9404922</v>
      </c>
      <c r="J501" s="393">
        <v>1</v>
      </c>
      <c r="K501" s="36">
        <v>0.59567309999999996</v>
      </c>
      <c r="L501" s="36">
        <v>0.80153450000000004</v>
      </c>
      <c r="M501" s="36">
        <v>0.88849710000000004</v>
      </c>
      <c r="N501" s="36">
        <v>0.94983859999999998</v>
      </c>
      <c r="O501" s="36">
        <v>0.98185429999999996</v>
      </c>
      <c r="P501" s="393">
        <v>1</v>
      </c>
      <c r="Q501" s="36">
        <v>0.10616970000000001</v>
      </c>
      <c r="R501" s="36">
        <v>0.27322079999999999</v>
      </c>
      <c r="S501" s="36">
        <v>0.38051810000000003</v>
      </c>
      <c r="T501" s="36">
        <v>0.39091379999999998</v>
      </c>
      <c r="U501" s="36">
        <v>0.39814490000000002</v>
      </c>
      <c r="V501" s="393">
        <v>1</v>
      </c>
      <c r="W501" s="36">
        <v>0.43385370000000001</v>
      </c>
      <c r="X501" s="36">
        <v>0.56816420000000001</v>
      </c>
      <c r="Y501" s="36">
        <v>0.63829619999999998</v>
      </c>
      <c r="Z501" s="36">
        <v>0.65735489999999996</v>
      </c>
      <c r="AA501" s="36">
        <v>0.67625170000000001</v>
      </c>
      <c r="AB501" s="393">
        <v>1</v>
      </c>
    </row>
    <row r="502" spans="2:28" ht="0.5" customHeight="1">
      <c r="B502" s="9" t="s">
        <v>52</v>
      </c>
      <c r="C502" s="9" t="str">
        <f t="shared" si="64"/>
        <v>Mexico33</v>
      </c>
      <c r="D502" s="9">
        <v>33</v>
      </c>
      <c r="E502" s="36">
        <v>0.36699599999999999</v>
      </c>
      <c r="F502" s="36">
        <v>0.75152249999999998</v>
      </c>
      <c r="G502" s="36">
        <v>0.87048020000000004</v>
      </c>
      <c r="H502" s="36">
        <v>0.90910449999999998</v>
      </c>
      <c r="I502" s="36">
        <v>0.94103709999999996</v>
      </c>
      <c r="J502" s="393">
        <v>1</v>
      </c>
      <c r="K502" s="36">
        <v>0.59512410000000004</v>
      </c>
      <c r="L502" s="36">
        <v>0.79766649999999995</v>
      </c>
      <c r="M502" s="36">
        <v>0.88649829999999996</v>
      </c>
      <c r="N502" s="36">
        <v>0.95156430000000003</v>
      </c>
      <c r="O502" s="36">
        <v>0.98107149999999999</v>
      </c>
      <c r="P502" s="393">
        <v>1</v>
      </c>
      <c r="Q502" s="36">
        <v>0.1068655</v>
      </c>
      <c r="R502" s="36">
        <v>0.27569490000000002</v>
      </c>
      <c r="S502" s="36">
        <v>0.38718520000000001</v>
      </c>
      <c r="T502" s="36">
        <v>0.3984589</v>
      </c>
      <c r="U502" s="36">
        <v>0.40554230000000002</v>
      </c>
      <c r="V502" s="393">
        <v>1</v>
      </c>
      <c r="W502" s="36">
        <v>0.43768859999999998</v>
      </c>
      <c r="X502" s="36">
        <v>0.56874970000000002</v>
      </c>
      <c r="Y502" s="36">
        <v>0.64159739999999998</v>
      </c>
      <c r="Z502" s="36">
        <v>0.66144789999999998</v>
      </c>
      <c r="AA502" s="36">
        <v>0.67870019999999998</v>
      </c>
      <c r="AB502" s="393">
        <v>1</v>
      </c>
    </row>
    <row r="503" spans="2:28" ht="0.5" customHeight="1">
      <c r="B503" s="9" t="s">
        <v>52</v>
      </c>
      <c r="C503" s="9" t="str">
        <f t="shared" si="64"/>
        <v>Mexico34</v>
      </c>
      <c r="D503" s="9">
        <v>34</v>
      </c>
      <c r="E503" s="36">
        <v>0.36547249999999998</v>
      </c>
      <c r="F503" s="36">
        <v>0.74294800000000005</v>
      </c>
      <c r="G503" s="36">
        <v>0.86998980000000004</v>
      </c>
      <c r="H503" s="36">
        <v>0.91191650000000002</v>
      </c>
      <c r="I503" s="36">
        <v>0.94164840000000005</v>
      </c>
      <c r="J503" s="393">
        <v>1</v>
      </c>
      <c r="K503" s="36">
        <v>0.59886220000000001</v>
      </c>
      <c r="L503" s="36">
        <v>0.79701730000000004</v>
      </c>
      <c r="M503" s="36">
        <v>0.89063460000000005</v>
      </c>
      <c r="N503" s="36">
        <v>0.96102770000000004</v>
      </c>
      <c r="O503" s="36">
        <v>0.98686030000000002</v>
      </c>
      <c r="P503" s="393">
        <v>1</v>
      </c>
      <c r="Q503" s="36">
        <v>0.10790520000000001</v>
      </c>
      <c r="R503" s="36">
        <v>0.27811599999999997</v>
      </c>
      <c r="S503" s="36">
        <v>0.3980532</v>
      </c>
      <c r="T503" s="36">
        <v>0.41090149999999998</v>
      </c>
      <c r="U503" s="36">
        <v>0.4180218</v>
      </c>
      <c r="V503" s="393">
        <v>1</v>
      </c>
      <c r="W503" s="36">
        <v>0.44149090000000002</v>
      </c>
      <c r="X503" s="36">
        <v>0.57027669999999997</v>
      </c>
      <c r="Y503" s="36">
        <v>0.6471673</v>
      </c>
      <c r="Z503" s="36">
        <v>0.66861470000000001</v>
      </c>
      <c r="AA503" s="36">
        <v>0.68275010000000003</v>
      </c>
      <c r="AB503" s="393">
        <v>1</v>
      </c>
    </row>
    <row r="504" spans="2:28" ht="0.5" customHeight="1">
      <c r="B504" s="9" t="s">
        <v>52</v>
      </c>
      <c r="C504" s="9" t="str">
        <f t="shared" si="64"/>
        <v>Mexico35</v>
      </c>
      <c r="D504" s="9">
        <v>35</v>
      </c>
      <c r="E504" s="36">
        <v>0.36504900000000001</v>
      </c>
      <c r="F504" s="36">
        <v>0.73925540000000001</v>
      </c>
      <c r="G504" s="36">
        <v>0.86993129999999996</v>
      </c>
      <c r="H504" s="36">
        <v>0.91360989999999997</v>
      </c>
      <c r="I504" s="36">
        <v>0.9423686</v>
      </c>
      <c r="J504" s="393">
        <v>1</v>
      </c>
      <c r="K504" s="36">
        <v>0.59523150000000002</v>
      </c>
      <c r="L504" s="36">
        <v>0.78968899999999997</v>
      </c>
      <c r="M504" s="36">
        <v>0.88633150000000005</v>
      </c>
      <c r="N504" s="36">
        <v>0.95924290000000001</v>
      </c>
      <c r="O504" s="36">
        <v>0.98335119999999998</v>
      </c>
      <c r="P504" s="393">
        <v>1</v>
      </c>
      <c r="Q504" s="36">
        <v>0.108364</v>
      </c>
      <c r="R504" s="36">
        <v>0.2778987</v>
      </c>
      <c r="S504" s="36">
        <v>0.40157209999999999</v>
      </c>
      <c r="T504" s="36">
        <v>0.41518430000000001</v>
      </c>
      <c r="U504" s="36">
        <v>0.42219240000000002</v>
      </c>
      <c r="V504" s="393">
        <v>1</v>
      </c>
      <c r="W504" s="36">
        <v>0.44097550000000002</v>
      </c>
      <c r="X504" s="36">
        <v>0.56803939999999997</v>
      </c>
      <c r="Y504" s="36">
        <v>0.64649840000000003</v>
      </c>
      <c r="Z504" s="36">
        <v>0.66863039999999996</v>
      </c>
      <c r="AA504" s="36">
        <v>0.68139950000000005</v>
      </c>
      <c r="AB504" s="393">
        <v>1</v>
      </c>
    </row>
    <row r="505" spans="2:28" ht="0.5" customHeight="1">
      <c r="B505" s="9" t="s">
        <v>52</v>
      </c>
      <c r="C505" s="9" t="str">
        <f t="shared" si="64"/>
        <v>Mexico36</v>
      </c>
      <c r="D505" s="9">
        <v>36</v>
      </c>
      <c r="E505" s="36">
        <v>0.36376120000000001</v>
      </c>
      <c r="F505" s="36">
        <v>0.73533210000000004</v>
      </c>
      <c r="G505" s="36">
        <v>0.86955210000000005</v>
      </c>
      <c r="H505" s="36">
        <v>0.91490939999999998</v>
      </c>
      <c r="I505" s="36">
        <v>0.94274179999999996</v>
      </c>
      <c r="J505" s="393">
        <v>1</v>
      </c>
      <c r="K505" s="36">
        <v>0.59289780000000003</v>
      </c>
      <c r="L505" s="36">
        <v>0.78260609999999997</v>
      </c>
      <c r="M505" s="36">
        <v>0.88191779999999997</v>
      </c>
      <c r="N505" s="36">
        <v>0.95683059999999998</v>
      </c>
      <c r="O505" s="36">
        <v>0.98014970000000001</v>
      </c>
      <c r="P505" s="393">
        <v>1</v>
      </c>
      <c r="Q505" s="36">
        <v>0.1085618</v>
      </c>
      <c r="R505" s="36">
        <v>0.27793449999999997</v>
      </c>
      <c r="S505" s="36">
        <v>0.40474579999999999</v>
      </c>
      <c r="T505" s="36">
        <v>0.41908289999999998</v>
      </c>
      <c r="U505" s="36">
        <v>0.42600149999999998</v>
      </c>
      <c r="V505" s="393">
        <v>1</v>
      </c>
      <c r="W505" s="36">
        <v>0.43637569999999998</v>
      </c>
      <c r="X505" s="36">
        <v>0.56198570000000003</v>
      </c>
      <c r="Y505" s="36">
        <v>0.64150399999999996</v>
      </c>
      <c r="Z505" s="36">
        <v>0.66422930000000002</v>
      </c>
      <c r="AA505" s="36">
        <v>0.67647259999999998</v>
      </c>
      <c r="AB505" s="393">
        <v>1</v>
      </c>
    </row>
    <row r="506" spans="2:28" ht="0.5" customHeight="1">
      <c r="B506" s="9" t="s">
        <v>52</v>
      </c>
      <c r="C506" s="9" t="str">
        <f t="shared" si="64"/>
        <v>Mexico37</v>
      </c>
      <c r="D506" s="9">
        <v>37</v>
      </c>
      <c r="E506" s="36">
        <v>0.35714449999999998</v>
      </c>
      <c r="F506" s="36">
        <v>0.72262850000000001</v>
      </c>
      <c r="G506" s="36">
        <v>0.86343579999999998</v>
      </c>
      <c r="H506" s="36">
        <v>0.91161340000000002</v>
      </c>
      <c r="I506" s="36">
        <v>0.93949890000000003</v>
      </c>
      <c r="J506" s="393">
        <v>1</v>
      </c>
      <c r="K506" s="36">
        <v>0.59507390000000004</v>
      </c>
      <c r="L506" s="36">
        <v>0.778671</v>
      </c>
      <c r="M506" s="36">
        <v>0.88246979999999997</v>
      </c>
      <c r="N506" s="36">
        <v>0.96179999999999999</v>
      </c>
      <c r="O506" s="36">
        <v>0.98456359999999998</v>
      </c>
      <c r="P506" s="393">
        <v>1</v>
      </c>
      <c r="Q506" s="36">
        <v>0.1076256</v>
      </c>
      <c r="R506" s="36">
        <v>0.27596169999999998</v>
      </c>
      <c r="S506" s="36">
        <v>0.40907070000000001</v>
      </c>
      <c r="T506" s="36">
        <v>0.42479430000000001</v>
      </c>
      <c r="U506" s="36">
        <v>0.43165930000000002</v>
      </c>
      <c r="V506" s="393">
        <v>1</v>
      </c>
      <c r="W506" s="36">
        <v>0.44911909999999999</v>
      </c>
      <c r="X506" s="36">
        <v>0.57270030000000005</v>
      </c>
      <c r="Y506" s="36">
        <v>0.65439979999999998</v>
      </c>
      <c r="Z506" s="36">
        <v>0.67817130000000003</v>
      </c>
      <c r="AA506" s="36">
        <v>0.68902280000000005</v>
      </c>
      <c r="AB506" s="393">
        <v>1</v>
      </c>
    </row>
    <row r="507" spans="2:28" ht="0.5" customHeight="1">
      <c r="B507" s="9" t="s">
        <v>52</v>
      </c>
      <c r="C507" s="9" t="str">
        <f t="shared" si="64"/>
        <v>Mexico38</v>
      </c>
      <c r="D507" s="9">
        <v>38</v>
      </c>
      <c r="E507" s="36">
        <v>0.3536704</v>
      </c>
      <c r="F507" s="36">
        <v>0.71556560000000002</v>
      </c>
      <c r="G507" s="36">
        <v>0.85963029999999996</v>
      </c>
      <c r="H507" s="36">
        <v>0.9093019</v>
      </c>
      <c r="I507" s="36">
        <v>0.93734510000000004</v>
      </c>
      <c r="J507" s="393">
        <v>1</v>
      </c>
      <c r="K507" s="36">
        <v>0.59747879999999998</v>
      </c>
      <c r="L507" s="36">
        <v>0.77833160000000001</v>
      </c>
      <c r="M507" s="36">
        <v>0.88421329999999998</v>
      </c>
      <c r="N507" s="36">
        <v>0.96519440000000001</v>
      </c>
      <c r="O507" s="36">
        <v>0.98834250000000001</v>
      </c>
      <c r="P507" s="393">
        <v>1</v>
      </c>
      <c r="Q507" s="36">
        <v>0.1076942</v>
      </c>
      <c r="R507" s="36">
        <v>0.27671469999999998</v>
      </c>
      <c r="S507" s="36">
        <v>0.41239409999999999</v>
      </c>
      <c r="T507" s="36">
        <v>0.42884169999999999</v>
      </c>
      <c r="U507" s="36">
        <v>0.43558269999999999</v>
      </c>
      <c r="V507" s="393">
        <v>1</v>
      </c>
      <c r="W507" s="36">
        <v>0.4599355</v>
      </c>
      <c r="X507" s="36">
        <v>0.58164210000000005</v>
      </c>
      <c r="Y507" s="36">
        <v>0.66412000000000004</v>
      </c>
      <c r="Z507" s="36">
        <v>0.68851669999999998</v>
      </c>
      <c r="AA507" s="36">
        <v>0.69859629999999995</v>
      </c>
      <c r="AB507" s="393">
        <v>1</v>
      </c>
    </row>
    <row r="508" spans="2:28" ht="0.5" customHeight="1">
      <c r="B508" s="9" t="s">
        <v>52</v>
      </c>
      <c r="C508" s="9" t="str">
        <f t="shared" si="64"/>
        <v>Mexico39</v>
      </c>
      <c r="D508" s="9">
        <v>39</v>
      </c>
      <c r="E508" s="36">
        <v>0.35117900000000002</v>
      </c>
      <c r="F508" s="36">
        <v>0.70485180000000003</v>
      </c>
      <c r="G508" s="36">
        <v>0.85559929999999995</v>
      </c>
      <c r="H508" s="36">
        <v>0.90806390000000003</v>
      </c>
      <c r="I508" s="36">
        <v>0.93660189999999999</v>
      </c>
      <c r="J508" s="393">
        <v>1</v>
      </c>
      <c r="K508" s="36">
        <v>0.58983390000000002</v>
      </c>
      <c r="L508" s="36">
        <v>0.76563579999999998</v>
      </c>
      <c r="M508" s="36">
        <v>0.87474730000000001</v>
      </c>
      <c r="N508" s="36">
        <v>0.95748049999999996</v>
      </c>
      <c r="O508" s="36">
        <v>0.98181450000000003</v>
      </c>
      <c r="P508" s="393">
        <v>1</v>
      </c>
      <c r="Q508" s="36">
        <v>0.1068481</v>
      </c>
      <c r="R508" s="36">
        <v>0.27428940000000002</v>
      </c>
      <c r="S508" s="36">
        <v>0.41398200000000002</v>
      </c>
      <c r="T508" s="36">
        <v>0.431755</v>
      </c>
      <c r="U508" s="36">
        <v>0.43799310000000002</v>
      </c>
      <c r="V508" s="393">
        <v>1</v>
      </c>
      <c r="W508" s="36">
        <v>0.48080420000000001</v>
      </c>
      <c r="X508" s="36">
        <v>0.59778310000000001</v>
      </c>
      <c r="Y508" s="36">
        <v>0.68159219999999998</v>
      </c>
      <c r="Z508" s="36">
        <v>0.70749039999999996</v>
      </c>
      <c r="AA508" s="36">
        <v>0.71652039999999995</v>
      </c>
      <c r="AB508" s="393">
        <v>1</v>
      </c>
    </row>
    <row r="509" spans="2:28" ht="0.5" customHeight="1">
      <c r="B509" s="9" t="s">
        <v>52</v>
      </c>
      <c r="C509" s="9" t="str">
        <f t="shared" si="64"/>
        <v>Mexico40</v>
      </c>
      <c r="D509" s="9">
        <v>40</v>
      </c>
      <c r="E509" s="36">
        <v>0.35010340000000001</v>
      </c>
      <c r="F509" s="36">
        <v>0.69949819999999996</v>
      </c>
      <c r="G509" s="36">
        <v>0.85403220000000002</v>
      </c>
      <c r="H509" s="36">
        <v>0.90771749999999995</v>
      </c>
      <c r="I509" s="36">
        <v>0.93650909999999998</v>
      </c>
      <c r="J509" s="393">
        <v>1</v>
      </c>
      <c r="K509" s="36">
        <v>0.5867907</v>
      </c>
      <c r="L509" s="36">
        <v>0.76000210000000001</v>
      </c>
      <c r="M509" s="36">
        <v>0.87052390000000002</v>
      </c>
      <c r="N509" s="36">
        <v>0.95406500000000005</v>
      </c>
      <c r="O509" s="36">
        <v>0.97878580000000004</v>
      </c>
      <c r="P509" s="393">
        <v>1</v>
      </c>
      <c r="Q509" s="36">
        <v>0.10593030000000001</v>
      </c>
      <c r="R509" s="36">
        <v>0.27213470000000001</v>
      </c>
      <c r="S509" s="36">
        <v>0.4132596</v>
      </c>
      <c r="T509" s="36">
        <v>0.43167830000000001</v>
      </c>
      <c r="U509" s="36">
        <v>0.43771339999999997</v>
      </c>
      <c r="V509" s="393">
        <v>1</v>
      </c>
      <c r="W509" s="36">
        <v>0.48272029999999999</v>
      </c>
      <c r="X509" s="36">
        <v>0.5987981</v>
      </c>
      <c r="Y509" s="36">
        <v>0.68296319999999999</v>
      </c>
      <c r="Z509" s="36">
        <v>0.70972619999999997</v>
      </c>
      <c r="AA509" s="36">
        <v>0.71865250000000003</v>
      </c>
      <c r="AB509" s="393">
        <v>1</v>
      </c>
    </row>
    <row r="510" spans="2:28" ht="0.5" customHeight="1">
      <c r="B510" s="9" t="s">
        <v>52</v>
      </c>
      <c r="C510" s="9" t="str">
        <f t="shared" si="64"/>
        <v>Mexico41</v>
      </c>
      <c r="D510" s="9">
        <v>41</v>
      </c>
      <c r="E510" s="36">
        <v>0.34876390000000002</v>
      </c>
      <c r="F510" s="36">
        <v>0.69408689999999995</v>
      </c>
      <c r="G510" s="36">
        <v>0.85269589999999995</v>
      </c>
      <c r="H510" s="36">
        <v>0.90771690000000005</v>
      </c>
      <c r="I510" s="36">
        <v>0.93693479999999996</v>
      </c>
      <c r="J510" s="393">
        <v>1</v>
      </c>
      <c r="K510" s="36">
        <v>0.58823000000000003</v>
      </c>
      <c r="L510" s="36">
        <v>0.75888239999999996</v>
      </c>
      <c r="M510" s="36">
        <v>0.87062600000000001</v>
      </c>
      <c r="N510" s="36">
        <v>0.955067</v>
      </c>
      <c r="O510" s="36">
        <v>0.97948279999999999</v>
      </c>
      <c r="P510" s="393">
        <v>1</v>
      </c>
      <c r="Q510" s="36">
        <v>0.1047858</v>
      </c>
      <c r="R510" s="36">
        <v>0.2693738</v>
      </c>
      <c r="S510" s="36">
        <v>0.4119911</v>
      </c>
      <c r="T510" s="36">
        <v>0.43090070000000003</v>
      </c>
      <c r="U510" s="36">
        <v>0.43661689999999997</v>
      </c>
      <c r="V510" s="393">
        <v>1</v>
      </c>
      <c r="W510" s="36">
        <v>0.48472680000000001</v>
      </c>
      <c r="X510" s="36">
        <v>0.60066390000000003</v>
      </c>
      <c r="Y510" s="36">
        <v>0.68477509999999997</v>
      </c>
      <c r="Z510" s="36">
        <v>0.71239220000000003</v>
      </c>
      <c r="AA510" s="36">
        <v>0.72107010000000005</v>
      </c>
      <c r="AB510" s="393">
        <v>1</v>
      </c>
    </row>
    <row r="511" spans="2:28" ht="0.5" customHeight="1">
      <c r="B511" s="9" t="s">
        <v>52</v>
      </c>
      <c r="C511" s="9" t="str">
        <f t="shared" si="64"/>
        <v>Mexico42</v>
      </c>
      <c r="D511" s="9">
        <v>42</v>
      </c>
      <c r="E511" s="36">
        <v>0.34554600000000002</v>
      </c>
      <c r="F511" s="36">
        <v>0.6826333</v>
      </c>
      <c r="G511" s="36">
        <v>0.84923300000000002</v>
      </c>
      <c r="H511" s="36">
        <v>0.90696869999999996</v>
      </c>
      <c r="I511" s="36">
        <v>0.93718000000000001</v>
      </c>
      <c r="J511" s="393">
        <v>1</v>
      </c>
      <c r="K511" s="36">
        <v>0.59635939999999998</v>
      </c>
      <c r="L511" s="36">
        <v>0.76448119999999997</v>
      </c>
      <c r="M511" s="36">
        <v>0.87719119999999995</v>
      </c>
      <c r="N511" s="36">
        <v>0.96458639999999995</v>
      </c>
      <c r="O511" s="36">
        <v>0.98826460000000005</v>
      </c>
      <c r="P511" s="393">
        <v>1</v>
      </c>
      <c r="Q511" s="36">
        <v>0.1015143</v>
      </c>
      <c r="R511" s="36">
        <v>0.2617157</v>
      </c>
      <c r="S511" s="36">
        <v>0.40610299999999999</v>
      </c>
      <c r="T511" s="36">
        <v>0.42603839999999998</v>
      </c>
      <c r="U511" s="36">
        <v>0.43098530000000002</v>
      </c>
      <c r="V511" s="393">
        <v>1</v>
      </c>
      <c r="W511" s="36">
        <v>0.48570930000000001</v>
      </c>
      <c r="X511" s="36">
        <v>0.59990670000000001</v>
      </c>
      <c r="Y511" s="36">
        <v>0.68373729999999999</v>
      </c>
      <c r="Z511" s="36">
        <v>0.71273949999999997</v>
      </c>
      <c r="AA511" s="36">
        <v>0.72256699999999996</v>
      </c>
      <c r="AB511" s="393">
        <v>1</v>
      </c>
    </row>
    <row r="512" spans="2:28" ht="0.5" customHeight="1">
      <c r="B512" s="9" t="s">
        <v>52</v>
      </c>
      <c r="C512" s="9" t="str">
        <f t="shared" si="64"/>
        <v>Mexico43</v>
      </c>
      <c r="D512" s="9">
        <v>43</v>
      </c>
      <c r="E512" s="36">
        <v>0.34125329999999998</v>
      </c>
      <c r="F512" s="36">
        <v>0.67425520000000005</v>
      </c>
      <c r="G512" s="36">
        <v>0.84471799999999997</v>
      </c>
      <c r="H512" s="36">
        <v>0.90350889999999995</v>
      </c>
      <c r="I512" s="36">
        <v>0.93403709999999995</v>
      </c>
      <c r="J512" s="393">
        <v>1</v>
      </c>
      <c r="K512" s="36">
        <v>0.59732960000000002</v>
      </c>
      <c r="L512" s="36">
        <v>0.76351639999999998</v>
      </c>
      <c r="M512" s="36">
        <v>0.87703900000000001</v>
      </c>
      <c r="N512" s="36">
        <v>0.96623479999999995</v>
      </c>
      <c r="O512" s="36">
        <v>0.98886929999999995</v>
      </c>
      <c r="P512" s="393">
        <v>1</v>
      </c>
      <c r="Q512" s="36">
        <v>9.9755300000000005E-2</v>
      </c>
      <c r="R512" s="36">
        <v>0.25752580000000003</v>
      </c>
      <c r="S512" s="36">
        <v>0.40316980000000002</v>
      </c>
      <c r="T512" s="36">
        <v>0.4235913</v>
      </c>
      <c r="U512" s="36">
        <v>0.42802669999999998</v>
      </c>
      <c r="V512" s="393">
        <v>1</v>
      </c>
      <c r="W512" s="36">
        <v>0.48749029999999999</v>
      </c>
      <c r="X512" s="36">
        <v>0.60079229999999995</v>
      </c>
      <c r="Y512" s="36">
        <v>0.6849073</v>
      </c>
      <c r="Z512" s="36">
        <v>0.71445579999999997</v>
      </c>
      <c r="AA512" s="36">
        <v>0.72454459999999998</v>
      </c>
      <c r="AB512" s="393">
        <v>1</v>
      </c>
    </row>
    <row r="513" spans="2:28" ht="0.5" customHeight="1">
      <c r="B513" s="9" t="s">
        <v>52</v>
      </c>
      <c r="C513" s="9" t="str">
        <f t="shared" si="64"/>
        <v>Mexico44</v>
      </c>
      <c r="D513" s="9">
        <v>44</v>
      </c>
      <c r="E513" s="36">
        <v>0.33009450000000001</v>
      </c>
      <c r="F513" s="36">
        <v>0.65520230000000002</v>
      </c>
      <c r="G513" s="36">
        <v>0.83293680000000003</v>
      </c>
      <c r="H513" s="36">
        <v>0.89328560000000001</v>
      </c>
      <c r="I513" s="36">
        <v>0.9241045</v>
      </c>
      <c r="J513" s="393">
        <v>1</v>
      </c>
      <c r="K513" s="36">
        <v>0.5914568</v>
      </c>
      <c r="L513" s="36">
        <v>0.75284180000000001</v>
      </c>
      <c r="M513" s="36">
        <v>0.86733930000000004</v>
      </c>
      <c r="N513" s="36">
        <v>0.95848549999999999</v>
      </c>
      <c r="O513" s="36">
        <v>0.97922779999999998</v>
      </c>
      <c r="P513" s="393">
        <v>1</v>
      </c>
      <c r="Q513" s="36">
        <v>9.5628400000000002E-2</v>
      </c>
      <c r="R513" s="36">
        <v>0.24879299999999999</v>
      </c>
      <c r="S513" s="36">
        <v>0.39763470000000001</v>
      </c>
      <c r="T513" s="36">
        <v>0.41878520000000002</v>
      </c>
      <c r="U513" s="36">
        <v>0.42241190000000001</v>
      </c>
      <c r="V513" s="393">
        <v>1</v>
      </c>
      <c r="W513" s="36">
        <v>0.4865912</v>
      </c>
      <c r="X513" s="36">
        <v>0.59843880000000005</v>
      </c>
      <c r="Y513" s="36">
        <v>0.68222950000000004</v>
      </c>
      <c r="Z513" s="36">
        <v>0.71270449999999996</v>
      </c>
      <c r="AA513" s="36">
        <v>0.7218928</v>
      </c>
      <c r="AB513" s="393">
        <v>1</v>
      </c>
    </row>
    <row r="514" spans="2:28" ht="0.5" customHeight="1">
      <c r="B514" s="9" t="s">
        <v>52</v>
      </c>
      <c r="C514" s="9" t="str">
        <f t="shared" si="64"/>
        <v>Mexico45</v>
      </c>
      <c r="D514" s="9">
        <v>45</v>
      </c>
      <c r="E514" s="36">
        <v>0.32737830000000001</v>
      </c>
      <c r="F514" s="36">
        <v>0.64897609999999994</v>
      </c>
      <c r="G514" s="36">
        <v>0.83009460000000002</v>
      </c>
      <c r="H514" s="36">
        <v>0.89112899999999995</v>
      </c>
      <c r="I514" s="36">
        <v>0.92206790000000005</v>
      </c>
      <c r="J514" s="393">
        <v>1</v>
      </c>
      <c r="K514" s="36">
        <v>0.59072119999999995</v>
      </c>
      <c r="L514" s="36">
        <v>0.75105460000000002</v>
      </c>
      <c r="M514" s="36">
        <v>0.86631800000000003</v>
      </c>
      <c r="N514" s="36">
        <v>0.95853140000000003</v>
      </c>
      <c r="O514" s="36">
        <v>0.97900969999999998</v>
      </c>
      <c r="P514" s="393">
        <v>1</v>
      </c>
      <c r="Q514" s="36">
        <v>9.2766799999999996E-2</v>
      </c>
      <c r="R514" s="36">
        <v>0.24223639999999999</v>
      </c>
      <c r="S514" s="36">
        <v>0.39231919999999998</v>
      </c>
      <c r="T514" s="36">
        <v>0.41371780000000002</v>
      </c>
      <c r="U514" s="36">
        <v>0.41707689999999997</v>
      </c>
      <c r="V514" s="393">
        <v>1</v>
      </c>
      <c r="W514" s="36">
        <v>0.48371570000000003</v>
      </c>
      <c r="X514" s="36">
        <v>0.59467320000000001</v>
      </c>
      <c r="Y514" s="36">
        <v>0.67794710000000002</v>
      </c>
      <c r="Z514" s="36">
        <v>0.70855349999999995</v>
      </c>
      <c r="AA514" s="36">
        <v>0.7172461</v>
      </c>
      <c r="AB514" s="393">
        <v>1</v>
      </c>
    </row>
    <row r="515" spans="2:28" ht="0.5" customHeight="1">
      <c r="B515" s="9" t="s">
        <v>52</v>
      </c>
      <c r="C515" s="9" t="str">
        <f t="shared" si="64"/>
        <v>Mexico46</v>
      </c>
      <c r="D515" s="9">
        <v>46</v>
      </c>
      <c r="E515" s="36">
        <v>0.32497029999999999</v>
      </c>
      <c r="F515" s="36">
        <v>0.6434742</v>
      </c>
      <c r="G515" s="36">
        <v>0.82777369999999995</v>
      </c>
      <c r="H515" s="36">
        <v>0.88953409999999999</v>
      </c>
      <c r="I515" s="36">
        <v>0.92108140000000005</v>
      </c>
      <c r="J515" s="393">
        <v>1</v>
      </c>
      <c r="K515" s="36">
        <v>0.59092960000000005</v>
      </c>
      <c r="L515" s="36">
        <v>0.74948539999999997</v>
      </c>
      <c r="M515" s="36">
        <v>0.86583619999999994</v>
      </c>
      <c r="N515" s="36">
        <v>0.95908309999999997</v>
      </c>
      <c r="O515" s="36">
        <v>0.9797458</v>
      </c>
      <c r="P515" s="393">
        <v>1</v>
      </c>
      <c r="Q515" s="36">
        <v>9.0165700000000001E-2</v>
      </c>
      <c r="R515" s="36">
        <v>0.2358383</v>
      </c>
      <c r="S515" s="36">
        <v>0.3869554</v>
      </c>
      <c r="T515" s="36">
        <v>0.4084721</v>
      </c>
      <c r="U515" s="36">
        <v>0.41171560000000001</v>
      </c>
      <c r="V515" s="393">
        <v>1</v>
      </c>
      <c r="W515" s="36">
        <v>0.47881220000000002</v>
      </c>
      <c r="X515" s="36">
        <v>0.58846279999999995</v>
      </c>
      <c r="Y515" s="36">
        <v>0.67055200000000004</v>
      </c>
      <c r="Z515" s="36">
        <v>0.70112850000000004</v>
      </c>
      <c r="AA515" s="36">
        <v>0.70964839999999996</v>
      </c>
      <c r="AB515" s="393">
        <v>1</v>
      </c>
    </row>
    <row r="516" spans="2:28" ht="0.5" customHeight="1">
      <c r="B516" s="9" t="s">
        <v>52</v>
      </c>
      <c r="C516" s="9" t="str">
        <f t="shared" si="64"/>
        <v>Mexico47</v>
      </c>
      <c r="D516" s="9">
        <v>47</v>
      </c>
      <c r="E516" s="36">
        <v>0.31949119999999998</v>
      </c>
      <c r="F516" s="36">
        <v>0.63139049999999997</v>
      </c>
      <c r="G516" s="36">
        <v>0.82169340000000002</v>
      </c>
      <c r="H516" s="36">
        <v>0.88448990000000005</v>
      </c>
      <c r="I516" s="36">
        <v>0.91722550000000003</v>
      </c>
      <c r="J516" s="393">
        <v>1</v>
      </c>
      <c r="K516" s="36">
        <v>0.58857669999999995</v>
      </c>
      <c r="L516" s="36">
        <v>0.74318309999999999</v>
      </c>
      <c r="M516" s="36">
        <v>0.86149940000000003</v>
      </c>
      <c r="N516" s="36">
        <v>0.9567215</v>
      </c>
      <c r="O516" s="36">
        <v>0.97717319999999996</v>
      </c>
      <c r="P516" s="393">
        <v>1</v>
      </c>
      <c r="Q516" s="36">
        <v>8.4933400000000006E-2</v>
      </c>
      <c r="R516" s="36">
        <v>0.22494</v>
      </c>
      <c r="S516" s="36">
        <v>0.37771359999999998</v>
      </c>
      <c r="T516" s="36">
        <v>0.3995881</v>
      </c>
      <c r="U516" s="36">
        <v>0.4029163</v>
      </c>
      <c r="V516" s="393">
        <v>1</v>
      </c>
      <c r="W516" s="36">
        <v>0.4643214</v>
      </c>
      <c r="X516" s="36">
        <v>0.57140380000000002</v>
      </c>
      <c r="Y516" s="36">
        <v>0.65174969999999999</v>
      </c>
      <c r="Z516" s="36">
        <v>0.68194429999999995</v>
      </c>
      <c r="AA516" s="36">
        <v>0.68982259999999995</v>
      </c>
      <c r="AB516" s="393">
        <v>1</v>
      </c>
    </row>
    <row r="517" spans="2:28" ht="0.5" customHeight="1">
      <c r="B517" s="9" t="s">
        <v>52</v>
      </c>
      <c r="C517" s="9" t="str">
        <f t="shared" si="64"/>
        <v>Mexico48</v>
      </c>
      <c r="D517" s="9">
        <v>48</v>
      </c>
      <c r="E517" s="36">
        <v>0.31690380000000001</v>
      </c>
      <c r="F517" s="36">
        <v>0.62543890000000002</v>
      </c>
      <c r="G517" s="36">
        <v>0.81827369999999999</v>
      </c>
      <c r="H517" s="36">
        <v>0.88145600000000002</v>
      </c>
      <c r="I517" s="36">
        <v>0.91461490000000001</v>
      </c>
      <c r="J517" s="393">
        <v>1</v>
      </c>
      <c r="K517" s="36">
        <v>0.58457669999999995</v>
      </c>
      <c r="L517" s="36">
        <v>0.73674419999999996</v>
      </c>
      <c r="M517" s="36">
        <v>0.85658310000000004</v>
      </c>
      <c r="N517" s="36">
        <v>0.95219240000000005</v>
      </c>
      <c r="O517" s="36">
        <v>0.97338899999999995</v>
      </c>
      <c r="P517" s="393">
        <v>1</v>
      </c>
      <c r="Q517" s="36">
        <v>8.2428000000000001E-2</v>
      </c>
      <c r="R517" s="36">
        <v>0.218635</v>
      </c>
      <c r="S517" s="36">
        <v>0.37180750000000001</v>
      </c>
      <c r="T517" s="36">
        <v>0.3938817</v>
      </c>
      <c r="U517" s="36">
        <v>0.39732679999999998</v>
      </c>
      <c r="V517" s="393">
        <v>1</v>
      </c>
      <c r="W517" s="36">
        <v>0.45427420000000002</v>
      </c>
      <c r="X517" s="36">
        <v>0.55846180000000001</v>
      </c>
      <c r="Y517" s="36">
        <v>0.6381694</v>
      </c>
      <c r="Z517" s="36">
        <v>0.66802139999999999</v>
      </c>
      <c r="AA517" s="36">
        <v>0.67602779999999996</v>
      </c>
      <c r="AB517" s="393">
        <v>1</v>
      </c>
    </row>
    <row r="518" spans="2:28" ht="0.5" customHeight="1">
      <c r="B518" s="9" t="s">
        <v>52</v>
      </c>
      <c r="C518" s="9" t="str">
        <f t="shared" si="64"/>
        <v>Mexico49</v>
      </c>
      <c r="D518" s="9">
        <v>49</v>
      </c>
      <c r="E518" s="36">
        <v>0.3122143</v>
      </c>
      <c r="F518" s="36">
        <v>0.61282970000000003</v>
      </c>
      <c r="G518" s="36">
        <v>0.81043200000000004</v>
      </c>
      <c r="H518" s="36">
        <v>0.8738243</v>
      </c>
      <c r="I518" s="36">
        <v>0.90884180000000003</v>
      </c>
      <c r="J518" s="393">
        <v>1</v>
      </c>
      <c r="K518" s="36">
        <v>0.57187069999999995</v>
      </c>
      <c r="L518" s="36">
        <v>0.71974119999999997</v>
      </c>
      <c r="M518" s="36">
        <v>0.84486300000000003</v>
      </c>
      <c r="N518" s="36">
        <v>0.94068779999999996</v>
      </c>
      <c r="O518" s="36">
        <v>0.96482120000000005</v>
      </c>
      <c r="P518" s="393">
        <v>1</v>
      </c>
      <c r="Q518" s="36">
        <v>7.7494099999999996E-2</v>
      </c>
      <c r="R518" s="36">
        <v>0.20676220000000001</v>
      </c>
      <c r="S518" s="36">
        <v>0.36042039999999997</v>
      </c>
      <c r="T518" s="36">
        <v>0.38266210000000001</v>
      </c>
      <c r="U518" s="36">
        <v>0.38612930000000001</v>
      </c>
      <c r="V518" s="393">
        <v>1</v>
      </c>
      <c r="W518" s="36">
        <v>0.42636819999999997</v>
      </c>
      <c r="X518" s="36">
        <v>0.52153490000000002</v>
      </c>
      <c r="Y518" s="36">
        <v>0.60069050000000002</v>
      </c>
      <c r="Z518" s="36">
        <v>0.62977870000000002</v>
      </c>
      <c r="AA518" s="36">
        <v>0.63725529999999997</v>
      </c>
      <c r="AB518" s="393">
        <v>1</v>
      </c>
    </row>
    <row r="519" spans="2:28" ht="0.5" customHeight="1">
      <c r="B519" s="9" t="s">
        <v>52</v>
      </c>
      <c r="C519" s="9" t="str">
        <f t="shared" si="64"/>
        <v>Mexico50</v>
      </c>
      <c r="D519" s="9">
        <v>50</v>
      </c>
      <c r="E519" s="36">
        <v>0.30935879999999999</v>
      </c>
      <c r="F519" s="36">
        <v>0.60502440000000002</v>
      </c>
      <c r="G519" s="36">
        <v>0.80488590000000004</v>
      </c>
      <c r="H519" s="36">
        <v>0.86855119999999997</v>
      </c>
      <c r="I519" s="36">
        <v>0.90480669999999996</v>
      </c>
      <c r="J519" s="393">
        <v>1</v>
      </c>
      <c r="K519" s="36">
        <v>0.56520289999999995</v>
      </c>
      <c r="L519" s="36">
        <v>0.71213879999999996</v>
      </c>
      <c r="M519" s="36">
        <v>0.84130609999999995</v>
      </c>
      <c r="N519" s="36">
        <v>0.93701900000000005</v>
      </c>
      <c r="O519" s="36">
        <v>0.9627213</v>
      </c>
      <c r="P519" s="393">
        <v>1</v>
      </c>
      <c r="Q519" s="36">
        <v>7.4952400000000002E-2</v>
      </c>
      <c r="R519" s="36">
        <v>0.20095569999999999</v>
      </c>
      <c r="S519" s="36">
        <v>0.35460190000000003</v>
      </c>
      <c r="T519" s="36">
        <v>0.37703110000000001</v>
      </c>
      <c r="U519" s="36">
        <v>0.3803898</v>
      </c>
      <c r="V519" s="393">
        <v>1</v>
      </c>
      <c r="W519" s="36">
        <v>0.40924579999999999</v>
      </c>
      <c r="X519" s="36">
        <v>0.49916460000000001</v>
      </c>
      <c r="Y519" s="36">
        <v>0.57817359999999995</v>
      </c>
      <c r="Z519" s="36">
        <v>0.60690739999999999</v>
      </c>
      <c r="AA519" s="36">
        <v>0.6135427</v>
      </c>
      <c r="AB519" s="393">
        <v>1</v>
      </c>
    </row>
    <row r="520" spans="2:28" ht="0.5" customHeight="1">
      <c r="B520" s="9" t="s">
        <v>52</v>
      </c>
      <c r="C520" s="9" t="str">
        <f t="shared" si="64"/>
        <v>Mexico51</v>
      </c>
      <c r="D520" s="9">
        <v>51</v>
      </c>
      <c r="E520" s="36">
        <v>0.30624709999999999</v>
      </c>
      <c r="F520" s="36">
        <v>0.59685169999999999</v>
      </c>
      <c r="G520" s="36">
        <v>0.79879860000000003</v>
      </c>
      <c r="H520" s="36">
        <v>0.86279309999999998</v>
      </c>
      <c r="I520" s="36">
        <v>0.8996788</v>
      </c>
      <c r="J520" s="393">
        <v>1</v>
      </c>
      <c r="K520" s="36">
        <v>0.55711049999999995</v>
      </c>
      <c r="L520" s="36">
        <v>0.70371930000000005</v>
      </c>
      <c r="M520" s="36">
        <v>0.83762320000000001</v>
      </c>
      <c r="N520" s="36">
        <v>0.93336399999999997</v>
      </c>
      <c r="O520" s="36">
        <v>0.96051129999999996</v>
      </c>
      <c r="P520" s="393">
        <v>1</v>
      </c>
      <c r="Q520" s="36">
        <v>7.2351700000000005E-2</v>
      </c>
      <c r="R520" s="36">
        <v>0.1949362</v>
      </c>
      <c r="S520" s="36">
        <v>0.34821809999999997</v>
      </c>
      <c r="T520" s="36">
        <v>0.37059039999999999</v>
      </c>
      <c r="U520" s="36">
        <v>0.37382500000000002</v>
      </c>
      <c r="V520" s="393">
        <v>1</v>
      </c>
      <c r="W520" s="36">
        <v>0.39387240000000001</v>
      </c>
      <c r="X520" s="36">
        <v>0.47936079999999998</v>
      </c>
      <c r="Y520" s="36">
        <v>0.55836180000000002</v>
      </c>
      <c r="Z520" s="36">
        <v>0.58682409999999996</v>
      </c>
      <c r="AA520" s="36">
        <v>0.59260630000000003</v>
      </c>
      <c r="AB520" s="393">
        <v>1</v>
      </c>
    </row>
    <row r="521" spans="2:28" ht="0.5" customHeight="1">
      <c r="B521" s="9" t="s">
        <v>52</v>
      </c>
      <c r="C521" s="9" t="str">
        <f t="shared" si="64"/>
        <v>Mexico52</v>
      </c>
      <c r="D521" s="9">
        <v>52</v>
      </c>
      <c r="E521" s="36">
        <v>0.30131150000000001</v>
      </c>
      <c r="F521" s="36">
        <v>0.58112850000000005</v>
      </c>
      <c r="G521" s="36">
        <v>0.78676900000000005</v>
      </c>
      <c r="H521" s="36">
        <v>0.85103669999999998</v>
      </c>
      <c r="I521" s="36">
        <v>0.88859589999999999</v>
      </c>
      <c r="J521" s="393">
        <v>1</v>
      </c>
      <c r="K521" s="36">
        <v>0.52094989999999997</v>
      </c>
      <c r="L521" s="36">
        <v>0.66797629999999997</v>
      </c>
      <c r="M521" s="36">
        <v>0.81000709999999998</v>
      </c>
      <c r="N521" s="36">
        <v>0.90619530000000004</v>
      </c>
      <c r="O521" s="36">
        <v>0.93466839999999995</v>
      </c>
      <c r="P521" s="393">
        <v>1</v>
      </c>
      <c r="Q521" s="36">
        <v>6.6542100000000007E-2</v>
      </c>
      <c r="R521" s="36">
        <v>0.182838</v>
      </c>
      <c r="S521" s="36">
        <v>0.33380789999999999</v>
      </c>
      <c r="T521" s="36">
        <v>0.35550549999999997</v>
      </c>
      <c r="U521" s="36">
        <v>0.35853590000000002</v>
      </c>
      <c r="V521" s="393">
        <v>1</v>
      </c>
      <c r="W521" s="36">
        <v>0.36253990000000003</v>
      </c>
      <c r="X521" s="36">
        <v>0.43954870000000001</v>
      </c>
      <c r="Y521" s="36">
        <v>0.5184742</v>
      </c>
      <c r="Z521" s="36">
        <v>0.54688840000000005</v>
      </c>
      <c r="AA521" s="36">
        <v>0.55137769999999997</v>
      </c>
      <c r="AB521" s="393">
        <v>1</v>
      </c>
    </row>
    <row r="522" spans="2:28" ht="0.5" customHeight="1">
      <c r="B522" s="9" t="s">
        <v>52</v>
      </c>
      <c r="C522" s="9" t="str">
        <f t="shared" si="64"/>
        <v>Mexico53</v>
      </c>
      <c r="D522" s="9">
        <v>53</v>
      </c>
      <c r="E522" s="36">
        <v>0.2974444</v>
      </c>
      <c r="F522" s="36">
        <v>0.57157170000000002</v>
      </c>
      <c r="G522" s="36">
        <v>0.77944749999999996</v>
      </c>
      <c r="H522" s="36">
        <v>0.84386340000000004</v>
      </c>
      <c r="I522" s="36">
        <v>0.88145689999999999</v>
      </c>
      <c r="J522" s="393">
        <v>1</v>
      </c>
      <c r="K522" s="36">
        <v>0.49657960000000001</v>
      </c>
      <c r="L522" s="36">
        <v>0.64417590000000002</v>
      </c>
      <c r="M522" s="36">
        <v>0.78985110000000003</v>
      </c>
      <c r="N522" s="36">
        <v>0.88645300000000005</v>
      </c>
      <c r="O522" s="36">
        <v>0.91477220000000004</v>
      </c>
      <c r="P522" s="393">
        <v>1</v>
      </c>
      <c r="Q522" s="36">
        <v>6.31636E-2</v>
      </c>
      <c r="R522" s="36">
        <v>0.1768468</v>
      </c>
      <c r="S522" s="36">
        <v>0.32703110000000002</v>
      </c>
      <c r="T522" s="36">
        <v>0.3483096</v>
      </c>
      <c r="U522" s="36">
        <v>0.351275</v>
      </c>
      <c r="V522" s="393">
        <v>1</v>
      </c>
      <c r="W522" s="36">
        <v>0.34501310000000002</v>
      </c>
      <c r="X522" s="36">
        <v>0.41805219999999998</v>
      </c>
      <c r="Y522" s="36">
        <v>0.49747980000000003</v>
      </c>
      <c r="Z522" s="36">
        <v>0.52612429999999999</v>
      </c>
      <c r="AA522" s="36">
        <v>0.53026569999999995</v>
      </c>
      <c r="AB522" s="393">
        <v>1</v>
      </c>
    </row>
    <row r="523" spans="2:28" ht="0.5" customHeight="1">
      <c r="B523" s="9" t="s">
        <v>52</v>
      </c>
      <c r="C523" s="9" t="str">
        <f t="shared" si="64"/>
        <v>Mexico54</v>
      </c>
      <c r="D523" s="9">
        <v>54</v>
      </c>
      <c r="E523" s="36">
        <v>0.28357280000000001</v>
      </c>
      <c r="F523" s="36">
        <v>0.54431649999999998</v>
      </c>
      <c r="G523" s="36">
        <v>0.75850399999999996</v>
      </c>
      <c r="H523" s="36">
        <v>0.82311230000000002</v>
      </c>
      <c r="I523" s="36">
        <v>0.86168529999999999</v>
      </c>
      <c r="J523" s="393">
        <v>1</v>
      </c>
      <c r="K523" s="36">
        <v>0.4635222</v>
      </c>
      <c r="L523" s="36">
        <v>0.61037969999999997</v>
      </c>
      <c r="M523" s="36">
        <v>0.76290290000000005</v>
      </c>
      <c r="N523" s="36">
        <v>0.86239399999999999</v>
      </c>
      <c r="O523" s="36">
        <v>0.88880429999999999</v>
      </c>
      <c r="P523" s="393">
        <v>1</v>
      </c>
      <c r="Q523" s="36">
        <v>5.4583600000000003E-2</v>
      </c>
      <c r="R523" s="36">
        <v>0.1613762</v>
      </c>
      <c r="S523" s="36">
        <v>0.30913819999999997</v>
      </c>
      <c r="T523" s="36">
        <v>0.32925199999999999</v>
      </c>
      <c r="U523" s="36">
        <v>0.33194600000000002</v>
      </c>
      <c r="V523" s="393">
        <v>1</v>
      </c>
      <c r="W523" s="36">
        <v>0.31324340000000001</v>
      </c>
      <c r="X523" s="36">
        <v>0.37753310000000001</v>
      </c>
      <c r="Y523" s="36">
        <v>0.4596247</v>
      </c>
      <c r="Z523" s="36">
        <v>0.48919269999999998</v>
      </c>
      <c r="AA523" s="36">
        <v>0.49377490000000002</v>
      </c>
      <c r="AB523" s="393">
        <v>1</v>
      </c>
    </row>
    <row r="524" spans="2:28" ht="0.5" customHeight="1">
      <c r="B524" s="9" t="s">
        <v>52</v>
      </c>
      <c r="C524" s="9" t="str">
        <f t="shared" si="64"/>
        <v>Mexico55</v>
      </c>
      <c r="D524" s="9">
        <v>55</v>
      </c>
      <c r="E524" s="394">
        <v>0.26969100000000001</v>
      </c>
      <c r="F524" s="394">
        <v>0.5232675</v>
      </c>
      <c r="G524" s="394">
        <v>0.74192829999999999</v>
      </c>
      <c r="H524" s="394">
        <v>0.80665359999999997</v>
      </c>
      <c r="I524" s="394">
        <v>0.8459255</v>
      </c>
      <c r="J524" s="395">
        <v>1</v>
      </c>
      <c r="K524" s="394">
        <v>0.46123769999999997</v>
      </c>
      <c r="L524" s="394">
        <v>0.60516669999999995</v>
      </c>
      <c r="M524" s="394">
        <v>0.75897930000000002</v>
      </c>
      <c r="N524" s="394">
        <v>0.86243300000000001</v>
      </c>
      <c r="O524" s="394">
        <v>0.8893778</v>
      </c>
      <c r="P524" s="395">
        <v>1</v>
      </c>
      <c r="Q524" s="394">
        <v>4.9945400000000001E-2</v>
      </c>
      <c r="R524" s="394">
        <v>0.15181810000000001</v>
      </c>
      <c r="S524" s="394">
        <v>0.29685149999999999</v>
      </c>
      <c r="T524" s="394">
        <v>0.31601659999999998</v>
      </c>
      <c r="U524" s="394">
        <v>0.31836530000000002</v>
      </c>
      <c r="V524" s="395">
        <v>1</v>
      </c>
      <c r="W524" s="394">
        <v>0.30343769999999998</v>
      </c>
      <c r="X524" s="394">
        <v>0.36077160000000003</v>
      </c>
      <c r="Y524" s="394">
        <v>0.44493100000000002</v>
      </c>
      <c r="Z524" s="394">
        <v>0.47564679999999998</v>
      </c>
      <c r="AA524" s="394">
        <v>0.48037449999999998</v>
      </c>
      <c r="AB524" s="395">
        <v>1</v>
      </c>
    </row>
  </sheetData>
  <mergeCells count="4">
    <mergeCell ref="B36:O36"/>
    <mergeCell ref="B37:K37"/>
    <mergeCell ref="B39:D39"/>
    <mergeCell ref="E39:H39"/>
  </mergeCells>
  <pageMargins left="0.7" right="0.7" top="0.75" bottom="0.75" header="0.3" footer="0.3"/>
  <pageSetup scale="64"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zoomScaleNormal="100" zoomScaleSheetLayoutView="85" workbookViewId="0">
      <selection activeCell="A32" sqref="A32:XFD54"/>
    </sheetView>
  </sheetViews>
  <sheetFormatPr defaultColWidth="9.1796875" defaultRowHeight="14.5"/>
  <cols>
    <col min="1" max="1" width="4.54296875" style="2" customWidth="1"/>
    <col min="2" max="2" width="18.453125" style="2" customWidth="1"/>
    <col min="3" max="3" width="16.26953125" style="2" bestFit="1" customWidth="1"/>
    <col min="4" max="5" width="12" style="2" bestFit="1" customWidth="1"/>
    <col min="6" max="7" width="9.1796875" style="2"/>
    <col min="8" max="8" width="10.7265625" style="2" customWidth="1"/>
    <col min="9" max="9" width="9.1796875" style="2"/>
    <col min="10" max="10" width="12" style="2" bestFit="1" customWidth="1"/>
    <col min="11" max="11" width="7.54296875" style="2" customWidth="1"/>
    <col min="12" max="12" width="16.26953125" style="2" bestFit="1" customWidth="1"/>
    <col min="13" max="13" width="4.54296875" style="2" customWidth="1"/>
    <col min="14" max="14" width="8.54296875" style="2" bestFit="1" customWidth="1"/>
    <col min="15" max="15" width="5.453125" style="2" bestFit="1" customWidth="1"/>
    <col min="16" max="16384" width="9.1796875" style="2"/>
  </cols>
  <sheetData>
    <row r="1" spans="1:13">
      <c r="A1" s="1"/>
      <c r="B1" s="1"/>
      <c r="C1" s="1"/>
      <c r="D1" s="1"/>
      <c r="E1" s="1"/>
      <c r="F1" s="1"/>
      <c r="G1" s="1"/>
      <c r="H1" s="1"/>
      <c r="I1" s="1"/>
      <c r="J1" s="1"/>
      <c r="K1" s="1"/>
      <c r="L1" s="1"/>
      <c r="M1" s="1"/>
    </row>
    <row r="2" spans="1:13" ht="17.5">
      <c r="A2" s="1"/>
      <c r="B2" s="3" t="s">
        <v>983</v>
      </c>
      <c r="C2" s="1"/>
      <c r="D2" s="1"/>
      <c r="E2" s="1"/>
      <c r="F2" s="1"/>
      <c r="G2" s="1"/>
      <c r="H2" s="1"/>
      <c r="I2" s="1"/>
      <c r="J2" s="1"/>
      <c r="K2" s="1"/>
      <c r="L2" s="1"/>
      <c r="M2" s="1"/>
    </row>
    <row r="3" spans="1:13" ht="9" customHeight="1">
      <c r="A3" s="1"/>
      <c r="B3" s="1"/>
      <c r="C3" s="1"/>
      <c r="D3" s="1"/>
      <c r="E3" s="1"/>
      <c r="F3" s="1"/>
      <c r="G3" s="1"/>
      <c r="H3" s="1"/>
      <c r="I3" s="1"/>
      <c r="J3" s="1"/>
      <c r="K3" s="1"/>
      <c r="L3" s="1"/>
      <c r="M3" s="1"/>
    </row>
    <row r="4" spans="1:13">
      <c r="A4" s="1"/>
      <c r="B4" s="1"/>
      <c r="C4" s="1"/>
      <c r="D4" s="1"/>
      <c r="E4" s="1"/>
      <c r="F4" s="1"/>
      <c r="G4" s="1"/>
      <c r="H4" s="1"/>
      <c r="I4" s="1"/>
      <c r="J4" s="1"/>
      <c r="K4" s="1"/>
      <c r="L4" s="1"/>
      <c r="M4" s="1"/>
    </row>
    <row r="5" spans="1:13">
      <c r="A5" s="1"/>
      <c r="B5" s="1"/>
      <c r="C5" s="1"/>
      <c r="D5" s="1"/>
      <c r="E5" s="1"/>
      <c r="F5" s="1"/>
      <c r="G5" s="1"/>
      <c r="H5" s="1"/>
      <c r="I5" s="1"/>
      <c r="J5" s="1"/>
      <c r="K5" s="1"/>
      <c r="L5" s="1"/>
      <c r="M5" s="1"/>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c r="A8" s="1"/>
      <c r="B8" s="1"/>
      <c r="C8" s="1"/>
      <c r="D8" s="1"/>
      <c r="E8" s="1"/>
      <c r="F8" s="1"/>
      <c r="G8" s="1"/>
      <c r="H8" s="1"/>
      <c r="I8" s="1"/>
      <c r="J8" s="1"/>
      <c r="K8" s="1"/>
      <c r="L8" s="1"/>
      <c r="M8" s="1"/>
    </row>
    <row r="9" spans="1:13">
      <c r="A9" s="1"/>
      <c r="B9" s="1"/>
      <c r="C9" s="1"/>
      <c r="D9" s="1"/>
      <c r="E9" s="1"/>
      <c r="F9" s="1"/>
      <c r="G9" s="1"/>
      <c r="H9" s="1"/>
      <c r="I9" s="1"/>
      <c r="J9" s="1"/>
      <c r="K9" s="1"/>
      <c r="L9" s="1"/>
      <c r="M9" s="1"/>
    </row>
    <row r="10" spans="1:13">
      <c r="A10" s="1"/>
      <c r="B10" s="1"/>
      <c r="C10" s="1"/>
      <c r="D10" s="1"/>
      <c r="E10" s="1"/>
      <c r="F10" s="1"/>
      <c r="G10" s="1"/>
      <c r="H10" s="1"/>
      <c r="I10" s="1"/>
      <c r="J10" s="1"/>
      <c r="K10" s="1"/>
      <c r="L10" s="1"/>
      <c r="M10" s="1"/>
    </row>
    <row r="11" spans="1:13">
      <c r="A11" s="1"/>
      <c r="B11" s="1"/>
      <c r="C11" s="1"/>
      <c r="D11" s="1"/>
      <c r="E11" s="1"/>
      <c r="F11" s="1"/>
      <c r="G11" s="1"/>
      <c r="H11" s="1"/>
      <c r="I11" s="1"/>
      <c r="J11" s="1"/>
      <c r="K11" s="1"/>
      <c r="L11" s="1"/>
      <c r="M11" s="1"/>
    </row>
    <row r="12" spans="1:13">
      <c r="A12" s="1"/>
      <c r="B12" s="1"/>
      <c r="C12" s="1"/>
      <c r="D12" s="1"/>
      <c r="E12" s="1"/>
      <c r="F12" s="1"/>
      <c r="G12" s="1"/>
      <c r="H12" s="1"/>
      <c r="I12" s="1"/>
      <c r="J12" s="1"/>
      <c r="K12" s="1"/>
      <c r="L12" s="1"/>
      <c r="M12" s="1"/>
    </row>
    <row r="13" spans="1:13">
      <c r="A13" s="1"/>
      <c r="B13" s="1"/>
      <c r="C13" s="1"/>
      <c r="D13" s="1"/>
      <c r="E13" s="1"/>
      <c r="F13" s="1"/>
      <c r="G13" s="1"/>
      <c r="H13" s="1"/>
      <c r="I13" s="1"/>
      <c r="J13" s="1"/>
      <c r="K13" s="1"/>
      <c r="L13" s="1"/>
      <c r="M13" s="1"/>
    </row>
    <row r="14" spans="1:13">
      <c r="A14" s="1"/>
      <c r="B14" s="1"/>
      <c r="C14" s="1"/>
      <c r="D14" s="1"/>
      <c r="E14" s="1"/>
      <c r="F14" s="1"/>
      <c r="G14" s="1"/>
      <c r="H14" s="1"/>
      <c r="I14" s="1"/>
      <c r="J14" s="1"/>
      <c r="K14" s="1"/>
      <c r="L14" s="1"/>
      <c r="M14" s="1"/>
    </row>
    <row r="15" spans="1:13">
      <c r="A15" s="1"/>
      <c r="B15" s="1"/>
      <c r="C15" s="1"/>
      <c r="D15" s="1"/>
      <c r="E15" s="1"/>
      <c r="F15" s="1"/>
      <c r="G15" s="1"/>
      <c r="H15" s="1"/>
      <c r="I15" s="1"/>
      <c r="J15" s="1"/>
      <c r="K15" s="1"/>
      <c r="L15" s="1"/>
      <c r="M15" s="1"/>
    </row>
    <row r="16" spans="1:13">
      <c r="A16" s="1"/>
      <c r="B16" s="1"/>
      <c r="C16" s="1"/>
      <c r="D16" s="1"/>
      <c r="E16" s="1"/>
      <c r="F16" s="1"/>
      <c r="G16" s="1"/>
      <c r="H16" s="1"/>
      <c r="I16" s="1"/>
      <c r="J16" s="1"/>
      <c r="K16" s="1"/>
      <c r="L16" s="1"/>
      <c r="M16" s="1"/>
    </row>
    <row r="17" spans="1:13">
      <c r="A17" s="1"/>
      <c r="B17" s="1"/>
      <c r="C17" s="1"/>
      <c r="D17" s="1"/>
      <c r="E17" s="1"/>
      <c r="F17" s="1"/>
      <c r="G17" s="1"/>
      <c r="H17" s="1"/>
      <c r="I17" s="1"/>
      <c r="J17" s="1"/>
      <c r="K17" s="1"/>
      <c r="L17" s="1"/>
      <c r="M17" s="1"/>
    </row>
    <row r="18" spans="1:13">
      <c r="A18" s="1"/>
      <c r="B18" s="1"/>
      <c r="C18" s="1"/>
      <c r="D18" s="1"/>
      <c r="E18" s="1"/>
      <c r="F18" s="1"/>
      <c r="G18" s="1"/>
      <c r="H18" s="1"/>
      <c r="I18" s="1"/>
      <c r="J18" s="1"/>
      <c r="K18" s="1"/>
      <c r="L18" s="1"/>
      <c r="M18" s="1"/>
    </row>
    <row r="19" spans="1:13">
      <c r="A19" s="1"/>
      <c r="B19" s="1"/>
      <c r="C19" s="1"/>
      <c r="D19" s="1"/>
      <c r="E19" s="1"/>
      <c r="F19" s="1"/>
      <c r="G19" s="1"/>
      <c r="H19" s="1"/>
      <c r="I19" s="1"/>
      <c r="J19" s="1"/>
      <c r="K19" s="1"/>
      <c r="L19" s="1"/>
      <c r="M19" s="1"/>
    </row>
    <row r="20" spans="1:13">
      <c r="A20" s="1"/>
      <c r="B20" s="1"/>
      <c r="C20" s="1"/>
      <c r="D20" s="1"/>
      <c r="E20" s="1"/>
      <c r="F20" s="1"/>
      <c r="G20" s="1"/>
      <c r="H20" s="1"/>
      <c r="I20" s="1"/>
      <c r="J20" s="1"/>
      <c r="K20" s="1"/>
      <c r="L20" s="1"/>
      <c r="M20" s="1"/>
    </row>
    <row r="21" spans="1:13">
      <c r="A21" s="1"/>
      <c r="B21" s="1"/>
      <c r="C21" s="1"/>
      <c r="D21" s="1"/>
      <c r="E21" s="1"/>
      <c r="F21" s="1"/>
      <c r="G21" s="1"/>
      <c r="H21" s="1"/>
      <c r="I21" s="1"/>
      <c r="J21" s="1"/>
      <c r="K21" s="1"/>
      <c r="L21" s="1"/>
      <c r="M21" s="1"/>
    </row>
    <row r="22" spans="1:13">
      <c r="A22" s="1"/>
      <c r="B22" s="1"/>
      <c r="C22" s="1"/>
      <c r="D22" s="1"/>
      <c r="E22" s="1"/>
      <c r="F22" s="1"/>
      <c r="G22" s="1"/>
      <c r="H22" s="1"/>
      <c r="I22" s="1"/>
      <c r="J22" s="1"/>
      <c r="K22" s="1"/>
      <c r="L22" s="1"/>
      <c r="M22" s="1"/>
    </row>
    <row r="23" spans="1:13" ht="30.75" customHeight="1">
      <c r="A23" s="1"/>
      <c r="B23" s="1"/>
      <c r="C23" s="1"/>
      <c r="D23" s="1"/>
      <c r="E23" s="1"/>
      <c r="F23" s="1"/>
      <c r="G23" s="1"/>
      <c r="H23" s="1"/>
      <c r="I23" s="1"/>
      <c r="J23" s="1"/>
      <c r="K23" s="1"/>
      <c r="L23" s="1"/>
      <c r="M23" s="1"/>
    </row>
    <row r="24" spans="1:13" ht="61.5" customHeight="1">
      <c r="A24" s="1"/>
      <c r="B24" s="1"/>
      <c r="C24" s="1"/>
      <c r="D24" s="1"/>
      <c r="E24" s="1"/>
      <c r="F24" s="1"/>
      <c r="G24" s="1"/>
      <c r="H24" s="1"/>
      <c r="I24" s="1"/>
      <c r="J24" s="1"/>
      <c r="K24" s="6"/>
      <c r="L24" s="1"/>
      <c r="M24" s="1"/>
    </row>
    <row r="25" spans="1:13" ht="30.75" customHeight="1">
      <c r="A25" s="1"/>
      <c r="B25" s="477"/>
      <c r="C25" s="477"/>
      <c r="D25" s="477"/>
      <c r="E25" s="477"/>
      <c r="F25" s="477"/>
      <c r="G25" s="477"/>
      <c r="H25" s="477"/>
      <c r="I25" s="477"/>
      <c r="J25" s="477"/>
      <c r="K25" s="365"/>
      <c r="L25" s="1"/>
      <c r="M25" s="1"/>
    </row>
    <row r="26" spans="1:13" ht="30.75" customHeight="1">
      <c r="A26" s="1"/>
      <c r="B26" s="366"/>
      <c r="C26" s="366"/>
      <c r="D26" s="366"/>
      <c r="E26" s="366"/>
      <c r="F26" s="366"/>
      <c r="G26" s="366"/>
      <c r="H26" s="366"/>
      <c r="I26" s="366"/>
      <c r="J26" s="366"/>
      <c r="K26" s="365"/>
      <c r="L26" s="1"/>
      <c r="M26" s="1"/>
    </row>
    <row r="27" spans="1:13" ht="15.75" customHeight="1">
      <c r="A27" s="1"/>
      <c r="B27" s="366"/>
      <c r="C27" s="366"/>
      <c r="D27" s="366"/>
      <c r="E27" s="366"/>
      <c r="F27" s="366"/>
      <c r="G27" s="366"/>
      <c r="H27" s="366"/>
      <c r="I27" s="366"/>
      <c r="J27" s="366"/>
      <c r="K27" s="365"/>
      <c r="L27" s="1"/>
      <c r="M27" s="1"/>
    </row>
    <row r="28" spans="1:13" ht="54" customHeight="1">
      <c r="A28" s="1"/>
      <c r="B28" s="436" t="s">
        <v>984</v>
      </c>
      <c r="C28" s="436"/>
      <c r="D28" s="436"/>
      <c r="E28" s="436"/>
      <c r="F28" s="436"/>
      <c r="G28" s="436"/>
      <c r="H28" s="436"/>
      <c r="I28" s="436"/>
      <c r="J28" s="436"/>
      <c r="K28" s="436"/>
      <c r="L28" s="436"/>
      <c r="M28" s="1"/>
    </row>
    <row r="29" spans="1:13" ht="51.75" customHeight="1">
      <c r="B29" s="367"/>
      <c r="C29" s="367"/>
      <c r="D29" s="367"/>
      <c r="E29" s="367"/>
      <c r="F29" s="367"/>
      <c r="G29" s="367"/>
      <c r="H29" s="367"/>
      <c r="I29" s="367"/>
      <c r="J29" s="367"/>
      <c r="K29" s="368"/>
    </row>
    <row r="30" spans="1:13" ht="51.75" customHeight="1">
      <c r="B30" s="367"/>
      <c r="C30" s="367"/>
      <c r="D30" s="367"/>
      <c r="E30" s="367"/>
      <c r="F30" s="367"/>
      <c r="G30" s="367"/>
      <c r="H30" s="367"/>
      <c r="I30" s="367"/>
      <c r="J30" s="367"/>
      <c r="K30" s="368"/>
    </row>
    <row r="32" spans="1:13" ht="0.5" customHeight="1">
      <c r="B32" s="363" t="s">
        <v>976</v>
      </c>
    </row>
    <row r="33" spans="2:15" ht="0.5" customHeight="1"/>
    <row r="34" spans="2:15" ht="0.5" customHeight="1">
      <c r="B34" s="2" t="s">
        <v>985</v>
      </c>
      <c r="H34" s="369"/>
      <c r="K34" s="369"/>
      <c r="L34" s="369"/>
      <c r="M34" s="369"/>
      <c r="N34" s="369"/>
      <c r="O34" s="369"/>
    </row>
    <row r="35" spans="2:15" ht="0.5" customHeight="1">
      <c r="C35" s="2" t="s">
        <v>986</v>
      </c>
    </row>
    <row r="36" spans="2:15" ht="0.5" customHeight="1">
      <c r="B36" s="2" t="s">
        <v>987</v>
      </c>
      <c r="C36" s="2" t="s">
        <v>988</v>
      </c>
      <c r="D36" s="2" t="s">
        <v>989</v>
      </c>
      <c r="E36" s="2" t="s">
        <v>990</v>
      </c>
      <c r="F36" s="2" t="s">
        <v>991</v>
      </c>
      <c r="G36" s="2" t="s">
        <v>992</v>
      </c>
    </row>
    <row r="37" spans="2:15" ht="0.5" customHeight="1">
      <c r="B37" s="2" t="s">
        <v>993</v>
      </c>
      <c r="C37" s="2">
        <v>93.01849</v>
      </c>
      <c r="D37" s="2">
        <v>3.4041000000000001</v>
      </c>
      <c r="E37" s="2">
        <v>0.74756999999999996</v>
      </c>
      <c r="F37" s="2">
        <v>0.73653000000000002</v>
      </c>
      <c r="G37" s="2">
        <v>4.4733700000000001</v>
      </c>
    </row>
    <row r="38" spans="2:15" ht="0.5" customHeight="1">
      <c r="B38" s="2" t="s">
        <v>994</v>
      </c>
      <c r="C38" s="2">
        <v>0.68774999999999997</v>
      </c>
      <c r="D38" s="2">
        <v>84.773060000000001</v>
      </c>
      <c r="E38" s="2">
        <v>6.4509999999999998E-2</v>
      </c>
      <c r="F38" s="2">
        <v>0.10522000000000001</v>
      </c>
      <c r="G38" s="2">
        <v>1.7525300000000001</v>
      </c>
    </row>
    <row r="39" spans="2:15" ht="0.5" customHeight="1">
      <c r="B39" s="2" t="s">
        <v>990</v>
      </c>
      <c r="C39" s="2">
        <v>0.63627</v>
      </c>
      <c r="D39" s="2">
        <v>1.28721</v>
      </c>
      <c r="E39" s="2">
        <v>97.347450000000009</v>
      </c>
      <c r="F39" s="2">
        <v>0.27357000000000004</v>
      </c>
      <c r="G39" s="2">
        <v>0.92048000000000008</v>
      </c>
    </row>
    <row r="40" spans="2:15" ht="0.5" customHeight="1">
      <c r="B40" s="2" t="s">
        <v>991</v>
      </c>
      <c r="C40" s="2">
        <v>7.6190000000000008E-2</v>
      </c>
      <c r="D40" s="2">
        <v>3.0499999999999999E-2</v>
      </c>
      <c r="E40" s="2">
        <v>7.5900000000000004E-3</v>
      </c>
      <c r="F40" s="2">
        <v>95.265150000000006</v>
      </c>
      <c r="G40" s="2">
        <v>0.31311</v>
      </c>
    </row>
    <row r="41" spans="2:15" ht="0.5" customHeight="1">
      <c r="B41" s="2" t="s">
        <v>992</v>
      </c>
      <c r="C41" s="2">
        <v>5.5813000000000006</v>
      </c>
      <c r="D41" s="2">
        <v>10.50512</v>
      </c>
      <c r="E41" s="2">
        <v>1.8328799999999998</v>
      </c>
      <c r="F41" s="2">
        <v>3.6195300000000001</v>
      </c>
      <c r="G41" s="2">
        <v>92.540779999999998</v>
      </c>
    </row>
    <row r="42" spans="2:15" ht="0.5" customHeight="1">
      <c r="B42" s="2">
        <v>6</v>
      </c>
      <c r="C42" s="2">
        <v>0</v>
      </c>
      <c r="D42" s="2">
        <v>0</v>
      </c>
      <c r="E42" s="2">
        <v>0</v>
      </c>
      <c r="F42" s="2">
        <v>0</v>
      </c>
      <c r="G42" s="2">
        <v>-2.6000000000000003E-4</v>
      </c>
    </row>
    <row r="43" spans="2:15" ht="0.5" customHeight="1"/>
    <row r="44" spans="2:15" ht="0.5" customHeight="1">
      <c r="B44" s="2" t="s">
        <v>995</v>
      </c>
      <c r="H44" s="369"/>
      <c r="K44" s="369"/>
      <c r="L44" s="369"/>
      <c r="M44" s="369"/>
      <c r="N44" s="369"/>
      <c r="O44" s="369"/>
    </row>
    <row r="45" spans="2:15" ht="0.5" customHeight="1">
      <c r="C45" s="2" t="s">
        <v>986</v>
      </c>
    </row>
    <row r="46" spans="2:15" ht="0.5" customHeight="1">
      <c r="B46" s="2" t="s">
        <v>987</v>
      </c>
      <c r="C46" s="2" t="s">
        <v>988</v>
      </c>
      <c r="D46" s="2" t="s">
        <v>989</v>
      </c>
      <c r="E46" s="2" t="s">
        <v>990</v>
      </c>
      <c r="F46" s="2" t="s">
        <v>991</v>
      </c>
      <c r="G46" s="2" t="s">
        <v>992</v>
      </c>
    </row>
    <row r="47" spans="2:15" ht="0.5" customHeight="1">
      <c r="B47" s="2" t="s">
        <v>988</v>
      </c>
      <c r="C47" s="2">
        <v>76.166979999999995</v>
      </c>
      <c r="D47" s="2">
        <v>20.693639999999998</v>
      </c>
      <c r="E47" s="2">
        <v>7.9598100000000009</v>
      </c>
      <c r="F47" s="2">
        <v>23.13625</v>
      </c>
      <c r="G47" s="2">
        <v>7.6415999999999995</v>
      </c>
    </row>
    <row r="48" spans="2:15" ht="0.5" customHeight="1">
      <c r="B48" s="2" t="s">
        <v>989</v>
      </c>
      <c r="C48" s="2">
        <v>2.77705</v>
      </c>
      <c r="D48" s="2">
        <v>37.420209999999997</v>
      </c>
      <c r="E48" s="2">
        <v>5.32212</v>
      </c>
      <c r="F48" s="2">
        <v>2.9420199999999999</v>
      </c>
      <c r="G48" s="2">
        <v>2.9771800000000002</v>
      </c>
    </row>
    <row r="49" spans="2:7" ht="0.5" customHeight="1">
      <c r="B49" s="2" t="s">
        <v>990</v>
      </c>
      <c r="C49" s="2">
        <v>3.0101599999999999</v>
      </c>
      <c r="D49" s="2">
        <v>7.7968800000000007</v>
      </c>
      <c r="E49" s="2">
        <v>59.822690000000001</v>
      </c>
      <c r="F49" s="2">
        <v>18.861280000000001</v>
      </c>
      <c r="G49" s="2">
        <v>3.31196</v>
      </c>
    </row>
    <row r="50" spans="2:7" ht="0.5" customHeight="1">
      <c r="B50" s="2" t="s">
        <v>991</v>
      </c>
      <c r="C50" s="2">
        <v>2.7174100000000001</v>
      </c>
      <c r="D50" s="2">
        <v>2.6229200000000001</v>
      </c>
      <c r="E50" s="2">
        <v>5.8975600000000004</v>
      </c>
      <c r="F50" s="2">
        <v>38.988859999999995</v>
      </c>
      <c r="G50" s="2">
        <v>0.68747000000000003</v>
      </c>
    </row>
    <row r="51" spans="2:7" ht="0.5" customHeight="1">
      <c r="B51" s="2" t="s">
        <v>992</v>
      </c>
      <c r="C51" s="2">
        <v>15.3284</v>
      </c>
      <c r="D51" s="2">
        <v>31.466349999999998</v>
      </c>
      <c r="E51" s="2">
        <v>20.997820000000001</v>
      </c>
      <c r="F51" s="2">
        <v>16.0716</v>
      </c>
      <c r="G51" s="2">
        <v>85.385040000000004</v>
      </c>
    </row>
    <row r="52" spans="2:7" ht="0.5" customHeight="1">
      <c r="B52" s="2">
        <v>6</v>
      </c>
      <c r="C52" s="2">
        <v>0</v>
      </c>
      <c r="D52" s="2">
        <v>0</v>
      </c>
      <c r="E52" s="2">
        <v>0</v>
      </c>
      <c r="F52" s="2">
        <v>0</v>
      </c>
      <c r="G52" s="2">
        <v>-3.2599999999999999E-3</v>
      </c>
    </row>
    <row r="53" spans="2:7" ht="0.5" customHeight="1"/>
    <row r="54" spans="2:7" ht="0.5" customHeight="1">
      <c r="B54" s="2" t="s">
        <v>996</v>
      </c>
    </row>
  </sheetData>
  <mergeCells count="2">
    <mergeCell ref="B25:J25"/>
    <mergeCell ref="B28:L28"/>
  </mergeCells>
  <pageMargins left="0.7" right="0.7" top="0.75" bottom="0.75" header="0.3" footer="0.3"/>
  <pageSetup scale="63"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05"/>
  <sheetViews>
    <sheetView zoomScaleNormal="100" zoomScaleSheetLayoutView="85" workbookViewId="0">
      <selection activeCell="A2" sqref="A2"/>
    </sheetView>
  </sheetViews>
  <sheetFormatPr defaultColWidth="9.1796875" defaultRowHeight="14.5"/>
  <cols>
    <col min="1" max="1" width="5.26953125" style="2" customWidth="1"/>
    <col min="2" max="2" width="15.453125" style="2" bestFit="1" customWidth="1"/>
    <col min="3" max="3" width="16.7265625" style="2" bestFit="1" customWidth="1"/>
    <col min="4" max="4" width="12.54296875" style="2" bestFit="1" customWidth="1"/>
    <col min="5" max="5" width="10" style="2" bestFit="1" customWidth="1"/>
    <col min="6" max="12" width="9.1796875" style="2"/>
    <col min="13" max="13" width="5.453125" style="2" customWidth="1"/>
    <col min="14" max="16384" width="9.1796875" style="2"/>
  </cols>
  <sheetData>
    <row r="1" spans="1:13" ht="8.25" customHeight="1">
      <c r="A1" s="1"/>
      <c r="B1" s="1"/>
      <c r="C1" s="1"/>
      <c r="D1" s="1"/>
      <c r="E1" s="1"/>
      <c r="F1" s="1"/>
      <c r="G1" s="1"/>
      <c r="H1" s="1"/>
      <c r="I1" s="1"/>
      <c r="J1" s="1"/>
      <c r="K1" s="1"/>
      <c r="L1" s="1"/>
      <c r="M1" s="1"/>
    </row>
    <row r="2" spans="1:13" ht="17.5">
      <c r="A2" s="1"/>
      <c r="B2" s="3" t="s">
        <v>1017</v>
      </c>
      <c r="C2" s="1"/>
      <c r="D2" s="1"/>
      <c r="E2" s="1"/>
      <c r="F2" s="1"/>
      <c r="G2" s="1"/>
      <c r="H2" s="1"/>
      <c r="I2" s="1"/>
      <c r="J2" s="1"/>
      <c r="K2" s="1"/>
      <c r="L2" s="1"/>
      <c r="M2" s="1"/>
    </row>
    <row r="3" spans="1:13" ht="7.5" customHeight="1">
      <c r="A3" s="1"/>
      <c r="B3" s="1"/>
      <c r="C3" s="1"/>
      <c r="D3" s="1"/>
      <c r="E3" s="1"/>
      <c r="F3" s="1"/>
      <c r="G3" s="1"/>
      <c r="H3" s="1"/>
      <c r="I3" s="1"/>
      <c r="J3" s="1"/>
      <c r="K3" s="1"/>
      <c r="L3" s="1"/>
      <c r="M3" s="1"/>
    </row>
    <row r="4" spans="1:13">
      <c r="A4" s="1"/>
      <c r="B4" s="362"/>
      <c r="C4" s="1"/>
      <c r="D4" s="1"/>
      <c r="E4" s="1"/>
      <c r="F4" s="1"/>
      <c r="G4" s="1"/>
      <c r="H4" s="1"/>
      <c r="I4" s="1"/>
      <c r="J4" s="1"/>
      <c r="K4" s="1"/>
      <c r="L4" s="1"/>
      <c r="M4" s="1"/>
    </row>
    <row r="5" spans="1:13">
      <c r="A5" s="1"/>
      <c r="B5" s="1"/>
      <c r="C5" s="1"/>
      <c r="D5" s="1"/>
      <c r="E5" s="1"/>
      <c r="F5" s="1"/>
      <c r="G5" s="1"/>
      <c r="H5" s="1"/>
      <c r="I5" s="1"/>
      <c r="J5" s="1"/>
      <c r="K5" s="1"/>
      <c r="L5" s="1"/>
      <c r="M5" s="1"/>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c r="A8" s="1"/>
      <c r="B8" s="1"/>
      <c r="C8" s="1"/>
      <c r="D8" s="1"/>
      <c r="E8" s="1"/>
      <c r="F8" s="1"/>
      <c r="G8" s="1"/>
      <c r="H8" s="1"/>
      <c r="I8" s="1"/>
      <c r="J8" s="1"/>
      <c r="K8" s="1"/>
      <c r="L8" s="1"/>
      <c r="M8" s="1"/>
    </row>
    <row r="9" spans="1:13">
      <c r="A9" s="1"/>
      <c r="B9" s="1"/>
      <c r="C9" s="1"/>
      <c r="D9" s="1"/>
      <c r="E9" s="1"/>
      <c r="F9" s="1"/>
      <c r="G9" s="1"/>
      <c r="H9" s="1"/>
      <c r="I9" s="1"/>
      <c r="J9" s="1"/>
      <c r="K9" s="1"/>
      <c r="L9" s="1"/>
      <c r="M9" s="1"/>
    </row>
    <row r="10" spans="1:13">
      <c r="A10" s="1"/>
      <c r="B10" s="1"/>
      <c r="C10" s="1"/>
      <c r="D10" s="1"/>
      <c r="E10" s="1"/>
      <c r="F10" s="1"/>
      <c r="G10" s="1"/>
      <c r="H10" s="1"/>
      <c r="I10" s="1"/>
      <c r="J10" s="1"/>
      <c r="K10" s="1"/>
      <c r="L10" s="1"/>
      <c r="M10" s="1"/>
    </row>
    <row r="11" spans="1:13">
      <c r="A11" s="1"/>
      <c r="B11" s="1"/>
      <c r="C11" s="1"/>
      <c r="D11" s="1"/>
      <c r="E11" s="1"/>
      <c r="F11" s="1"/>
      <c r="G11" s="1"/>
      <c r="H11" s="1"/>
      <c r="I11" s="1"/>
      <c r="J11" s="1"/>
      <c r="K11" s="1"/>
      <c r="L11" s="1"/>
      <c r="M11" s="1"/>
    </row>
    <row r="12" spans="1:13">
      <c r="A12" s="1"/>
      <c r="B12" s="1"/>
      <c r="C12" s="1"/>
      <c r="D12" s="1"/>
      <c r="E12" s="1"/>
      <c r="F12" s="1"/>
      <c r="G12" s="1"/>
      <c r="H12" s="1"/>
      <c r="I12" s="1"/>
      <c r="J12" s="1"/>
      <c r="K12" s="1"/>
      <c r="L12" s="1"/>
      <c r="M12" s="1"/>
    </row>
    <row r="13" spans="1:13">
      <c r="A13" s="1"/>
      <c r="B13" s="1"/>
      <c r="C13" s="1"/>
      <c r="D13" s="1"/>
      <c r="E13" s="1"/>
      <c r="F13" s="1"/>
      <c r="G13" s="1"/>
      <c r="H13" s="1"/>
      <c r="I13" s="1"/>
      <c r="J13" s="1"/>
      <c r="K13" s="1"/>
      <c r="L13" s="1"/>
      <c r="M13" s="1"/>
    </row>
    <row r="14" spans="1:13">
      <c r="A14" s="1"/>
      <c r="B14" s="1"/>
      <c r="C14" s="1"/>
      <c r="D14" s="1"/>
      <c r="E14" s="1"/>
      <c r="F14" s="1"/>
      <c r="G14" s="1"/>
      <c r="H14" s="1"/>
      <c r="I14" s="1"/>
      <c r="J14" s="1"/>
      <c r="K14" s="1"/>
      <c r="L14" s="1"/>
      <c r="M14" s="1"/>
    </row>
    <row r="15" spans="1:13">
      <c r="A15" s="1"/>
      <c r="B15" s="1"/>
      <c r="C15" s="1"/>
      <c r="D15" s="1"/>
      <c r="E15" s="1"/>
      <c r="F15" s="1"/>
      <c r="G15" s="1"/>
      <c r="H15" s="1"/>
      <c r="I15" s="1"/>
      <c r="J15" s="1"/>
      <c r="K15" s="1"/>
      <c r="L15" s="1"/>
      <c r="M15" s="1"/>
    </row>
    <row r="16" spans="1:13">
      <c r="A16" s="1"/>
      <c r="B16" s="1"/>
      <c r="C16" s="1"/>
      <c r="D16" s="1"/>
      <c r="E16" s="1"/>
      <c r="F16" s="1"/>
      <c r="G16" s="1"/>
      <c r="H16" s="1"/>
      <c r="I16" s="1"/>
      <c r="J16" s="1"/>
      <c r="K16" s="1"/>
      <c r="L16" s="1"/>
      <c r="M16" s="1"/>
    </row>
    <row r="17" spans="1:13">
      <c r="A17" s="1"/>
      <c r="B17" s="1"/>
      <c r="C17" s="1"/>
      <c r="D17" s="1"/>
      <c r="E17" s="1"/>
      <c r="F17" s="1"/>
      <c r="G17" s="1"/>
      <c r="H17" s="1"/>
      <c r="I17" s="1"/>
      <c r="J17" s="1"/>
      <c r="K17" s="1"/>
      <c r="L17" s="1"/>
      <c r="M17" s="1"/>
    </row>
    <row r="18" spans="1:13">
      <c r="A18" s="1"/>
      <c r="B18" s="1"/>
      <c r="C18" s="1"/>
      <c r="D18" s="1"/>
      <c r="E18" s="1"/>
      <c r="F18" s="1"/>
      <c r="G18" s="1"/>
      <c r="H18" s="1"/>
      <c r="I18" s="1"/>
      <c r="J18" s="1"/>
      <c r="K18" s="1"/>
      <c r="L18" s="1"/>
      <c r="M18" s="1"/>
    </row>
    <row r="19" spans="1:13">
      <c r="A19" s="1"/>
      <c r="B19" s="1"/>
      <c r="C19" s="1"/>
      <c r="D19" s="1"/>
      <c r="E19" s="1"/>
      <c r="F19" s="1"/>
      <c r="G19" s="1"/>
      <c r="H19" s="1"/>
      <c r="I19" s="1"/>
      <c r="J19" s="1"/>
      <c r="K19" s="1"/>
      <c r="L19" s="1"/>
      <c r="M19" s="1"/>
    </row>
    <row r="20" spans="1:13">
      <c r="A20" s="1"/>
      <c r="B20" s="1"/>
      <c r="C20" s="1"/>
      <c r="D20" s="1"/>
      <c r="E20" s="1"/>
      <c r="F20" s="1"/>
      <c r="G20" s="1"/>
      <c r="H20" s="1"/>
      <c r="I20" s="1"/>
      <c r="J20" s="1"/>
      <c r="K20" s="1"/>
      <c r="L20" s="1"/>
      <c r="M20" s="1"/>
    </row>
    <row r="21" spans="1:13">
      <c r="A21" s="1"/>
      <c r="B21" s="1"/>
      <c r="C21" s="1"/>
      <c r="D21" s="1"/>
      <c r="E21" s="1"/>
      <c r="F21" s="1"/>
      <c r="G21" s="1"/>
      <c r="H21" s="1"/>
      <c r="I21" s="1"/>
      <c r="J21" s="1"/>
      <c r="K21" s="1"/>
      <c r="L21" s="1"/>
      <c r="M21" s="1"/>
    </row>
    <row r="22" spans="1:13">
      <c r="A22" s="1"/>
      <c r="B22" s="1"/>
      <c r="C22" s="1"/>
      <c r="D22" s="1"/>
      <c r="E22" s="1"/>
      <c r="F22" s="1"/>
      <c r="G22" s="1"/>
      <c r="H22" s="1"/>
      <c r="I22" s="1"/>
      <c r="J22" s="1"/>
      <c r="K22" s="1"/>
      <c r="L22" s="1"/>
      <c r="M22" s="1"/>
    </row>
    <row r="23" spans="1:13">
      <c r="A23" s="1"/>
      <c r="B23" s="1"/>
      <c r="C23" s="1"/>
      <c r="D23" s="1"/>
      <c r="E23" s="1"/>
      <c r="F23" s="1"/>
      <c r="G23" s="1"/>
      <c r="H23" s="1"/>
      <c r="I23" s="1"/>
      <c r="J23" s="1"/>
      <c r="K23" s="1"/>
      <c r="L23" s="1"/>
      <c r="M23" s="1"/>
    </row>
    <row r="24" spans="1:13">
      <c r="A24" s="1"/>
      <c r="B24" s="1"/>
      <c r="C24" s="1"/>
      <c r="D24" s="1"/>
      <c r="E24" s="1"/>
      <c r="F24" s="1"/>
      <c r="G24" s="1"/>
      <c r="H24" s="1"/>
      <c r="I24" s="1"/>
      <c r="J24" s="1"/>
      <c r="K24" s="1"/>
      <c r="L24" s="1"/>
      <c r="M24" s="1"/>
    </row>
    <row r="25" spans="1:13">
      <c r="A25" s="1"/>
      <c r="B25" s="1"/>
      <c r="C25" s="1"/>
      <c r="D25" s="1"/>
      <c r="E25" s="1"/>
      <c r="F25" s="1"/>
      <c r="G25" s="1"/>
      <c r="H25" s="1"/>
      <c r="I25" s="1"/>
      <c r="J25" s="1"/>
      <c r="K25" s="1"/>
      <c r="L25" s="1"/>
      <c r="M25" s="1"/>
    </row>
    <row r="26" spans="1:13">
      <c r="A26" s="1"/>
      <c r="B26" s="1"/>
      <c r="C26" s="1"/>
      <c r="D26" s="1"/>
      <c r="E26" s="1"/>
      <c r="F26" s="1"/>
      <c r="G26" s="1"/>
      <c r="H26" s="1"/>
      <c r="I26" s="1"/>
      <c r="J26" s="1"/>
      <c r="K26" s="1"/>
      <c r="L26" s="1"/>
      <c r="M26" s="1"/>
    </row>
    <row r="27" spans="1:13">
      <c r="A27" s="1"/>
      <c r="B27" s="1"/>
      <c r="C27" s="1"/>
      <c r="D27" s="1"/>
      <c r="E27" s="1"/>
      <c r="F27" s="1"/>
      <c r="G27" s="1"/>
      <c r="H27" s="1"/>
      <c r="I27" s="1"/>
      <c r="J27" s="1"/>
      <c r="K27" s="1"/>
      <c r="L27" s="1"/>
      <c r="M27" s="1"/>
    </row>
    <row r="28" spans="1:13">
      <c r="A28" s="1"/>
      <c r="B28" s="1"/>
      <c r="C28" s="1"/>
      <c r="D28" s="1"/>
      <c r="E28" s="1"/>
      <c r="F28" s="1"/>
      <c r="G28" s="1"/>
      <c r="H28" s="1"/>
      <c r="I28" s="1"/>
      <c r="J28" s="1"/>
      <c r="K28" s="1"/>
      <c r="L28" s="1"/>
      <c r="M28" s="1"/>
    </row>
    <row r="29" spans="1:13">
      <c r="A29" s="1"/>
      <c r="B29" s="1"/>
      <c r="C29" s="1"/>
      <c r="D29" s="1"/>
      <c r="E29" s="1"/>
      <c r="F29" s="1"/>
      <c r="G29" s="1"/>
      <c r="H29" s="1"/>
      <c r="I29" s="1"/>
      <c r="J29" s="1"/>
      <c r="K29" s="1"/>
      <c r="L29" s="1"/>
      <c r="M29" s="1"/>
    </row>
    <row r="30" spans="1:13">
      <c r="A30" s="1"/>
      <c r="B30" s="1"/>
      <c r="C30" s="1"/>
      <c r="D30" s="1"/>
      <c r="E30" s="1"/>
      <c r="F30" s="1"/>
      <c r="G30" s="1"/>
      <c r="H30" s="1"/>
      <c r="I30" s="1"/>
      <c r="J30" s="1"/>
      <c r="K30" s="1"/>
      <c r="L30" s="1"/>
      <c r="M30" s="1"/>
    </row>
    <row r="31" spans="1:13">
      <c r="A31" s="1"/>
      <c r="B31" s="1"/>
      <c r="C31" s="1"/>
      <c r="D31" s="1"/>
      <c r="E31" s="1"/>
      <c r="F31" s="1"/>
      <c r="G31" s="1"/>
      <c r="H31" s="1"/>
      <c r="I31" s="1"/>
      <c r="J31" s="1"/>
      <c r="K31" s="1"/>
      <c r="L31" s="1"/>
      <c r="M31" s="1"/>
    </row>
    <row r="32" spans="1:13">
      <c r="A32" s="1"/>
      <c r="B32" s="1"/>
      <c r="C32" s="1"/>
      <c r="D32" s="1"/>
      <c r="E32" s="1"/>
      <c r="F32" s="1"/>
      <c r="G32" s="1"/>
      <c r="H32" s="1"/>
      <c r="I32" s="1"/>
      <c r="J32" s="1"/>
      <c r="K32" s="1"/>
      <c r="L32" s="1"/>
      <c r="M32" s="1"/>
    </row>
    <row r="33" spans="1:25">
      <c r="A33" s="1"/>
      <c r="B33" s="1"/>
      <c r="C33" s="1"/>
      <c r="D33" s="1"/>
      <c r="E33" s="1"/>
      <c r="F33" s="1"/>
      <c r="G33" s="1"/>
      <c r="H33" s="1"/>
      <c r="I33" s="1"/>
      <c r="J33" s="1"/>
      <c r="K33" s="1"/>
      <c r="L33" s="1"/>
      <c r="M33" s="1"/>
    </row>
    <row r="34" spans="1:25">
      <c r="A34" s="1"/>
      <c r="B34" s="1"/>
      <c r="C34" s="1"/>
      <c r="D34" s="1"/>
      <c r="E34" s="1"/>
      <c r="F34" s="1"/>
      <c r="G34" s="1"/>
      <c r="H34" s="1"/>
      <c r="I34" s="1"/>
      <c r="J34" s="1"/>
      <c r="K34" s="1"/>
      <c r="L34" s="1"/>
      <c r="M34" s="1"/>
    </row>
    <row r="35" spans="1:25" ht="78.75" customHeight="1">
      <c r="A35" s="1"/>
      <c r="B35" s="436" t="s">
        <v>1018</v>
      </c>
      <c r="C35" s="436"/>
      <c r="D35" s="436"/>
      <c r="E35" s="436"/>
      <c r="F35" s="436"/>
      <c r="G35" s="436"/>
      <c r="H35" s="436"/>
      <c r="I35" s="436"/>
      <c r="J35" s="436"/>
      <c r="K35" s="436"/>
      <c r="L35" s="436"/>
      <c r="M35" s="1"/>
    </row>
    <row r="36" spans="1:25" s="9" customFormat="1">
      <c r="B36" s="61"/>
      <c r="C36" s="61"/>
      <c r="D36" s="61"/>
      <c r="E36" s="61"/>
      <c r="F36" s="61"/>
      <c r="G36" s="61"/>
      <c r="H36" s="61"/>
      <c r="I36" s="61"/>
      <c r="J36" s="61"/>
      <c r="K36" s="61"/>
    </row>
    <row r="37" spans="1:25" s="9" customFormat="1"/>
    <row r="38" spans="1:25" s="9" customFormat="1" ht="0.5" customHeight="1">
      <c r="B38" s="413" t="s">
        <v>73</v>
      </c>
      <c r="C38" s="413"/>
      <c r="D38" s="413"/>
      <c r="E38" s="413" t="str">
        <f>'Country Selection'!C5</f>
        <v>Panama</v>
      </c>
      <c r="F38" s="413"/>
      <c r="G38" s="413"/>
      <c r="H38" s="413"/>
    </row>
    <row r="39" spans="1:25" s="9" customFormat="1" ht="0.5" customHeight="1"/>
    <row r="40" spans="1:25" s="9" customFormat="1" ht="0.5" customHeight="1"/>
    <row r="41" spans="1:25" s="9" customFormat="1" ht="0.5" customHeight="1"/>
    <row r="42" spans="1:25" s="9" customFormat="1" ht="0.5" customHeight="1">
      <c r="E42" s="391" t="s">
        <v>976</v>
      </c>
    </row>
    <row r="43" spans="1:25" s="9" customFormat="1" ht="0.5" customHeight="1"/>
    <row r="44" spans="1:25" s="9" customFormat="1" ht="0.5" customHeight="1">
      <c r="E44" s="9" t="s">
        <v>1010</v>
      </c>
      <c r="K44" s="9" t="s">
        <v>1011</v>
      </c>
      <c r="Q44" s="9" t="s">
        <v>1012</v>
      </c>
      <c r="V44" s="9" t="s">
        <v>1013</v>
      </c>
    </row>
    <row r="45" spans="1:25" s="9" customFormat="1" ht="0.5" customHeight="1">
      <c r="C45" s="9" t="s">
        <v>31</v>
      </c>
      <c r="D45" s="9" t="s">
        <v>236</v>
      </c>
      <c r="E45" s="9" t="s">
        <v>4</v>
      </c>
      <c r="F45" s="9" t="s">
        <v>988</v>
      </c>
      <c r="G45" s="9" t="s">
        <v>989</v>
      </c>
      <c r="H45" s="9" t="s">
        <v>1019</v>
      </c>
      <c r="I45" s="9" t="s">
        <v>991</v>
      </c>
      <c r="K45" s="9" t="s">
        <v>988</v>
      </c>
      <c r="L45" s="9" t="s">
        <v>989</v>
      </c>
      <c r="M45" s="9" t="s">
        <v>1020</v>
      </c>
      <c r="N45" s="9" t="s">
        <v>991</v>
      </c>
      <c r="Q45" s="9" t="s">
        <v>988</v>
      </c>
      <c r="R45" s="9" t="s">
        <v>989</v>
      </c>
      <c r="S45" s="9" t="s">
        <v>1020</v>
      </c>
      <c r="T45" s="9" t="s">
        <v>991</v>
      </c>
      <c r="V45" s="9" t="s">
        <v>988</v>
      </c>
      <c r="W45" s="9" t="s">
        <v>989</v>
      </c>
      <c r="X45" s="9" t="s">
        <v>1020</v>
      </c>
      <c r="Y45" s="9" t="s">
        <v>991</v>
      </c>
    </row>
    <row r="46" spans="1:25" s="9" customFormat="1" ht="0.5" customHeight="1">
      <c r="C46" s="9" t="str">
        <f>$E$38</f>
        <v>Panama</v>
      </c>
      <c r="D46" s="9" t="str">
        <f>CONCATENATE(C46,E46)</f>
        <v>Panama20</v>
      </c>
      <c r="E46" s="392">
        <v>20</v>
      </c>
      <c r="F46" s="9" t="e">
        <f>VLOOKUP($D46,$D$122:$U$902,3,FALSE)</f>
        <v>#N/A</v>
      </c>
      <c r="G46" s="9" t="e">
        <f>VLOOKUP($D46,$D$122:$U$902,4,FALSE)</f>
        <v>#N/A</v>
      </c>
      <c r="H46" s="9" t="e">
        <f>VLOOKUP($D46,$D$122:$U$902,5,FALSE)</f>
        <v>#N/A</v>
      </c>
      <c r="I46" s="9" t="e">
        <f>VLOOKUP($D46,$D$122:$U$902,6,FALSE)</f>
        <v>#N/A</v>
      </c>
      <c r="K46" s="9" t="e">
        <f>VLOOKUP($D46,$D$122:$U$902,7,FALSE)</f>
        <v>#N/A</v>
      </c>
      <c r="L46" s="9" t="e">
        <f>VLOOKUP($D46,$D$122:$U$902,8,FALSE)</f>
        <v>#N/A</v>
      </c>
      <c r="M46" s="9" t="e">
        <f>VLOOKUP($D46,$D$122:$U$902,9,FALSE)</f>
        <v>#N/A</v>
      </c>
      <c r="N46" s="9" t="e">
        <f>VLOOKUP($D46,$D$122:$U$902,10,FALSE)</f>
        <v>#N/A</v>
      </c>
      <c r="Q46" s="9" t="e">
        <f>VLOOKUP($D46,$D$122:$U$902,11,FALSE)</f>
        <v>#N/A</v>
      </c>
      <c r="R46" s="9" t="e">
        <f>VLOOKUP($D46,$D$122:$U$902,12,FALSE)</f>
        <v>#N/A</v>
      </c>
      <c r="S46" s="9" t="e">
        <f>VLOOKUP($D46,$D$122:$U$902,13,FALSE)</f>
        <v>#N/A</v>
      </c>
      <c r="T46" s="9" t="e">
        <f>VLOOKUP($D46,$D$122:$U$902,14,FALSE)</f>
        <v>#N/A</v>
      </c>
      <c r="V46" s="9" t="e">
        <f>VLOOKUP($D46,$D$122:$U$902,15,FALSE)</f>
        <v>#N/A</v>
      </c>
      <c r="W46" s="9" t="e">
        <f>VLOOKUP($D46,$D$122:$U$902,16,FALSE)</f>
        <v>#N/A</v>
      </c>
      <c r="X46" s="9" t="e">
        <f>VLOOKUP($D46,$D$122:$U$902,17,FALSE)</f>
        <v>#N/A</v>
      </c>
      <c r="Y46" s="9" t="e">
        <f>VLOOKUP($D46,$D$122:$U$902,18,FALSE)</f>
        <v>#N/A</v>
      </c>
    </row>
    <row r="47" spans="1:25" s="9" customFormat="1" ht="0.5" customHeight="1">
      <c r="C47" s="9" t="str">
        <f t="shared" ref="C47:C110" si="0">$E$38</f>
        <v>Panama</v>
      </c>
      <c r="D47" s="9" t="str">
        <f t="shared" ref="D47:D110" si="1">CONCATENATE(C47,E47)</f>
        <v>Panama20.5</v>
      </c>
      <c r="E47" s="392">
        <v>20.5</v>
      </c>
      <c r="F47" s="9" t="e">
        <f t="shared" ref="F47:F110" si="2">VLOOKUP($D47,$D$122:$U$902,3,FALSE)</f>
        <v>#N/A</v>
      </c>
      <c r="G47" s="9" t="e">
        <f t="shared" ref="G47:G110" si="3">VLOOKUP($D47,$D$122:$U$902,4,FALSE)</f>
        <v>#N/A</v>
      </c>
      <c r="H47" s="9" t="e">
        <f t="shared" ref="H47:H110" si="4">VLOOKUP($D47,$D$122:$U$902,5,FALSE)</f>
        <v>#N/A</v>
      </c>
      <c r="I47" s="9" t="e">
        <f t="shared" ref="I47:I110" si="5">VLOOKUP($D47,$D$122:$U$902,6,FALSE)</f>
        <v>#N/A</v>
      </c>
      <c r="K47" s="9" t="e">
        <f t="shared" ref="K47:K110" si="6">VLOOKUP($D47,$D$122:$U$902,7,FALSE)</f>
        <v>#N/A</v>
      </c>
      <c r="L47" s="9" t="e">
        <f t="shared" ref="L47:L110" si="7">VLOOKUP($D47,$D$122:$U$902,8,FALSE)</f>
        <v>#N/A</v>
      </c>
      <c r="M47" s="9" t="e">
        <f t="shared" ref="M47:M110" si="8">VLOOKUP($D47,$D$122:$U$902,9,FALSE)</f>
        <v>#N/A</v>
      </c>
      <c r="N47" s="9" t="e">
        <f t="shared" ref="N47:N110" si="9">VLOOKUP($D47,$D$122:$U$902,10,FALSE)</f>
        <v>#N/A</v>
      </c>
      <c r="Q47" s="9" t="e">
        <f t="shared" ref="Q47:Q110" si="10">VLOOKUP($D47,$D$122:$U$902,11,FALSE)</f>
        <v>#N/A</v>
      </c>
      <c r="R47" s="9" t="e">
        <f t="shared" ref="R47:R110" si="11">VLOOKUP($D47,$D$122:$U$902,12,FALSE)</f>
        <v>#N/A</v>
      </c>
      <c r="S47" s="9" t="e">
        <f t="shared" ref="S47:S110" si="12">VLOOKUP($D47,$D$122:$U$902,13,FALSE)</f>
        <v>#N/A</v>
      </c>
      <c r="T47" s="9" t="e">
        <f t="shared" ref="T47:T110" si="13">VLOOKUP($D47,$D$122:$U$902,14,FALSE)</f>
        <v>#N/A</v>
      </c>
      <c r="V47" s="9" t="e">
        <f t="shared" ref="V47:V110" si="14">VLOOKUP($D47,$D$122:$U$902,15,FALSE)</f>
        <v>#N/A</v>
      </c>
      <c r="W47" s="9" t="e">
        <f t="shared" ref="W47:W110" si="15">VLOOKUP($D47,$D$122:$U$902,16,FALSE)</f>
        <v>#N/A</v>
      </c>
      <c r="X47" s="9" t="e">
        <f t="shared" ref="X47:X110" si="16">VLOOKUP($D47,$D$122:$U$902,17,FALSE)</f>
        <v>#N/A</v>
      </c>
      <c r="Y47" s="9" t="e">
        <f t="shared" ref="Y47:Y110" si="17">VLOOKUP($D47,$D$122:$U$902,18,FALSE)</f>
        <v>#N/A</v>
      </c>
    </row>
    <row r="48" spans="1:25" s="9" customFormat="1" ht="0.5" customHeight="1">
      <c r="C48" s="9" t="str">
        <f t="shared" si="0"/>
        <v>Panama</v>
      </c>
      <c r="D48" s="9" t="str">
        <f t="shared" si="1"/>
        <v>Panama21</v>
      </c>
      <c r="E48" s="392">
        <v>21</v>
      </c>
      <c r="F48" s="9" t="e">
        <f t="shared" si="2"/>
        <v>#N/A</v>
      </c>
      <c r="G48" s="9" t="e">
        <f t="shared" si="3"/>
        <v>#N/A</v>
      </c>
      <c r="H48" s="9" t="e">
        <f t="shared" si="4"/>
        <v>#N/A</v>
      </c>
      <c r="I48" s="9" t="e">
        <f t="shared" si="5"/>
        <v>#N/A</v>
      </c>
      <c r="K48" s="9" t="e">
        <f t="shared" si="6"/>
        <v>#N/A</v>
      </c>
      <c r="L48" s="9" t="e">
        <f t="shared" si="7"/>
        <v>#N/A</v>
      </c>
      <c r="M48" s="9" t="e">
        <f t="shared" si="8"/>
        <v>#N/A</v>
      </c>
      <c r="N48" s="9" t="e">
        <f t="shared" si="9"/>
        <v>#N/A</v>
      </c>
      <c r="Q48" s="9" t="e">
        <f t="shared" si="10"/>
        <v>#N/A</v>
      </c>
      <c r="R48" s="9" t="e">
        <f t="shared" si="11"/>
        <v>#N/A</v>
      </c>
      <c r="S48" s="9" t="e">
        <f t="shared" si="12"/>
        <v>#N/A</v>
      </c>
      <c r="T48" s="9" t="e">
        <f t="shared" si="13"/>
        <v>#N/A</v>
      </c>
      <c r="V48" s="9" t="e">
        <f t="shared" si="14"/>
        <v>#N/A</v>
      </c>
      <c r="W48" s="9" t="e">
        <f t="shared" si="15"/>
        <v>#N/A</v>
      </c>
      <c r="X48" s="9" t="e">
        <f t="shared" si="16"/>
        <v>#N/A</v>
      </c>
      <c r="Y48" s="9" t="e">
        <f t="shared" si="17"/>
        <v>#N/A</v>
      </c>
    </row>
    <row r="49" spans="3:25" s="9" customFormat="1" ht="0.5" customHeight="1">
      <c r="C49" s="9" t="str">
        <f t="shared" si="0"/>
        <v>Panama</v>
      </c>
      <c r="D49" s="9" t="str">
        <f t="shared" si="1"/>
        <v>Panama21.5</v>
      </c>
      <c r="E49" s="392">
        <v>21.5</v>
      </c>
      <c r="F49" s="9" t="e">
        <f t="shared" si="2"/>
        <v>#N/A</v>
      </c>
      <c r="G49" s="9" t="e">
        <f t="shared" si="3"/>
        <v>#N/A</v>
      </c>
      <c r="H49" s="9" t="e">
        <f t="shared" si="4"/>
        <v>#N/A</v>
      </c>
      <c r="I49" s="9" t="e">
        <f t="shared" si="5"/>
        <v>#N/A</v>
      </c>
      <c r="K49" s="9" t="e">
        <f t="shared" si="6"/>
        <v>#N/A</v>
      </c>
      <c r="L49" s="9" t="e">
        <f t="shared" si="7"/>
        <v>#N/A</v>
      </c>
      <c r="M49" s="9" t="e">
        <f t="shared" si="8"/>
        <v>#N/A</v>
      </c>
      <c r="N49" s="9" t="e">
        <f t="shared" si="9"/>
        <v>#N/A</v>
      </c>
      <c r="Q49" s="9" t="e">
        <f t="shared" si="10"/>
        <v>#N/A</v>
      </c>
      <c r="R49" s="9" t="e">
        <f t="shared" si="11"/>
        <v>#N/A</v>
      </c>
      <c r="S49" s="9" t="e">
        <f t="shared" si="12"/>
        <v>#N/A</v>
      </c>
      <c r="T49" s="9" t="e">
        <f t="shared" si="13"/>
        <v>#N/A</v>
      </c>
      <c r="V49" s="9" t="e">
        <f t="shared" si="14"/>
        <v>#N/A</v>
      </c>
      <c r="W49" s="9" t="e">
        <f t="shared" si="15"/>
        <v>#N/A</v>
      </c>
      <c r="X49" s="9" t="e">
        <f t="shared" si="16"/>
        <v>#N/A</v>
      </c>
      <c r="Y49" s="9" t="e">
        <f t="shared" si="17"/>
        <v>#N/A</v>
      </c>
    </row>
    <row r="50" spans="3:25" s="9" customFormat="1" ht="0.5" customHeight="1">
      <c r="C50" s="9" t="str">
        <f t="shared" si="0"/>
        <v>Panama</v>
      </c>
      <c r="D50" s="9" t="str">
        <f t="shared" si="1"/>
        <v>Panama22</v>
      </c>
      <c r="E50" s="392">
        <v>22</v>
      </c>
      <c r="F50" s="9" t="e">
        <f t="shared" si="2"/>
        <v>#N/A</v>
      </c>
      <c r="G50" s="9" t="e">
        <f t="shared" si="3"/>
        <v>#N/A</v>
      </c>
      <c r="H50" s="9" t="e">
        <f t="shared" si="4"/>
        <v>#N/A</v>
      </c>
      <c r="I50" s="9" t="e">
        <f t="shared" si="5"/>
        <v>#N/A</v>
      </c>
      <c r="K50" s="9" t="e">
        <f t="shared" si="6"/>
        <v>#N/A</v>
      </c>
      <c r="L50" s="9" t="e">
        <f t="shared" si="7"/>
        <v>#N/A</v>
      </c>
      <c r="M50" s="9" t="e">
        <f t="shared" si="8"/>
        <v>#N/A</v>
      </c>
      <c r="N50" s="9" t="e">
        <f t="shared" si="9"/>
        <v>#N/A</v>
      </c>
      <c r="Q50" s="9" t="e">
        <f t="shared" si="10"/>
        <v>#N/A</v>
      </c>
      <c r="R50" s="9" t="e">
        <f t="shared" si="11"/>
        <v>#N/A</v>
      </c>
      <c r="S50" s="9" t="e">
        <f t="shared" si="12"/>
        <v>#N/A</v>
      </c>
      <c r="T50" s="9" t="e">
        <f t="shared" si="13"/>
        <v>#N/A</v>
      </c>
      <c r="V50" s="9" t="e">
        <f t="shared" si="14"/>
        <v>#N/A</v>
      </c>
      <c r="W50" s="9" t="e">
        <f t="shared" si="15"/>
        <v>#N/A</v>
      </c>
      <c r="X50" s="9" t="e">
        <f t="shared" si="16"/>
        <v>#N/A</v>
      </c>
      <c r="Y50" s="9" t="e">
        <f t="shared" si="17"/>
        <v>#N/A</v>
      </c>
    </row>
    <row r="51" spans="3:25" s="9" customFormat="1" ht="0.5" customHeight="1">
      <c r="C51" s="9" t="str">
        <f t="shared" si="0"/>
        <v>Panama</v>
      </c>
      <c r="D51" s="9" t="str">
        <f t="shared" si="1"/>
        <v>Panama22.5</v>
      </c>
      <c r="E51" s="392">
        <v>22.5</v>
      </c>
      <c r="F51" s="9" t="e">
        <f t="shared" si="2"/>
        <v>#N/A</v>
      </c>
      <c r="G51" s="9" t="e">
        <f t="shared" si="3"/>
        <v>#N/A</v>
      </c>
      <c r="H51" s="9" t="e">
        <f t="shared" si="4"/>
        <v>#N/A</v>
      </c>
      <c r="I51" s="9" t="e">
        <f t="shared" si="5"/>
        <v>#N/A</v>
      </c>
      <c r="K51" s="9" t="e">
        <f t="shared" si="6"/>
        <v>#N/A</v>
      </c>
      <c r="L51" s="9" t="e">
        <f t="shared" si="7"/>
        <v>#N/A</v>
      </c>
      <c r="M51" s="9" t="e">
        <f t="shared" si="8"/>
        <v>#N/A</v>
      </c>
      <c r="N51" s="9" t="e">
        <f t="shared" si="9"/>
        <v>#N/A</v>
      </c>
      <c r="Q51" s="9" t="e">
        <f t="shared" si="10"/>
        <v>#N/A</v>
      </c>
      <c r="R51" s="9" t="e">
        <f t="shared" si="11"/>
        <v>#N/A</v>
      </c>
      <c r="S51" s="9" t="e">
        <f t="shared" si="12"/>
        <v>#N/A</v>
      </c>
      <c r="T51" s="9" t="e">
        <f t="shared" si="13"/>
        <v>#N/A</v>
      </c>
      <c r="V51" s="9" t="e">
        <f t="shared" si="14"/>
        <v>#N/A</v>
      </c>
      <c r="W51" s="9" t="e">
        <f t="shared" si="15"/>
        <v>#N/A</v>
      </c>
      <c r="X51" s="9" t="e">
        <f t="shared" si="16"/>
        <v>#N/A</v>
      </c>
      <c r="Y51" s="9" t="e">
        <f t="shared" si="17"/>
        <v>#N/A</v>
      </c>
    </row>
    <row r="52" spans="3:25" s="9" customFormat="1" ht="0.5" customHeight="1">
      <c r="C52" s="9" t="str">
        <f t="shared" si="0"/>
        <v>Panama</v>
      </c>
      <c r="D52" s="9" t="str">
        <f t="shared" si="1"/>
        <v>Panama23</v>
      </c>
      <c r="E52" s="392">
        <v>23</v>
      </c>
      <c r="F52" s="9" t="e">
        <f t="shared" si="2"/>
        <v>#N/A</v>
      </c>
      <c r="G52" s="9" t="e">
        <f t="shared" si="3"/>
        <v>#N/A</v>
      </c>
      <c r="H52" s="9" t="e">
        <f t="shared" si="4"/>
        <v>#N/A</v>
      </c>
      <c r="I52" s="9" t="e">
        <f t="shared" si="5"/>
        <v>#N/A</v>
      </c>
      <c r="K52" s="9" t="e">
        <f t="shared" si="6"/>
        <v>#N/A</v>
      </c>
      <c r="L52" s="9" t="e">
        <f t="shared" si="7"/>
        <v>#N/A</v>
      </c>
      <c r="M52" s="9" t="e">
        <f t="shared" si="8"/>
        <v>#N/A</v>
      </c>
      <c r="N52" s="9" t="e">
        <f t="shared" si="9"/>
        <v>#N/A</v>
      </c>
      <c r="Q52" s="9" t="e">
        <f t="shared" si="10"/>
        <v>#N/A</v>
      </c>
      <c r="R52" s="9" t="e">
        <f t="shared" si="11"/>
        <v>#N/A</v>
      </c>
      <c r="S52" s="9" t="e">
        <f t="shared" si="12"/>
        <v>#N/A</v>
      </c>
      <c r="T52" s="9" t="e">
        <f t="shared" si="13"/>
        <v>#N/A</v>
      </c>
      <c r="V52" s="9" t="e">
        <f t="shared" si="14"/>
        <v>#N/A</v>
      </c>
      <c r="W52" s="9" t="e">
        <f t="shared" si="15"/>
        <v>#N/A</v>
      </c>
      <c r="X52" s="9" t="e">
        <f t="shared" si="16"/>
        <v>#N/A</v>
      </c>
      <c r="Y52" s="9" t="e">
        <f t="shared" si="17"/>
        <v>#N/A</v>
      </c>
    </row>
    <row r="53" spans="3:25" s="9" customFormat="1" ht="0.5" customHeight="1">
      <c r="C53" s="9" t="str">
        <f t="shared" si="0"/>
        <v>Panama</v>
      </c>
      <c r="D53" s="9" t="str">
        <f t="shared" si="1"/>
        <v>Panama23.5</v>
      </c>
      <c r="E53" s="392">
        <v>23.5</v>
      </c>
      <c r="F53" s="9" t="e">
        <f t="shared" si="2"/>
        <v>#N/A</v>
      </c>
      <c r="G53" s="9" t="e">
        <f t="shared" si="3"/>
        <v>#N/A</v>
      </c>
      <c r="H53" s="9" t="e">
        <f t="shared" si="4"/>
        <v>#N/A</v>
      </c>
      <c r="I53" s="9" t="e">
        <f t="shared" si="5"/>
        <v>#N/A</v>
      </c>
      <c r="K53" s="9" t="e">
        <f t="shared" si="6"/>
        <v>#N/A</v>
      </c>
      <c r="L53" s="9" t="e">
        <f t="shared" si="7"/>
        <v>#N/A</v>
      </c>
      <c r="M53" s="9" t="e">
        <f t="shared" si="8"/>
        <v>#N/A</v>
      </c>
      <c r="N53" s="9" t="e">
        <f t="shared" si="9"/>
        <v>#N/A</v>
      </c>
      <c r="Q53" s="9" t="e">
        <f t="shared" si="10"/>
        <v>#N/A</v>
      </c>
      <c r="R53" s="9" t="e">
        <f t="shared" si="11"/>
        <v>#N/A</v>
      </c>
      <c r="S53" s="9" t="e">
        <f t="shared" si="12"/>
        <v>#N/A</v>
      </c>
      <c r="T53" s="9" t="e">
        <f t="shared" si="13"/>
        <v>#N/A</v>
      </c>
      <c r="V53" s="9" t="e">
        <f t="shared" si="14"/>
        <v>#N/A</v>
      </c>
      <c r="W53" s="9" t="e">
        <f t="shared" si="15"/>
        <v>#N/A</v>
      </c>
      <c r="X53" s="9" t="e">
        <f t="shared" si="16"/>
        <v>#N/A</v>
      </c>
      <c r="Y53" s="9" t="e">
        <f t="shared" si="17"/>
        <v>#N/A</v>
      </c>
    </row>
    <row r="54" spans="3:25" s="9" customFormat="1" ht="0.5" customHeight="1">
      <c r="C54" s="9" t="str">
        <f t="shared" si="0"/>
        <v>Panama</v>
      </c>
      <c r="D54" s="9" t="str">
        <f t="shared" si="1"/>
        <v>Panama24</v>
      </c>
      <c r="E54" s="392">
        <v>24</v>
      </c>
      <c r="F54" s="9" t="e">
        <f t="shared" si="2"/>
        <v>#N/A</v>
      </c>
      <c r="G54" s="9" t="e">
        <f t="shared" si="3"/>
        <v>#N/A</v>
      </c>
      <c r="H54" s="9" t="e">
        <f t="shared" si="4"/>
        <v>#N/A</v>
      </c>
      <c r="I54" s="9" t="e">
        <f t="shared" si="5"/>
        <v>#N/A</v>
      </c>
      <c r="K54" s="9" t="e">
        <f t="shared" si="6"/>
        <v>#N/A</v>
      </c>
      <c r="L54" s="9" t="e">
        <f t="shared" si="7"/>
        <v>#N/A</v>
      </c>
      <c r="M54" s="9" t="e">
        <f t="shared" si="8"/>
        <v>#N/A</v>
      </c>
      <c r="N54" s="9" t="e">
        <f t="shared" si="9"/>
        <v>#N/A</v>
      </c>
      <c r="Q54" s="9" t="e">
        <f t="shared" si="10"/>
        <v>#N/A</v>
      </c>
      <c r="R54" s="9" t="e">
        <f t="shared" si="11"/>
        <v>#N/A</v>
      </c>
      <c r="S54" s="9" t="e">
        <f t="shared" si="12"/>
        <v>#N/A</v>
      </c>
      <c r="T54" s="9" t="e">
        <f t="shared" si="13"/>
        <v>#N/A</v>
      </c>
      <c r="V54" s="9" t="e">
        <f t="shared" si="14"/>
        <v>#N/A</v>
      </c>
      <c r="W54" s="9" t="e">
        <f t="shared" si="15"/>
        <v>#N/A</v>
      </c>
      <c r="X54" s="9" t="e">
        <f t="shared" si="16"/>
        <v>#N/A</v>
      </c>
      <c r="Y54" s="9" t="e">
        <f t="shared" si="17"/>
        <v>#N/A</v>
      </c>
    </row>
    <row r="55" spans="3:25" s="9" customFormat="1" ht="0.5" customHeight="1">
      <c r="C55" s="9" t="str">
        <f t="shared" si="0"/>
        <v>Panama</v>
      </c>
      <c r="D55" s="9" t="str">
        <f t="shared" si="1"/>
        <v>Panama24.5</v>
      </c>
      <c r="E55" s="392">
        <v>24.5</v>
      </c>
      <c r="F55" s="9" t="e">
        <f t="shared" si="2"/>
        <v>#N/A</v>
      </c>
      <c r="G55" s="9" t="e">
        <f t="shared" si="3"/>
        <v>#N/A</v>
      </c>
      <c r="H55" s="9" t="e">
        <f t="shared" si="4"/>
        <v>#N/A</v>
      </c>
      <c r="I55" s="9" t="e">
        <f t="shared" si="5"/>
        <v>#N/A</v>
      </c>
      <c r="K55" s="9" t="e">
        <f t="shared" si="6"/>
        <v>#N/A</v>
      </c>
      <c r="L55" s="9" t="e">
        <f t="shared" si="7"/>
        <v>#N/A</v>
      </c>
      <c r="M55" s="9" t="e">
        <f t="shared" si="8"/>
        <v>#N/A</v>
      </c>
      <c r="N55" s="9" t="e">
        <f t="shared" si="9"/>
        <v>#N/A</v>
      </c>
      <c r="Q55" s="9" t="e">
        <f t="shared" si="10"/>
        <v>#N/A</v>
      </c>
      <c r="R55" s="9" t="e">
        <f t="shared" si="11"/>
        <v>#N/A</v>
      </c>
      <c r="S55" s="9" t="e">
        <f t="shared" si="12"/>
        <v>#N/A</v>
      </c>
      <c r="T55" s="9" t="e">
        <f t="shared" si="13"/>
        <v>#N/A</v>
      </c>
      <c r="V55" s="9" t="e">
        <f t="shared" si="14"/>
        <v>#N/A</v>
      </c>
      <c r="W55" s="9" t="e">
        <f t="shared" si="15"/>
        <v>#N/A</v>
      </c>
      <c r="X55" s="9" t="e">
        <f t="shared" si="16"/>
        <v>#N/A</v>
      </c>
      <c r="Y55" s="9" t="e">
        <f t="shared" si="17"/>
        <v>#N/A</v>
      </c>
    </row>
    <row r="56" spans="3:25" s="9" customFormat="1" ht="0.5" customHeight="1">
      <c r="C56" s="9" t="str">
        <f t="shared" si="0"/>
        <v>Panama</v>
      </c>
      <c r="D56" s="9" t="str">
        <f t="shared" si="1"/>
        <v>Panama25</v>
      </c>
      <c r="E56" s="392">
        <v>25</v>
      </c>
      <c r="F56" s="9" t="e">
        <f t="shared" si="2"/>
        <v>#N/A</v>
      </c>
      <c r="G56" s="9" t="e">
        <f t="shared" si="3"/>
        <v>#N/A</v>
      </c>
      <c r="H56" s="9" t="e">
        <f t="shared" si="4"/>
        <v>#N/A</v>
      </c>
      <c r="I56" s="9" t="e">
        <f t="shared" si="5"/>
        <v>#N/A</v>
      </c>
      <c r="K56" s="9" t="e">
        <f t="shared" si="6"/>
        <v>#N/A</v>
      </c>
      <c r="L56" s="9" t="e">
        <f t="shared" si="7"/>
        <v>#N/A</v>
      </c>
      <c r="M56" s="9" t="e">
        <f t="shared" si="8"/>
        <v>#N/A</v>
      </c>
      <c r="N56" s="9" t="e">
        <f t="shared" si="9"/>
        <v>#N/A</v>
      </c>
      <c r="Q56" s="9" t="e">
        <f t="shared" si="10"/>
        <v>#N/A</v>
      </c>
      <c r="R56" s="9" t="e">
        <f t="shared" si="11"/>
        <v>#N/A</v>
      </c>
      <c r="S56" s="9" t="e">
        <f t="shared" si="12"/>
        <v>#N/A</v>
      </c>
      <c r="T56" s="9" t="e">
        <f t="shared" si="13"/>
        <v>#N/A</v>
      </c>
      <c r="V56" s="9" t="e">
        <f t="shared" si="14"/>
        <v>#N/A</v>
      </c>
      <c r="W56" s="9" t="e">
        <f t="shared" si="15"/>
        <v>#N/A</v>
      </c>
      <c r="X56" s="9" t="e">
        <f t="shared" si="16"/>
        <v>#N/A</v>
      </c>
      <c r="Y56" s="9" t="e">
        <f t="shared" si="17"/>
        <v>#N/A</v>
      </c>
    </row>
    <row r="57" spans="3:25" s="9" customFormat="1" ht="0.5" customHeight="1">
      <c r="C57" s="9" t="str">
        <f t="shared" si="0"/>
        <v>Panama</v>
      </c>
      <c r="D57" s="9" t="str">
        <f t="shared" si="1"/>
        <v>Panama25.5</v>
      </c>
      <c r="E57" s="392">
        <v>25.5</v>
      </c>
      <c r="F57" s="9" t="e">
        <f t="shared" si="2"/>
        <v>#N/A</v>
      </c>
      <c r="G57" s="9" t="e">
        <f t="shared" si="3"/>
        <v>#N/A</v>
      </c>
      <c r="H57" s="9" t="e">
        <f t="shared" si="4"/>
        <v>#N/A</v>
      </c>
      <c r="I57" s="9" t="e">
        <f t="shared" si="5"/>
        <v>#N/A</v>
      </c>
      <c r="K57" s="9" t="e">
        <f t="shared" si="6"/>
        <v>#N/A</v>
      </c>
      <c r="L57" s="9" t="e">
        <f t="shared" si="7"/>
        <v>#N/A</v>
      </c>
      <c r="M57" s="9" t="e">
        <f t="shared" si="8"/>
        <v>#N/A</v>
      </c>
      <c r="N57" s="9" t="e">
        <f t="shared" si="9"/>
        <v>#N/A</v>
      </c>
      <c r="Q57" s="9" t="e">
        <f t="shared" si="10"/>
        <v>#N/A</v>
      </c>
      <c r="R57" s="9" t="e">
        <f t="shared" si="11"/>
        <v>#N/A</v>
      </c>
      <c r="S57" s="9" t="e">
        <f t="shared" si="12"/>
        <v>#N/A</v>
      </c>
      <c r="T57" s="9" t="e">
        <f t="shared" si="13"/>
        <v>#N/A</v>
      </c>
      <c r="V57" s="9" t="e">
        <f t="shared" si="14"/>
        <v>#N/A</v>
      </c>
      <c r="W57" s="9" t="e">
        <f t="shared" si="15"/>
        <v>#N/A</v>
      </c>
      <c r="X57" s="9" t="e">
        <f t="shared" si="16"/>
        <v>#N/A</v>
      </c>
      <c r="Y57" s="9" t="e">
        <f t="shared" si="17"/>
        <v>#N/A</v>
      </c>
    </row>
    <row r="58" spans="3:25" s="9" customFormat="1" ht="0.5" customHeight="1">
      <c r="C58" s="9" t="str">
        <f t="shared" si="0"/>
        <v>Panama</v>
      </c>
      <c r="D58" s="9" t="str">
        <f t="shared" si="1"/>
        <v>Panama26</v>
      </c>
      <c r="E58" s="392">
        <v>26</v>
      </c>
      <c r="F58" s="9" t="e">
        <f t="shared" si="2"/>
        <v>#N/A</v>
      </c>
      <c r="G58" s="9" t="e">
        <f t="shared" si="3"/>
        <v>#N/A</v>
      </c>
      <c r="H58" s="9" t="e">
        <f t="shared" si="4"/>
        <v>#N/A</v>
      </c>
      <c r="I58" s="9" t="e">
        <f t="shared" si="5"/>
        <v>#N/A</v>
      </c>
      <c r="K58" s="9" t="e">
        <f t="shared" si="6"/>
        <v>#N/A</v>
      </c>
      <c r="L58" s="9" t="e">
        <f t="shared" si="7"/>
        <v>#N/A</v>
      </c>
      <c r="M58" s="9" t="e">
        <f t="shared" si="8"/>
        <v>#N/A</v>
      </c>
      <c r="N58" s="9" t="e">
        <f t="shared" si="9"/>
        <v>#N/A</v>
      </c>
      <c r="Q58" s="9" t="e">
        <f t="shared" si="10"/>
        <v>#N/A</v>
      </c>
      <c r="R58" s="9" t="e">
        <f t="shared" si="11"/>
        <v>#N/A</v>
      </c>
      <c r="S58" s="9" t="e">
        <f t="shared" si="12"/>
        <v>#N/A</v>
      </c>
      <c r="T58" s="9" t="e">
        <f t="shared" si="13"/>
        <v>#N/A</v>
      </c>
      <c r="V58" s="9" t="e">
        <f t="shared" si="14"/>
        <v>#N/A</v>
      </c>
      <c r="W58" s="9" t="e">
        <f t="shared" si="15"/>
        <v>#N/A</v>
      </c>
      <c r="X58" s="9" t="e">
        <f t="shared" si="16"/>
        <v>#N/A</v>
      </c>
      <c r="Y58" s="9" t="e">
        <f t="shared" si="17"/>
        <v>#N/A</v>
      </c>
    </row>
    <row r="59" spans="3:25" s="9" customFormat="1" ht="0.5" customHeight="1">
      <c r="C59" s="9" t="str">
        <f t="shared" si="0"/>
        <v>Panama</v>
      </c>
      <c r="D59" s="9" t="str">
        <f t="shared" si="1"/>
        <v>Panama26.5</v>
      </c>
      <c r="E59" s="392">
        <v>26.5</v>
      </c>
      <c r="F59" s="9" t="e">
        <f t="shared" si="2"/>
        <v>#N/A</v>
      </c>
      <c r="G59" s="9" t="e">
        <f t="shared" si="3"/>
        <v>#N/A</v>
      </c>
      <c r="H59" s="9" t="e">
        <f t="shared" si="4"/>
        <v>#N/A</v>
      </c>
      <c r="I59" s="9" t="e">
        <f t="shared" si="5"/>
        <v>#N/A</v>
      </c>
      <c r="K59" s="9" t="e">
        <f t="shared" si="6"/>
        <v>#N/A</v>
      </c>
      <c r="L59" s="9" t="e">
        <f t="shared" si="7"/>
        <v>#N/A</v>
      </c>
      <c r="M59" s="9" t="e">
        <f t="shared" si="8"/>
        <v>#N/A</v>
      </c>
      <c r="N59" s="9" t="e">
        <f t="shared" si="9"/>
        <v>#N/A</v>
      </c>
      <c r="Q59" s="9" t="e">
        <f t="shared" si="10"/>
        <v>#N/A</v>
      </c>
      <c r="R59" s="9" t="e">
        <f t="shared" si="11"/>
        <v>#N/A</v>
      </c>
      <c r="S59" s="9" t="e">
        <f t="shared" si="12"/>
        <v>#N/A</v>
      </c>
      <c r="T59" s="9" t="e">
        <f t="shared" si="13"/>
        <v>#N/A</v>
      </c>
      <c r="V59" s="9" t="e">
        <f t="shared" si="14"/>
        <v>#N/A</v>
      </c>
      <c r="W59" s="9" t="e">
        <f t="shared" si="15"/>
        <v>#N/A</v>
      </c>
      <c r="X59" s="9" t="e">
        <f t="shared" si="16"/>
        <v>#N/A</v>
      </c>
      <c r="Y59" s="9" t="e">
        <f t="shared" si="17"/>
        <v>#N/A</v>
      </c>
    </row>
    <row r="60" spans="3:25" s="9" customFormat="1" ht="0.5" customHeight="1">
      <c r="C60" s="9" t="str">
        <f t="shared" si="0"/>
        <v>Panama</v>
      </c>
      <c r="D60" s="9" t="str">
        <f t="shared" si="1"/>
        <v>Panama27</v>
      </c>
      <c r="E60" s="392">
        <v>27</v>
      </c>
      <c r="F60" s="9" t="e">
        <f t="shared" si="2"/>
        <v>#N/A</v>
      </c>
      <c r="G60" s="9" t="e">
        <f t="shared" si="3"/>
        <v>#N/A</v>
      </c>
      <c r="H60" s="9" t="e">
        <f t="shared" si="4"/>
        <v>#N/A</v>
      </c>
      <c r="I60" s="9" t="e">
        <f t="shared" si="5"/>
        <v>#N/A</v>
      </c>
      <c r="K60" s="9" t="e">
        <f t="shared" si="6"/>
        <v>#N/A</v>
      </c>
      <c r="L60" s="9" t="e">
        <f t="shared" si="7"/>
        <v>#N/A</v>
      </c>
      <c r="M60" s="9" t="e">
        <f t="shared" si="8"/>
        <v>#N/A</v>
      </c>
      <c r="N60" s="9" t="e">
        <f t="shared" si="9"/>
        <v>#N/A</v>
      </c>
      <c r="Q60" s="9" t="e">
        <f t="shared" si="10"/>
        <v>#N/A</v>
      </c>
      <c r="R60" s="9" t="e">
        <f t="shared" si="11"/>
        <v>#N/A</v>
      </c>
      <c r="S60" s="9" t="e">
        <f t="shared" si="12"/>
        <v>#N/A</v>
      </c>
      <c r="T60" s="9" t="e">
        <f t="shared" si="13"/>
        <v>#N/A</v>
      </c>
      <c r="V60" s="9" t="e">
        <f t="shared" si="14"/>
        <v>#N/A</v>
      </c>
      <c r="W60" s="9" t="e">
        <f t="shared" si="15"/>
        <v>#N/A</v>
      </c>
      <c r="X60" s="9" t="e">
        <f t="shared" si="16"/>
        <v>#N/A</v>
      </c>
      <c r="Y60" s="9" t="e">
        <f t="shared" si="17"/>
        <v>#N/A</v>
      </c>
    </row>
    <row r="61" spans="3:25" s="9" customFormat="1" ht="0.5" customHeight="1">
      <c r="C61" s="9" t="str">
        <f t="shared" si="0"/>
        <v>Panama</v>
      </c>
      <c r="D61" s="9" t="str">
        <f t="shared" si="1"/>
        <v>Panama27.5</v>
      </c>
      <c r="E61" s="392">
        <v>27.5</v>
      </c>
      <c r="F61" s="9" t="e">
        <f t="shared" si="2"/>
        <v>#N/A</v>
      </c>
      <c r="G61" s="9" t="e">
        <f t="shared" si="3"/>
        <v>#N/A</v>
      </c>
      <c r="H61" s="9" t="e">
        <f t="shared" si="4"/>
        <v>#N/A</v>
      </c>
      <c r="I61" s="9" t="e">
        <f t="shared" si="5"/>
        <v>#N/A</v>
      </c>
      <c r="K61" s="9" t="e">
        <f t="shared" si="6"/>
        <v>#N/A</v>
      </c>
      <c r="L61" s="9" t="e">
        <f t="shared" si="7"/>
        <v>#N/A</v>
      </c>
      <c r="M61" s="9" t="e">
        <f t="shared" si="8"/>
        <v>#N/A</v>
      </c>
      <c r="N61" s="9" t="e">
        <f t="shared" si="9"/>
        <v>#N/A</v>
      </c>
      <c r="Q61" s="9" t="e">
        <f t="shared" si="10"/>
        <v>#N/A</v>
      </c>
      <c r="R61" s="9" t="e">
        <f t="shared" si="11"/>
        <v>#N/A</v>
      </c>
      <c r="S61" s="9" t="e">
        <f t="shared" si="12"/>
        <v>#N/A</v>
      </c>
      <c r="T61" s="9" t="e">
        <f t="shared" si="13"/>
        <v>#N/A</v>
      </c>
      <c r="V61" s="9" t="e">
        <f t="shared" si="14"/>
        <v>#N/A</v>
      </c>
      <c r="W61" s="9" t="e">
        <f t="shared" si="15"/>
        <v>#N/A</v>
      </c>
      <c r="X61" s="9" t="e">
        <f t="shared" si="16"/>
        <v>#N/A</v>
      </c>
      <c r="Y61" s="9" t="e">
        <f t="shared" si="17"/>
        <v>#N/A</v>
      </c>
    </row>
    <row r="62" spans="3:25" s="9" customFormat="1" ht="0.5" customHeight="1">
      <c r="C62" s="9" t="str">
        <f t="shared" si="0"/>
        <v>Panama</v>
      </c>
      <c r="D62" s="9" t="str">
        <f t="shared" si="1"/>
        <v>Panama28</v>
      </c>
      <c r="E62" s="392">
        <v>28</v>
      </c>
      <c r="F62" s="9" t="e">
        <f t="shared" si="2"/>
        <v>#N/A</v>
      </c>
      <c r="G62" s="9" t="e">
        <f t="shared" si="3"/>
        <v>#N/A</v>
      </c>
      <c r="H62" s="9" t="e">
        <f t="shared" si="4"/>
        <v>#N/A</v>
      </c>
      <c r="I62" s="9" t="e">
        <f t="shared" si="5"/>
        <v>#N/A</v>
      </c>
      <c r="K62" s="9" t="e">
        <f t="shared" si="6"/>
        <v>#N/A</v>
      </c>
      <c r="L62" s="9" t="e">
        <f t="shared" si="7"/>
        <v>#N/A</v>
      </c>
      <c r="M62" s="9" t="e">
        <f t="shared" si="8"/>
        <v>#N/A</v>
      </c>
      <c r="N62" s="9" t="e">
        <f t="shared" si="9"/>
        <v>#N/A</v>
      </c>
      <c r="Q62" s="9" t="e">
        <f t="shared" si="10"/>
        <v>#N/A</v>
      </c>
      <c r="R62" s="9" t="e">
        <f t="shared" si="11"/>
        <v>#N/A</v>
      </c>
      <c r="S62" s="9" t="e">
        <f t="shared" si="12"/>
        <v>#N/A</v>
      </c>
      <c r="T62" s="9" t="e">
        <f t="shared" si="13"/>
        <v>#N/A</v>
      </c>
      <c r="V62" s="9" t="e">
        <f t="shared" si="14"/>
        <v>#N/A</v>
      </c>
      <c r="W62" s="9" t="e">
        <f t="shared" si="15"/>
        <v>#N/A</v>
      </c>
      <c r="X62" s="9" t="e">
        <f t="shared" si="16"/>
        <v>#N/A</v>
      </c>
      <c r="Y62" s="9" t="e">
        <f t="shared" si="17"/>
        <v>#N/A</v>
      </c>
    </row>
    <row r="63" spans="3:25" s="9" customFormat="1" ht="0.5" customHeight="1">
      <c r="C63" s="9" t="str">
        <f t="shared" si="0"/>
        <v>Panama</v>
      </c>
      <c r="D63" s="9" t="str">
        <f t="shared" si="1"/>
        <v>Panama28.5</v>
      </c>
      <c r="E63" s="392">
        <v>28.5</v>
      </c>
      <c r="F63" s="9" t="e">
        <f t="shared" si="2"/>
        <v>#N/A</v>
      </c>
      <c r="G63" s="9" t="e">
        <f t="shared" si="3"/>
        <v>#N/A</v>
      </c>
      <c r="H63" s="9" t="e">
        <f t="shared" si="4"/>
        <v>#N/A</v>
      </c>
      <c r="I63" s="9" t="e">
        <f t="shared" si="5"/>
        <v>#N/A</v>
      </c>
      <c r="K63" s="9" t="e">
        <f t="shared" si="6"/>
        <v>#N/A</v>
      </c>
      <c r="L63" s="9" t="e">
        <f t="shared" si="7"/>
        <v>#N/A</v>
      </c>
      <c r="M63" s="9" t="e">
        <f t="shared" si="8"/>
        <v>#N/A</v>
      </c>
      <c r="N63" s="9" t="e">
        <f t="shared" si="9"/>
        <v>#N/A</v>
      </c>
      <c r="Q63" s="9" t="e">
        <f t="shared" si="10"/>
        <v>#N/A</v>
      </c>
      <c r="R63" s="9" t="e">
        <f t="shared" si="11"/>
        <v>#N/A</v>
      </c>
      <c r="S63" s="9" t="e">
        <f t="shared" si="12"/>
        <v>#N/A</v>
      </c>
      <c r="T63" s="9" t="e">
        <f t="shared" si="13"/>
        <v>#N/A</v>
      </c>
      <c r="V63" s="9" t="e">
        <f t="shared" si="14"/>
        <v>#N/A</v>
      </c>
      <c r="W63" s="9" t="e">
        <f t="shared" si="15"/>
        <v>#N/A</v>
      </c>
      <c r="X63" s="9" t="e">
        <f t="shared" si="16"/>
        <v>#N/A</v>
      </c>
      <c r="Y63" s="9" t="e">
        <f t="shared" si="17"/>
        <v>#N/A</v>
      </c>
    </row>
    <row r="64" spans="3:25" s="9" customFormat="1" ht="0.5" customHeight="1">
      <c r="C64" s="9" t="str">
        <f t="shared" si="0"/>
        <v>Panama</v>
      </c>
      <c r="D64" s="9" t="str">
        <f t="shared" si="1"/>
        <v>Panama29</v>
      </c>
      <c r="E64" s="392">
        <v>29</v>
      </c>
      <c r="F64" s="9" t="e">
        <f t="shared" si="2"/>
        <v>#N/A</v>
      </c>
      <c r="G64" s="9" t="e">
        <f t="shared" si="3"/>
        <v>#N/A</v>
      </c>
      <c r="H64" s="9" t="e">
        <f t="shared" si="4"/>
        <v>#N/A</v>
      </c>
      <c r="I64" s="9" t="e">
        <f t="shared" si="5"/>
        <v>#N/A</v>
      </c>
      <c r="K64" s="9" t="e">
        <f t="shared" si="6"/>
        <v>#N/A</v>
      </c>
      <c r="L64" s="9" t="e">
        <f t="shared" si="7"/>
        <v>#N/A</v>
      </c>
      <c r="M64" s="9" t="e">
        <f t="shared" si="8"/>
        <v>#N/A</v>
      </c>
      <c r="N64" s="9" t="e">
        <f t="shared" si="9"/>
        <v>#N/A</v>
      </c>
      <c r="Q64" s="9" t="e">
        <f t="shared" si="10"/>
        <v>#N/A</v>
      </c>
      <c r="R64" s="9" t="e">
        <f t="shared" si="11"/>
        <v>#N/A</v>
      </c>
      <c r="S64" s="9" t="e">
        <f t="shared" si="12"/>
        <v>#N/A</v>
      </c>
      <c r="T64" s="9" t="e">
        <f t="shared" si="13"/>
        <v>#N/A</v>
      </c>
      <c r="V64" s="9" t="e">
        <f t="shared" si="14"/>
        <v>#N/A</v>
      </c>
      <c r="W64" s="9" t="e">
        <f t="shared" si="15"/>
        <v>#N/A</v>
      </c>
      <c r="X64" s="9" t="e">
        <f t="shared" si="16"/>
        <v>#N/A</v>
      </c>
      <c r="Y64" s="9" t="e">
        <f t="shared" si="17"/>
        <v>#N/A</v>
      </c>
    </row>
    <row r="65" spans="3:25" s="9" customFormat="1" ht="0.5" customHeight="1">
      <c r="C65" s="9" t="str">
        <f t="shared" si="0"/>
        <v>Panama</v>
      </c>
      <c r="D65" s="9" t="str">
        <f t="shared" si="1"/>
        <v>Panama29.5</v>
      </c>
      <c r="E65" s="392">
        <v>29.5</v>
      </c>
      <c r="F65" s="9" t="e">
        <f t="shared" si="2"/>
        <v>#N/A</v>
      </c>
      <c r="G65" s="9" t="e">
        <f t="shared" si="3"/>
        <v>#N/A</v>
      </c>
      <c r="H65" s="9" t="e">
        <f t="shared" si="4"/>
        <v>#N/A</v>
      </c>
      <c r="I65" s="9" t="e">
        <f t="shared" si="5"/>
        <v>#N/A</v>
      </c>
      <c r="K65" s="9" t="e">
        <f t="shared" si="6"/>
        <v>#N/A</v>
      </c>
      <c r="L65" s="9" t="e">
        <f t="shared" si="7"/>
        <v>#N/A</v>
      </c>
      <c r="M65" s="9" t="e">
        <f t="shared" si="8"/>
        <v>#N/A</v>
      </c>
      <c r="N65" s="9" t="e">
        <f t="shared" si="9"/>
        <v>#N/A</v>
      </c>
      <c r="Q65" s="9" t="e">
        <f t="shared" si="10"/>
        <v>#N/A</v>
      </c>
      <c r="R65" s="9" t="e">
        <f t="shared" si="11"/>
        <v>#N/A</v>
      </c>
      <c r="S65" s="9" t="e">
        <f t="shared" si="12"/>
        <v>#N/A</v>
      </c>
      <c r="T65" s="9" t="e">
        <f t="shared" si="13"/>
        <v>#N/A</v>
      </c>
      <c r="V65" s="9" t="e">
        <f t="shared" si="14"/>
        <v>#N/A</v>
      </c>
      <c r="W65" s="9" t="e">
        <f t="shared" si="15"/>
        <v>#N/A</v>
      </c>
      <c r="X65" s="9" t="e">
        <f t="shared" si="16"/>
        <v>#N/A</v>
      </c>
      <c r="Y65" s="9" t="e">
        <f t="shared" si="17"/>
        <v>#N/A</v>
      </c>
    </row>
    <row r="66" spans="3:25" s="9" customFormat="1" ht="0.5" customHeight="1">
      <c r="C66" s="9" t="str">
        <f t="shared" si="0"/>
        <v>Panama</v>
      </c>
      <c r="D66" s="9" t="str">
        <f t="shared" si="1"/>
        <v>Panama30</v>
      </c>
      <c r="E66" s="392">
        <v>30</v>
      </c>
      <c r="F66" s="9" t="e">
        <f t="shared" si="2"/>
        <v>#N/A</v>
      </c>
      <c r="G66" s="9" t="e">
        <f t="shared" si="3"/>
        <v>#N/A</v>
      </c>
      <c r="H66" s="9" t="e">
        <f t="shared" si="4"/>
        <v>#N/A</v>
      </c>
      <c r="I66" s="9" t="e">
        <f t="shared" si="5"/>
        <v>#N/A</v>
      </c>
      <c r="K66" s="9" t="e">
        <f t="shared" si="6"/>
        <v>#N/A</v>
      </c>
      <c r="L66" s="9" t="e">
        <f t="shared" si="7"/>
        <v>#N/A</v>
      </c>
      <c r="M66" s="9" t="e">
        <f t="shared" si="8"/>
        <v>#N/A</v>
      </c>
      <c r="N66" s="9" t="e">
        <f t="shared" si="9"/>
        <v>#N/A</v>
      </c>
      <c r="Q66" s="9" t="e">
        <f t="shared" si="10"/>
        <v>#N/A</v>
      </c>
      <c r="R66" s="9" t="e">
        <f t="shared" si="11"/>
        <v>#N/A</v>
      </c>
      <c r="S66" s="9" t="e">
        <f t="shared" si="12"/>
        <v>#N/A</v>
      </c>
      <c r="T66" s="9" t="e">
        <f t="shared" si="13"/>
        <v>#N/A</v>
      </c>
      <c r="V66" s="9" t="e">
        <f t="shared" si="14"/>
        <v>#N/A</v>
      </c>
      <c r="W66" s="9" t="e">
        <f t="shared" si="15"/>
        <v>#N/A</v>
      </c>
      <c r="X66" s="9" t="e">
        <f t="shared" si="16"/>
        <v>#N/A</v>
      </c>
      <c r="Y66" s="9" t="e">
        <f t="shared" si="17"/>
        <v>#N/A</v>
      </c>
    </row>
    <row r="67" spans="3:25" s="9" customFormat="1" ht="0.5" customHeight="1">
      <c r="C67" s="9" t="str">
        <f t="shared" si="0"/>
        <v>Panama</v>
      </c>
      <c r="D67" s="9" t="str">
        <f t="shared" si="1"/>
        <v>Panama30.5</v>
      </c>
      <c r="E67" s="392">
        <v>30.5</v>
      </c>
      <c r="F67" s="9" t="e">
        <f t="shared" si="2"/>
        <v>#N/A</v>
      </c>
      <c r="G67" s="9" t="e">
        <f t="shared" si="3"/>
        <v>#N/A</v>
      </c>
      <c r="H67" s="9" t="e">
        <f t="shared" si="4"/>
        <v>#N/A</v>
      </c>
      <c r="I67" s="9" t="e">
        <f t="shared" si="5"/>
        <v>#N/A</v>
      </c>
      <c r="K67" s="9" t="e">
        <f t="shared" si="6"/>
        <v>#N/A</v>
      </c>
      <c r="L67" s="9" t="e">
        <f t="shared" si="7"/>
        <v>#N/A</v>
      </c>
      <c r="M67" s="9" t="e">
        <f t="shared" si="8"/>
        <v>#N/A</v>
      </c>
      <c r="N67" s="9" t="e">
        <f t="shared" si="9"/>
        <v>#N/A</v>
      </c>
      <c r="Q67" s="9" t="e">
        <f t="shared" si="10"/>
        <v>#N/A</v>
      </c>
      <c r="R67" s="9" t="e">
        <f t="shared" si="11"/>
        <v>#N/A</v>
      </c>
      <c r="S67" s="9" t="e">
        <f t="shared" si="12"/>
        <v>#N/A</v>
      </c>
      <c r="T67" s="9" t="e">
        <f t="shared" si="13"/>
        <v>#N/A</v>
      </c>
      <c r="V67" s="9" t="e">
        <f t="shared" si="14"/>
        <v>#N/A</v>
      </c>
      <c r="W67" s="9" t="e">
        <f t="shared" si="15"/>
        <v>#N/A</v>
      </c>
      <c r="X67" s="9" t="e">
        <f t="shared" si="16"/>
        <v>#N/A</v>
      </c>
      <c r="Y67" s="9" t="e">
        <f t="shared" si="17"/>
        <v>#N/A</v>
      </c>
    </row>
    <row r="68" spans="3:25" s="9" customFormat="1" ht="0.5" customHeight="1">
      <c r="C68" s="9" t="str">
        <f t="shared" si="0"/>
        <v>Panama</v>
      </c>
      <c r="D68" s="9" t="str">
        <f t="shared" si="1"/>
        <v>Panama31</v>
      </c>
      <c r="E68" s="392">
        <v>31</v>
      </c>
      <c r="F68" s="9" t="e">
        <f t="shared" si="2"/>
        <v>#N/A</v>
      </c>
      <c r="G68" s="9" t="e">
        <f t="shared" si="3"/>
        <v>#N/A</v>
      </c>
      <c r="H68" s="9" t="e">
        <f t="shared" si="4"/>
        <v>#N/A</v>
      </c>
      <c r="I68" s="9" t="e">
        <f t="shared" si="5"/>
        <v>#N/A</v>
      </c>
      <c r="K68" s="9" t="e">
        <f t="shared" si="6"/>
        <v>#N/A</v>
      </c>
      <c r="L68" s="9" t="e">
        <f t="shared" si="7"/>
        <v>#N/A</v>
      </c>
      <c r="M68" s="9" t="e">
        <f t="shared" si="8"/>
        <v>#N/A</v>
      </c>
      <c r="N68" s="9" t="e">
        <f t="shared" si="9"/>
        <v>#N/A</v>
      </c>
      <c r="Q68" s="9" t="e">
        <f t="shared" si="10"/>
        <v>#N/A</v>
      </c>
      <c r="R68" s="9" t="e">
        <f t="shared" si="11"/>
        <v>#N/A</v>
      </c>
      <c r="S68" s="9" t="e">
        <f t="shared" si="12"/>
        <v>#N/A</v>
      </c>
      <c r="T68" s="9" t="e">
        <f t="shared" si="13"/>
        <v>#N/A</v>
      </c>
      <c r="V68" s="9" t="e">
        <f t="shared" si="14"/>
        <v>#N/A</v>
      </c>
      <c r="W68" s="9" t="e">
        <f t="shared" si="15"/>
        <v>#N/A</v>
      </c>
      <c r="X68" s="9" t="e">
        <f t="shared" si="16"/>
        <v>#N/A</v>
      </c>
      <c r="Y68" s="9" t="e">
        <f t="shared" si="17"/>
        <v>#N/A</v>
      </c>
    </row>
    <row r="69" spans="3:25" s="9" customFormat="1" ht="0.5" customHeight="1">
      <c r="C69" s="9" t="str">
        <f t="shared" si="0"/>
        <v>Panama</v>
      </c>
      <c r="D69" s="9" t="str">
        <f t="shared" si="1"/>
        <v>Panama31.5</v>
      </c>
      <c r="E69" s="392">
        <v>31.5</v>
      </c>
      <c r="F69" s="9" t="e">
        <f t="shared" si="2"/>
        <v>#N/A</v>
      </c>
      <c r="G69" s="9" t="e">
        <f t="shared" si="3"/>
        <v>#N/A</v>
      </c>
      <c r="H69" s="9" t="e">
        <f t="shared" si="4"/>
        <v>#N/A</v>
      </c>
      <c r="I69" s="9" t="e">
        <f t="shared" si="5"/>
        <v>#N/A</v>
      </c>
      <c r="K69" s="9" t="e">
        <f t="shared" si="6"/>
        <v>#N/A</v>
      </c>
      <c r="L69" s="9" t="e">
        <f t="shared" si="7"/>
        <v>#N/A</v>
      </c>
      <c r="M69" s="9" t="e">
        <f t="shared" si="8"/>
        <v>#N/A</v>
      </c>
      <c r="N69" s="9" t="e">
        <f t="shared" si="9"/>
        <v>#N/A</v>
      </c>
      <c r="Q69" s="9" t="e">
        <f t="shared" si="10"/>
        <v>#N/A</v>
      </c>
      <c r="R69" s="9" t="e">
        <f t="shared" si="11"/>
        <v>#N/A</v>
      </c>
      <c r="S69" s="9" t="e">
        <f t="shared" si="12"/>
        <v>#N/A</v>
      </c>
      <c r="T69" s="9" t="e">
        <f t="shared" si="13"/>
        <v>#N/A</v>
      </c>
      <c r="V69" s="9" t="e">
        <f t="shared" si="14"/>
        <v>#N/A</v>
      </c>
      <c r="W69" s="9" t="e">
        <f t="shared" si="15"/>
        <v>#N/A</v>
      </c>
      <c r="X69" s="9" t="e">
        <f t="shared" si="16"/>
        <v>#N/A</v>
      </c>
      <c r="Y69" s="9" t="e">
        <f t="shared" si="17"/>
        <v>#N/A</v>
      </c>
    </row>
    <row r="70" spans="3:25" s="9" customFormat="1" ht="0.5" customHeight="1">
      <c r="C70" s="9" t="str">
        <f t="shared" si="0"/>
        <v>Panama</v>
      </c>
      <c r="D70" s="9" t="str">
        <f t="shared" si="1"/>
        <v>Panama32</v>
      </c>
      <c r="E70" s="392">
        <v>32</v>
      </c>
      <c r="F70" s="9" t="e">
        <f t="shared" si="2"/>
        <v>#N/A</v>
      </c>
      <c r="G70" s="9" t="e">
        <f t="shared" si="3"/>
        <v>#N/A</v>
      </c>
      <c r="H70" s="9" t="e">
        <f t="shared" si="4"/>
        <v>#N/A</v>
      </c>
      <c r="I70" s="9" t="e">
        <f t="shared" si="5"/>
        <v>#N/A</v>
      </c>
      <c r="K70" s="9" t="e">
        <f t="shared" si="6"/>
        <v>#N/A</v>
      </c>
      <c r="L70" s="9" t="e">
        <f t="shared" si="7"/>
        <v>#N/A</v>
      </c>
      <c r="M70" s="9" t="e">
        <f t="shared" si="8"/>
        <v>#N/A</v>
      </c>
      <c r="N70" s="9" t="e">
        <f t="shared" si="9"/>
        <v>#N/A</v>
      </c>
      <c r="Q70" s="9" t="e">
        <f t="shared" si="10"/>
        <v>#N/A</v>
      </c>
      <c r="R70" s="9" t="e">
        <f t="shared" si="11"/>
        <v>#N/A</v>
      </c>
      <c r="S70" s="9" t="e">
        <f t="shared" si="12"/>
        <v>#N/A</v>
      </c>
      <c r="T70" s="9" t="e">
        <f t="shared" si="13"/>
        <v>#N/A</v>
      </c>
      <c r="V70" s="9" t="e">
        <f t="shared" si="14"/>
        <v>#N/A</v>
      </c>
      <c r="W70" s="9" t="e">
        <f t="shared" si="15"/>
        <v>#N/A</v>
      </c>
      <c r="X70" s="9" t="e">
        <f t="shared" si="16"/>
        <v>#N/A</v>
      </c>
      <c r="Y70" s="9" t="e">
        <f t="shared" si="17"/>
        <v>#N/A</v>
      </c>
    </row>
    <row r="71" spans="3:25" s="9" customFormat="1" ht="0.5" customHeight="1">
      <c r="C71" s="9" t="str">
        <f t="shared" si="0"/>
        <v>Panama</v>
      </c>
      <c r="D71" s="9" t="str">
        <f t="shared" si="1"/>
        <v>Panama32.5</v>
      </c>
      <c r="E71" s="392">
        <v>32.5</v>
      </c>
      <c r="F71" s="9" t="e">
        <f t="shared" si="2"/>
        <v>#N/A</v>
      </c>
      <c r="G71" s="9" t="e">
        <f t="shared" si="3"/>
        <v>#N/A</v>
      </c>
      <c r="H71" s="9" t="e">
        <f t="shared" si="4"/>
        <v>#N/A</v>
      </c>
      <c r="I71" s="9" t="e">
        <f t="shared" si="5"/>
        <v>#N/A</v>
      </c>
      <c r="K71" s="9" t="e">
        <f t="shared" si="6"/>
        <v>#N/A</v>
      </c>
      <c r="L71" s="9" t="e">
        <f t="shared" si="7"/>
        <v>#N/A</v>
      </c>
      <c r="M71" s="9" t="e">
        <f t="shared" si="8"/>
        <v>#N/A</v>
      </c>
      <c r="N71" s="9" t="e">
        <f t="shared" si="9"/>
        <v>#N/A</v>
      </c>
      <c r="Q71" s="9" t="e">
        <f t="shared" si="10"/>
        <v>#N/A</v>
      </c>
      <c r="R71" s="9" t="e">
        <f t="shared" si="11"/>
        <v>#N/A</v>
      </c>
      <c r="S71" s="9" t="e">
        <f t="shared" si="12"/>
        <v>#N/A</v>
      </c>
      <c r="T71" s="9" t="e">
        <f t="shared" si="13"/>
        <v>#N/A</v>
      </c>
      <c r="V71" s="9" t="e">
        <f t="shared" si="14"/>
        <v>#N/A</v>
      </c>
      <c r="W71" s="9" t="e">
        <f t="shared" si="15"/>
        <v>#N/A</v>
      </c>
      <c r="X71" s="9" t="e">
        <f t="shared" si="16"/>
        <v>#N/A</v>
      </c>
      <c r="Y71" s="9" t="e">
        <f t="shared" si="17"/>
        <v>#N/A</v>
      </c>
    </row>
    <row r="72" spans="3:25" s="9" customFormat="1" ht="0.5" customHeight="1">
      <c r="C72" s="9" t="str">
        <f t="shared" si="0"/>
        <v>Panama</v>
      </c>
      <c r="D72" s="9" t="str">
        <f t="shared" si="1"/>
        <v>Panama33</v>
      </c>
      <c r="E72" s="392">
        <v>33</v>
      </c>
      <c r="F72" s="9" t="e">
        <f t="shared" si="2"/>
        <v>#N/A</v>
      </c>
      <c r="G72" s="9" t="e">
        <f t="shared" si="3"/>
        <v>#N/A</v>
      </c>
      <c r="H72" s="9" t="e">
        <f t="shared" si="4"/>
        <v>#N/A</v>
      </c>
      <c r="I72" s="9" t="e">
        <f t="shared" si="5"/>
        <v>#N/A</v>
      </c>
      <c r="K72" s="9" t="e">
        <f t="shared" si="6"/>
        <v>#N/A</v>
      </c>
      <c r="L72" s="9" t="e">
        <f t="shared" si="7"/>
        <v>#N/A</v>
      </c>
      <c r="M72" s="9" t="e">
        <f t="shared" si="8"/>
        <v>#N/A</v>
      </c>
      <c r="N72" s="9" t="e">
        <f t="shared" si="9"/>
        <v>#N/A</v>
      </c>
      <c r="Q72" s="9" t="e">
        <f t="shared" si="10"/>
        <v>#N/A</v>
      </c>
      <c r="R72" s="9" t="e">
        <f t="shared" si="11"/>
        <v>#N/A</v>
      </c>
      <c r="S72" s="9" t="e">
        <f t="shared" si="12"/>
        <v>#N/A</v>
      </c>
      <c r="T72" s="9" t="e">
        <f t="shared" si="13"/>
        <v>#N/A</v>
      </c>
      <c r="V72" s="9" t="e">
        <f t="shared" si="14"/>
        <v>#N/A</v>
      </c>
      <c r="W72" s="9" t="e">
        <f t="shared" si="15"/>
        <v>#N/A</v>
      </c>
      <c r="X72" s="9" t="e">
        <f t="shared" si="16"/>
        <v>#N/A</v>
      </c>
      <c r="Y72" s="9" t="e">
        <f t="shared" si="17"/>
        <v>#N/A</v>
      </c>
    </row>
    <row r="73" spans="3:25" s="9" customFormat="1" ht="0.5" customHeight="1">
      <c r="C73" s="9" t="str">
        <f t="shared" si="0"/>
        <v>Panama</v>
      </c>
      <c r="D73" s="9" t="str">
        <f t="shared" si="1"/>
        <v>Panama33.5</v>
      </c>
      <c r="E73" s="392">
        <v>33.5</v>
      </c>
      <c r="F73" s="9" t="e">
        <f t="shared" si="2"/>
        <v>#N/A</v>
      </c>
      <c r="G73" s="9" t="e">
        <f t="shared" si="3"/>
        <v>#N/A</v>
      </c>
      <c r="H73" s="9" t="e">
        <f t="shared" si="4"/>
        <v>#N/A</v>
      </c>
      <c r="I73" s="9" t="e">
        <f t="shared" si="5"/>
        <v>#N/A</v>
      </c>
      <c r="K73" s="9" t="e">
        <f t="shared" si="6"/>
        <v>#N/A</v>
      </c>
      <c r="L73" s="9" t="e">
        <f t="shared" si="7"/>
        <v>#N/A</v>
      </c>
      <c r="M73" s="9" t="e">
        <f t="shared" si="8"/>
        <v>#N/A</v>
      </c>
      <c r="N73" s="9" t="e">
        <f t="shared" si="9"/>
        <v>#N/A</v>
      </c>
      <c r="Q73" s="9" t="e">
        <f t="shared" si="10"/>
        <v>#N/A</v>
      </c>
      <c r="R73" s="9" t="e">
        <f t="shared" si="11"/>
        <v>#N/A</v>
      </c>
      <c r="S73" s="9" t="e">
        <f t="shared" si="12"/>
        <v>#N/A</v>
      </c>
      <c r="T73" s="9" t="e">
        <f t="shared" si="13"/>
        <v>#N/A</v>
      </c>
      <c r="V73" s="9" t="e">
        <f t="shared" si="14"/>
        <v>#N/A</v>
      </c>
      <c r="W73" s="9" t="e">
        <f t="shared" si="15"/>
        <v>#N/A</v>
      </c>
      <c r="X73" s="9" t="e">
        <f t="shared" si="16"/>
        <v>#N/A</v>
      </c>
      <c r="Y73" s="9" t="e">
        <f t="shared" si="17"/>
        <v>#N/A</v>
      </c>
    </row>
    <row r="74" spans="3:25" s="9" customFormat="1" ht="0.5" customHeight="1">
      <c r="C74" s="9" t="str">
        <f t="shared" si="0"/>
        <v>Panama</v>
      </c>
      <c r="D74" s="9" t="str">
        <f t="shared" si="1"/>
        <v>Panama34</v>
      </c>
      <c r="E74" s="392">
        <v>34</v>
      </c>
      <c r="F74" s="9" t="e">
        <f t="shared" si="2"/>
        <v>#N/A</v>
      </c>
      <c r="G74" s="9" t="e">
        <f t="shared" si="3"/>
        <v>#N/A</v>
      </c>
      <c r="H74" s="9" t="e">
        <f t="shared" si="4"/>
        <v>#N/A</v>
      </c>
      <c r="I74" s="9" t="e">
        <f t="shared" si="5"/>
        <v>#N/A</v>
      </c>
      <c r="K74" s="9" t="e">
        <f t="shared" si="6"/>
        <v>#N/A</v>
      </c>
      <c r="L74" s="9" t="e">
        <f t="shared" si="7"/>
        <v>#N/A</v>
      </c>
      <c r="M74" s="9" t="e">
        <f t="shared" si="8"/>
        <v>#N/A</v>
      </c>
      <c r="N74" s="9" t="e">
        <f t="shared" si="9"/>
        <v>#N/A</v>
      </c>
      <c r="Q74" s="9" t="e">
        <f t="shared" si="10"/>
        <v>#N/A</v>
      </c>
      <c r="R74" s="9" t="e">
        <f t="shared" si="11"/>
        <v>#N/A</v>
      </c>
      <c r="S74" s="9" t="e">
        <f t="shared" si="12"/>
        <v>#N/A</v>
      </c>
      <c r="T74" s="9" t="e">
        <f t="shared" si="13"/>
        <v>#N/A</v>
      </c>
      <c r="V74" s="9" t="e">
        <f t="shared" si="14"/>
        <v>#N/A</v>
      </c>
      <c r="W74" s="9" t="e">
        <f t="shared" si="15"/>
        <v>#N/A</v>
      </c>
      <c r="X74" s="9" t="e">
        <f t="shared" si="16"/>
        <v>#N/A</v>
      </c>
      <c r="Y74" s="9" t="e">
        <f t="shared" si="17"/>
        <v>#N/A</v>
      </c>
    </row>
    <row r="75" spans="3:25" s="9" customFormat="1" ht="0.5" customHeight="1">
      <c r="C75" s="9" t="str">
        <f t="shared" si="0"/>
        <v>Panama</v>
      </c>
      <c r="D75" s="9" t="str">
        <f t="shared" si="1"/>
        <v>Panama34.5</v>
      </c>
      <c r="E75" s="392">
        <v>34.5</v>
      </c>
      <c r="F75" s="9" t="e">
        <f t="shared" si="2"/>
        <v>#N/A</v>
      </c>
      <c r="G75" s="9" t="e">
        <f t="shared" si="3"/>
        <v>#N/A</v>
      </c>
      <c r="H75" s="9" t="e">
        <f t="shared" si="4"/>
        <v>#N/A</v>
      </c>
      <c r="I75" s="9" t="e">
        <f t="shared" si="5"/>
        <v>#N/A</v>
      </c>
      <c r="K75" s="9" t="e">
        <f t="shared" si="6"/>
        <v>#N/A</v>
      </c>
      <c r="L75" s="9" t="e">
        <f t="shared" si="7"/>
        <v>#N/A</v>
      </c>
      <c r="M75" s="9" t="e">
        <f t="shared" si="8"/>
        <v>#N/A</v>
      </c>
      <c r="N75" s="9" t="e">
        <f t="shared" si="9"/>
        <v>#N/A</v>
      </c>
      <c r="Q75" s="9" t="e">
        <f t="shared" si="10"/>
        <v>#N/A</v>
      </c>
      <c r="R75" s="9" t="e">
        <f t="shared" si="11"/>
        <v>#N/A</v>
      </c>
      <c r="S75" s="9" t="e">
        <f t="shared" si="12"/>
        <v>#N/A</v>
      </c>
      <c r="T75" s="9" t="e">
        <f t="shared" si="13"/>
        <v>#N/A</v>
      </c>
      <c r="V75" s="9" t="e">
        <f t="shared" si="14"/>
        <v>#N/A</v>
      </c>
      <c r="W75" s="9" t="e">
        <f t="shared" si="15"/>
        <v>#N/A</v>
      </c>
      <c r="X75" s="9" t="e">
        <f t="shared" si="16"/>
        <v>#N/A</v>
      </c>
      <c r="Y75" s="9" t="e">
        <f t="shared" si="17"/>
        <v>#N/A</v>
      </c>
    </row>
    <row r="76" spans="3:25" s="9" customFormat="1" ht="0.5" customHeight="1">
      <c r="C76" s="9" t="str">
        <f t="shared" si="0"/>
        <v>Panama</v>
      </c>
      <c r="D76" s="9" t="str">
        <f t="shared" si="1"/>
        <v>Panama35</v>
      </c>
      <c r="E76" s="392">
        <v>35</v>
      </c>
      <c r="F76" s="9" t="e">
        <f t="shared" si="2"/>
        <v>#N/A</v>
      </c>
      <c r="G76" s="9" t="e">
        <f t="shared" si="3"/>
        <v>#N/A</v>
      </c>
      <c r="H76" s="9" t="e">
        <f t="shared" si="4"/>
        <v>#N/A</v>
      </c>
      <c r="I76" s="9" t="e">
        <f t="shared" si="5"/>
        <v>#N/A</v>
      </c>
      <c r="K76" s="9" t="e">
        <f t="shared" si="6"/>
        <v>#N/A</v>
      </c>
      <c r="L76" s="9" t="e">
        <f t="shared" si="7"/>
        <v>#N/A</v>
      </c>
      <c r="M76" s="9" t="e">
        <f t="shared" si="8"/>
        <v>#N/A</v>
      </c>
      <c r="N76" s="9" t="e">
        <f t="shared" si="9"/>
        <v>#N/A</v>
      </c>
      <c r="Q76" s="9" t="e">
        <f t="shared" si="10"/>
        <v>#N/A</v>
      </c>
      <c r="R76" s="9" t="e">
        <f t="shared" si="11"/>
        <v>#N/A</v>
      </c>
      <c r="S76" s="9" t="e">
        <f t="shared" si="12"/>
        <v>#N/A</v>
      </c>
      <c r="T76" s="9" t="e">
        <f t="shared" si="13"/>
        <v>#N/A</v>
      </c>
      <c r="V76" s="9" t="e">
        <f t="shared" si="14"/>
        <v>#N/A</v>
      </c>
      <c r="W76" s="9" t="e">
        <f t="shared" si="15"/>
        <v>#N/A</v>
      </c>
      <c r="X76" s="9" t="e">
        <f t="shared" si="16"/>
        <v>#N/A</v>
      </c>
      <c r="Y76" s="9" t="e">
        <f t="shared" si="17"/>
        <v>#N/A</v>
      </c>
    </row>
    <row r="77" spans="3:25" s="9" customFormat="1" ht="0.5" customHeight="1">
      <c r="C77" s="9" t="str">
        <f t="shared" si="0"/>
        <v>Panama</v>
      </c>
      <c r="D77" s="9" t="str">
        <f t="shared" si="1"/>
        <v>Panama35.5</v>
      </c>
      <c r="E77" s="392">
        <v>35.5</v>
      </c>
      <c r="F77" s="9" t="e">
        <f t="shared" si="2"/>
        <v>#N/A</v>
      </c>
      <c r="G77" s="9" t="e">
        <f t="shared" si="3"/>
        <v>#N/A</v>
      </c>
      <c r="H77" s="9" t="e">
        <f t="shared" si="4"/>
        <v>#N/A</v>
      </c>
      <c r="I77" s="9" t="e">
        <f t="shared" si="5"/>
        <v>#N/A</v>
      </c>
      <c r="K77" s="9" t="e">
        <f t="shared" si="6"/>
        <v>#N/A</v>
      </c>
      <c r="L77" s="9" t="e">
        <f t="shared" si="7"/>
        <v>#N/A</v>
      </c>
      <c r="M77" s="9" t="e">
        <f t="shared" si="8"/>
        <v>#N/A</v>
      </c>
      <c r="N77" s="9" t="e">
        <f t="shared" si="9"/>
        <v>#N/A</v>
      </c>
      <c r="Q77" s="9" t="e">
        <f t="shared" si="10"/>
        <v>#N/A</v>
      </c>
      <c r="R77" s="9" t="e">
        <f t="shared" si="11"/>
        <v>#N/A</v>
      </c>
      <c r="S77" s="9" t="e">
        <f t="shared" si="12"/>
        <v>#N/A</v>
      </c>
      <c r="T77" s="9" t="e">
        <f t="shared" si="13"/>
        <v>#N/A</v>
      </c>
      <c r="V77" s="9" t="e">
        <f t="shared" si="14"/>
        <v>#N/A</v>
      </c>
      <c r="W77" s="9" t="e">
        <f t="shared" si="15"/>
        <v>#N/A</v>
      </c>
      <c r="X77" s="9" t="e">
        <f t="shared" si="16"/>
        <v>#N/A</v>
      </c>
      <c r="Y77" s="9" t="e">
        <f t="shared" si="17"/>
        <v>#N/A</v>
      </c>
    </row>
    <row r="78" spans="3:25" s="9" customFormat="1" ht="0.5" customHeight="1">
      <c r="C78" s="9" t="str">
        <f t="shared" si="0"/>
        <v>Panama</v>
      </c>
      <c r="D78" s="9" t="str">
        <f t="shared" si="1"/>
        <v>Panama36</v>
      </c>
      <c r="E78" s="392">
        <v>36</v>
      </c>
      <c r="F78" s="9" t="e">
        <f t="shared" si="2"/>
        <v>#N/A</v>
      </c>
      <c r="G78" s="9" t="e">
        <f t="shared" si="3"/>
        <v>#N/A</v>
      </c>
      <c r="H78" s="9" t="e">
        <f t="shared" si="4"/>
        <v>#N/A</v>
      </c>
      <c r="I78" s="9" t="e">
        <f t="shared" si="5"/>
        <v>#N/A</v>
      </c>
      <c r="K78" s="9" t="e">
        <f t="shared" si="6"/>
        <v>#N/A</v>
      </c>
      <c r="L78" s="9" t="e">
        <f t="shared" si="7"/>
        <v>#N/A</v>
      </c>
      <c r="M78" s="9" t="e">
        <f t="shared" si="8"/>
        <v>#N/A</v>
      </c>
      <c r="N78" s="9" t="e">
        <f t="shared" si="9"/>
        <v>#N/A</v>
      </c>
      <c r="Q78" s="9" t="e">
        <f t="shared" si="10"/>
        <v>#N/A</v>
      </c>
      <c r="R78" s="9" t="e">
        <f t="shared" si="11"/>
        <v>#N/A</v>
      </c>
      <c r="S78" s="9" t="e">
        <f t="shared" si="12"/>
        <v>#N/A</v>
      </c>
      <c r="T78" s="9" t="e">
        <f t="shared" si="13"/>
        <v>#N/A</v>
      </c>
      <c r="V78" s="9" t="e">
        <f t="shared" si="14"/>
        <v>#N/A</v>
      </c>
      <c r="W78" s="9" t="e">
        <f t="shared" si="15"/>
        <v>#N/A</v>
      </c>
      <c r="X78" s="9" t="e">
        <f t="shared" si="16"/>
        <v>#N/A</v>
      </c>
      <c r="Y78" s="9" t="e">
        <f t="shared" si="17"/>
        <v>#N/A</v>
      </c>
    </row>
    <row r="79" spans="3:25" s="9" customFormat="1" ht="0.5" customHeight="1">
      <c r="C79" s="9" t="str">
        <f t="shared" si="0"/>
        <v>Panama</v>
      </c>
      <c r="D79" s="9" t="str">
        <f t="shared" si="1"/>
        <v>Panama36.5</v>
      </c>
      <c r="E79" s="392">
        <v>36.5</v>
      </c>
      <c r="F79" s="9" t="e">
        <f t="shared" si="2"/>
        <v>#N/A</v>
      </c>
      <c r="G79" s="9" t="e">
        <f t="shared" si="3"/>
        <v>#N/A</v>
      </c>
      <c r="H79" s="9" t="e">
        <f t="shared" si="4"/>
        <v>#N/A</v>
      </c>
      <c r="I79" s="9" t="e">
        <f t="shared" si="5"/>
        <v>#N/A</v>
      </c>
      <c r="K79" s="9" t="e">
        <f t="shared" si="6"/>
        <v>#N/A</v>
      </c>
      <c r="L79" s="9" t="e">
        <f t="shared" si="7"/>
        <v>#N/A</v>
      </c>
      <c r="M79" s="9" t="e">
        <f t="shared" si="8"/>
        <v>#N/A</v>
      </c>
      <c r="N79" s="9" t="e">
        <f t="shared" si="9"/>
        <v>#N/A</v>
      </c>
      <c r="Q79" s="9" t="e">
        <f t="shared" si="10"/>
        <v>#N/A</v>
      </c>
      <c r="R79" s="9" t="e">
        <f t="shared" si="11"/>
        <v>#N/A</v>
      </c>
      <c r="S79" s="9" t="e">
        <f t="shared" si="12"/>
        <v>#N/A</v>
      </c>
      <c r="T79" s="9" t="e">
        <f t="shared" si="13"/>
        <v>#N/A</v>
      </c>
      <c r="V79" s="9" t="e">
        <f t="shared" si="14"/>
        <v>#N/A</v>
      </c>
      <c r="W79" s="9" t="e">
        <f t="shared" si="15"/>
        <v>#N/A</v>
      </c>
      <c r="X79" s="9" t="e">
        <f t="shared" si="16"/>
        <v>#N/A</v>
      </c>
      <c r="Y79" s="9" t="e">
        <f t="shared" si="17"/>
        <v>#N/A</v>
      </c>
    </row>
    <row r="80" spans="3:25" s="9" customFormat="1" ht="0.5" customHeight="1">
      <c r="C80" s="9" t="str">
        <f t="shared" si="0"/>
        <v>Panama</v>
      </c>
      <c r="D80" s="9" t="str">
        <f t="shared" si="1"/>
        <v>Panama37</v>
      </c>
      <c r="E80" s="392">
        <v>37</v>
      </c>
      <c r="F80" s="9" t="e">
        <f t="shared" si="2"/>
        <v>#N/A</v>
      </c>
      <c r="G80" s="9" t="e">
        <f t="shared" si="3"/>
        <v>#N/A</v>
      </c>
      <c r="H80" s="9" t="e">
        <f t="shared" si="4"/>
        <v>#N/A</v>
      </c>
      <c r="I80" s="9" t="e">
        <f t="shared" si="5"/>
        <v>#N/A</v>
      </c>
      <c r="K80" s="9" t="e">
        <f t="shared" si="6"/>
        <v>#N/A</v>
      </c>
      <c r="L80" s="9" t="e">
        <f t="shared" si="7"/>
        <v>#N/A</v>
      </c>
      <c r="M80" s="9" t="e">
        <f t="shared" si="8"/>
        <v>#N/A</v>
      </c>
      <c r="N80" s="9" t="e">
        <f t="shared" si="9"/>
        <v>#N/A</v>
      </c>
      <c r="Q80" s="9" t="e">
        <f t="shared" si="10"/>
        <v>#N/A</v>
      </c>
      <c r="R80" s="9" t="e">
        <f t="shared" si="11"/>
        <v>#N/A</v>
      </c>
      <c r="S80" s="9" t="e">
        <f t="shared" si="12"/>
        <v>#N/A</v>
      </c>
      <c r="T80" s="9" t="e">
        <f t="shared" si="13"/>
        <v>#N/A</v>
      </c>
      <c r="V80" s="9" t="e">
        <f t="shared" si="14"/>
        <v>#N/A</v>
      </c>
      <c r="W80" s="9" t="e">
        <f t="shared" si="15"/>
        <v>#N/A</v>
      </c>
      <c r="X80" s="9" t="e">
        <f t="shared" si="16"/>
        <v>#N/A</v>
      </c>
      <c r="Y80" s="9" t="e">
        <f t="shared" si="17"/>
        <v>#N/A</v>
      </c>
    </row>
    <row r="81" spans="3:25" s="9" customFormat="1" ht="0.5" customHeight="1">
      <c r="C81" s="9" t="str">
        <f t="shared" si="0"/>
        <v>Panama</v>
      </c>
      <c r="D81" s="9" t="str">
        <f t="shared" si="1"/>
        <v>Panama37.5</v>
      </c>
      <c r="E81" s="392">
        <v>37.5</v>
      </c>
      <c r="F81" s="9" t="e">
        <f t="shared" si="2"/>
        <v>#N/A</v>
      </c>
      <c r="G81" s="9" t="e">
        <f t="shared" si="3"/>
        <v>#N/A</v>
      </c>
      <c r="H81" s="9" t="e">
        <f t="shared" si="4"/>
        <v>#N/A</v>
      </c>
      <c r="I81" s="9" t="e">
        <f t="shared" si="5"/>
        <v>#N/A</v>
      </c>
      <c r="K81" s="9" t="e">
        <f t="shared" si="6"/>
        <v>#N/A</v>
      </c>
      <c r="L81" s="9" t="e">
        <f t="shared" si="7"/>
        <v>#N/A</v>
      </c>
      <c r="M81" s="9" t="e">
        <f t="shared" si="8"/>
        <v>#N/A</v>
      </c>
      <c r="N81" s="9" t="e">
        <f t="shared" si="9"/>
        <v>#N/A</v>
      </c>
      <c r="Q81" s="9" t="e">
        <f t="shared" si="10"/>
        <v>#N/A</v>
      </c>
      <c r="R81" s="9" t="e">
        <f t="shared" si="11"/>
        <v>#N/A</v>
      </c>
      <c r="S81" s="9" t="e">
        <f t="shared" si="12"/>
        <v>#N/A</v>
      </c>
      <c r="T81" s="9" t="e">
        <f t="shared" si="13"/>
        <v>#N/A</v>
      </c>
      <c r="V81" s="9" t="e">
        <f t="shared" si="14"/>
        <v>#N/A</v>
      </c>
      <c r="W81" s="9" t="e">
        <f t="shared" si="15"/>
        <v>#N/A</v>
      </c>
      <c r="X81" s="9" t="e">
        <f t="shared" si="16"/>
        <v>#N/A</v>
      </c>
      <c r="Y81" s="9" t="e">
        <f t="shared" si="17"/>
        <v>#N/A</v>
      </c>
    </row>
    <row r="82" spans="3:25" s="9" customFormat="1" ht="0.5" customHeight="1">
      <c r="C82" s="9" t="str">
        <f t="shared" si="0"/>
        <v>Panama</v>
      </c>
      <c r="D82" s="9" t="str">
        <f t="shared" si="1"/>
        <v>Panama38</v>
      </c>
      <c r="E82" s="392">
        <v>38</v>
      </c>
      <c r="F82" s="9" t="e">
        <f t="shared" si="2"/>
        <v>#N/A</v>
      </c>
      <c r="G82" s="9" t="e">
        <f t="shared" si="3"/>
        <v>#N/A</v>
      </c>
      <c r="H82" s="9" t="e">
        <f t="shared" si="4"/>
        <v>#N/A</v>
      </c>
      <c r="I82" s="9" t="e">
        <f t="shared" si="5"/>
        <v>#N/A</v>
      </c>
      <c r="K82" s="9" t="e">
        <f t="shared" si="6"/>
        <v>#N/A</v>
      </c>
      <c r="L82" s="9" t="e">
        <f t="shared" si="7"/>
        <v>#N/A</v>
      </c>
      <c r="M82" s="9" t="e">
        <f t="shared" si="8"/>
        <v>#N/A</v>
      </c>
      <c r="N82" s="9" t="e">
        <f t="shared" si="9"/>
        <v>#N/A</v>
      </c>
      <c r="Q82" s="9" t="e">
        <f t="shared" si="10"/>
        <v>#N/A</v>
      </c>
      <c r="R82" s="9" t="e">
        <f t="shared" si="11"/>
        <v>#N/A</v>
      </c>
      <c r="S82" s="9" t="e">
        <f t="shared" si="12"/>
        <v>#N/A</v>
      </c>
      <c r="T82" s="9" t="e">
        <f t="shared" si="13"/>
        <v>#N/A</v>
      </c>
      <c r="V82" s="9" t="e">
        <f t="shared" si="14"/>
        <v>#N/A</v>
      </c>
      <c r="W82" s="9" t="e">
        <f t="shared" si="15"/>
        <v>#N/A</v>
      </c>
      <c r="X82" s="9" t="e">
        <f t="shared" si="16"/>
        <v>#N/A</v>
      </c>
      <c r="Y82" s="9" t="e">
        <f t="shared" si="17"/>
        <v>#N/A</v>
      </c>
    </row>
    <row r="83" spans="3:25" s="9" customFormat="1" ht="0.5" customHeight="1">
      <c r="C83" s="9" t="str">
        <f t="shared" si="0"/>
        <v>Panama</v>
      </c>
      <c r="D83" s="9" t="str">
        <f t="shared" si="1"/>
        <v>Panama38.5</v>
      </c>
      <c r="E83" s="392">
        <v>38.5</v>
      </c>
      <c r="F83" s="9" t="e">
        <f t="shared" si="2"/>
        <v>#N/A</v>
      </c>
      <c r="G83" s="9" t="e">
        <f t="shared" si="3"/>
        <v>#N/A</v>
      </c>
      <c r="H83" s="9" t="e">
        <f t="shared" si="4"/>
        <v>#N/A</v>
      </c>
      <c r="I83" s="9" t="e">
        <f t="shared" si="5"/>
        <v>#N/A</v>
      </c>
      <c r="K83" s="9" t="e">
        <f t="shared" si="6"/>
        <v>#N/A</v>
      </c>
      <c r="L83" s="9" t="e">
        <f t="shared" si="7"/>
        <v>#N/A</v>
      </c>
      <c r="M83" s="9" t="e">
        <f t="shared" si="8"/>
        <v>#N/A</v>
      </c>
      <c r="N83" s="9" t="e">
        <f t="shared" si="9"/>
        <v>#N/A</v>
      </c>
      <c r="Q83" s="9" t="e">
        <f t="shared" si="10"/>
        <v>#N/A</v>
      </c>
      <c r="R83" s="9" t="e">
        <f t="shared" si="11"/>
        <v>#N/A</v>
      </c>
      <c r="S83" s="9" t="e">
        <f t="shared" si="12"/>
        <v>#N/A</v>
      </c>
      <c r="T83" s="9" t="e">
        <f t="shared" si="13"/>
        <v>#N/A</v>
      </c>
      <c r="V83" s="9" t="e">
        <f t="shared" si="14"/>
        <v>#N/A</v>
      </c>
      <c r="W83" s="9" t="e">
        <f t="shared" si="15"/>
        <v>#N/A</v>
      </c>
      <c r="X83" s="9" t="e">
        <f t="shared" si="16"/>
        <v>#N/A</v>
      </c>
      <c r="Y83" s="9" t="e">
        <f t="shared" si="17"/>
        <v>#N/A</v>
      </c>
    </row>
    <row r="84" spans="3:25" s="9" customFormat="1" ht="0.5" customHeight="1">
      <c r="C84" s="9" t="str">
        <f t="shared" si="0"/>
        <v>Panama</v>
      </c>
      <c r="D84" s="9" t="str">
        <f t="shared" si="1"/>
        <v>Panama39</v>
      </c>
      <c r="E84" s="392">
        <v>39</v>
      </c>
      <c r="F84" s="9" t="e">
        <f t="shared" si="2"/>
        <v>#N/A</v>
      </c>
      <c r="G84" s="9" t="e">
        <f t="shared" si="3"/>
        <v>#N/A</v>
      </c>
      <c r="H84" s="9" t="e">
        <f t="shared" si="4"/>
        <v>#N/A</v>
      </c>
      <c r="I84" s="9" t="e">
        <f t="shared" si="5"/>
        <v>#N/A</v>
      </c>
      <c r="K84" s="9" t="e">
        <f t="shared" si="6"/>
        <v>#N/A</v>
      </c>
      <c r="L84" s="9" t="e">
        <f t="shared" si="7"/>
        <v>#N/A</v>
      </c>
      <c r="M84" s="9" t="e">
        <f t="shared" si="8"/>
        <v>#N/A</v>
      </c>
      <c r="N84" s="9" t="e">
        <f t="shared" si="9"/>
        <v>#N/A</v>
      </c>
      <c r="Q84" s="9" t="e">
        <f t="shared" si="10"/>
        <v>#N/A</v>
      </c>
      <c r="R84" s="9" t="e">
        <f t="shared" si="11"/>
        <v>#N/A</v>
      </c>
      <c r="S84" s="9" t="e">
        <f t="shared" si="12"/>
        <v>#N/A</v>
      </c>
      <c r="T84" s="9" t="e">
        <f t="shared" si="13"/>
        <v>#N/A</v>
      </c>
      <c r="V84" s="9" t="e">
        <f t="shared" si="14"/>
        <v>#N/A</v>
      </c>
      <c r="W84" s="9" t="e">
        <f t="shared" si="15"/>
        <v>#N/A</v>
      </c>
      <c r="X84" s="9" t="e">
        <f t="shared" si="16"/>
        <v>#N/A</v>
      </c>
      <c r="Y84" s="9" t="e">
        <f t="shared" si="17"/>
        <v>#N/A</v>
      </c>
    </row>
    <row r="85" spans="3:25" s="9" customFormat="1" ht="0.5" customHeight="1">
      <c r="C85" s="9" t="str">
        <f t="shared" si="0"/>
        <v>Panama</v>
      </c>
      <c r="D85" s="9" t="str">
        <f t="shared" si="1"/>
        <v>Panama39.5</v>
      </c>
      <c r="E85" s="392">
        <v>39.5</v>
      </c>
      <c r="F85" s="9" t="e">
        <f t="shared" si="2"/>
        <v>#N/A</v>
      </c>
      <c r="G85" s="9" t="e">
        <f t="shared" si="3"/>
        <v>#N/A</v>
      </c>
      <c r="H85" s="9" t="e">
        <f t="shared" si="4"/>
        <v>#N/A</v>
      </c>
      <c r="I85" s="9" t="e">
        <f t="shared" si="5"/>
        <v>#N/A</v>
      </c>
      <c r="K85" s="9" t="e">
        <f t="shared" si="6"/>
        <v>#N/A</v>
      </c>
      <c r="L85" s="9" t="e">
        <f t="shared" si="7"/>
        <v>#N/A</v>
      </c>
      <c r="M85" s="9" t="e">
        <f t="shared" si="8"/>
        <v>#N/A</v>
      </c>
      <c r="N85" s="9" t="e">
        <f t="shared" si="9"/>
        <v>#N/A</v>
      </c>
      <c r="Q85" s="9" t="e">
        <f t="shared" si="10"/>
        <v>#N/A</v>
      </c>
      <c r="R85" s="9" t="e">
        <f t="shared" si="11"/>
        <v>#N/A</v>
      </c>
      <c r="S85" s="9" t="e">
        <f t="shared" si="12"/>
        <v>#N/A</v>
      </c>
      <c r="T85" s="9" t="e">
        <f t="shared" si="13"/>
        <v>#N/A</v>
      </c>
      <c r="V85" s="9" t="e">
        <f t="shared" si="14"/>
        <v>#N/A</v>
      </c>
      <c r="W85" s="9" t="e">
        <f t="shared" si="15"/>
        <v>#N/A</v>
      </c>
      <c r="X85" s="9" t="e">
        <f t="shared" si="16"/>
        <v>#N/A</v>
      </c>
      <c r="Y85" s="9" t="e">
        <f t="shared" si="17"/>
        <v>#N/A</v>
      </c>
    </row>
    <row r="86" spans="3:25" s="9" customFormat="1" ht="0.5" customHeight="1">
      <c r="C86" s="9" t="str">
        <f t="shared" si="0"/>
        <v>Panama</v>
      </c>
      <c r="D86" s="9" t="str">
        <f t="shared" si="1"/>
        <v>Panama40</v>
      </c>
      <c r="E86" s="392">
        <v>40</v>
      </c>
      <c r="F86" s="9" t="e">
        <f t="shared" si="2"/>
        <v>#N/A</v>
      </c>
      <c r="G86" s="9" t="e">
        <f t="shared" si="3"/>
        <v>#N/A</v>
      </c>
      <c r="H86" s="9" t="e">
        <f t="shared" si="4"/>
        <v>#N/A</v>
      </c>
      <c r="I86" s="9" t="e">
        <f t="shared" si="5"/>
        <v>#N/A</v>
      </c>
      <c r="K86" s="9" t="e">
        <f t="shared" si="6"/>
        <v>#N/A</v>
      </c>
      <c r="L86" s="9" t="e">
        <f t="shared" si="7"/>
        <v>#N/A</v>
      </c>
      <c r="M86" s="9" t="e">
        <f t="shared" si="8"/>
        <v>#N/A</v>
      </c>
      <c r="N86" s="9" t="e">
        <f t="shared" si="9"/>
        <v>#N/A</v>
      </c>
      <c r="Q86" s="9" t="e">
        <f t="shared" si="10"/>
        <v>#N/A</v>
      </c>
      <c r="R86" s="9" t="e">
        <f t="shared" si="11"/>
        <v>#N/A</v>
      </c>
      <c r="S86" s="9" t="e">
        <f t="shared" si="12"/>
        <v>#N/A</v>
      </c>
      <c r="T86" s="9" t="e">
        <f t="shared" si="13"/>
        <v>#N/A</v>
      </c>
      <c r="V86" s="9" t="e">
        <f t="shared" si="14"/>
        <v>#N/A</v>
      </c>
      <c r="W86" s="9" t="e">
        <f t="shared" si="15"/>
        <v>#N/A</v>
      </c>
      <c r="X86" s="9" t="e">
        <f t="shared" si="16"/>
        <v>#N/A</v>
      </c>
      <c r="Y86" s="9" t="e">
        <f t="shared" si="17"/>
        <v>#N/A</v>
      </c>
    </row>
    <row r="87" spans="3:25" s="9" customFormat="1" ht="0.5" customHeight="1">
      <c r="C87" s="9" t="str">
        <f t="shared" si="0"/>
        <v>Panama</v>
      </c>
      <c r="D87" s="9" t="str">
        <f t="shared" si="1"/>
        <v>Panama40.5</v>
      </c>
      <c r="E87" s="392">
        <v>40.5</v>
      </c>
      <c r="F87" s="9" t="e">
        <f t="shared" si="2"/>
        <v>#N/A</v>
      </c>
      <c r="G87" s="9" t="e">
        <f t="shared" si="3"/>
        <v>#N/A</v>
      </c>
      <c r="H87" s="9" t="e">
        <f t="shared" si="4"/>
        <v>#N/A</v>
      </c>
      <c r="I87" s="9" t="e">
        <f t="shared" si="5"/>
        <v>#N/A</v>
      </c>
      <c r="K87" s="9" t="e">
        <f t="shared" si="6"/>
        <v>#N/A</v>
      </c>
      <c r="L87" s="9" t="e">
        <f t="shared" si="7"/>
        <v>#N/A</v>
      </c>
      <c r="M87" s="9" t="e">
        <f t="shared" si="8"/>
        <v>#N/A</v>
      </c>
      <c r="N87" s="9" t="e">
        <f t="shared" si="9"/>
        <v>#N/A</v>
      </c>
      <c r="Q87" s="9" t="e">
        <f t="shared" si="10"/>
        <v>#N/A</v>
      </c>
      <c r="R87" s="9" t="e">
        <f t="shared" si="11"/>
        <v>#N/A</v>
      </c>
      <c r="S87" s="9" t="e">
        <f t="shared" si="12"/>
        <v>#N/A</v>
      </c>
      <c r="T87" s="9" t="e">
        <f t="shared" si="13"/>
        <v>#N/A</v>
      </c>
      <c r="V87" s="9" t="e">
        <f t="shared" si="14"/>
        <v>#N/A</v>
      </c>
      <c r="W87" s="9" t="e">
        <f t="shared" si="15"/>
        <v>#N/A</v>
      </c>
      <c r="X87" s="9" t="e">
        <f t="shared" si="16"/>
        <v>#N/A</v>
      </c>
      <c r="Y87" s="9" t="e">
        <f t="shared" si="17"/>
        <v>#N/A</v>
      </c>
    </row>
    <row r="88" spans="3:25" s="9" customFormat="1" ht="0.5" customHeight="1">
      <c r="C88" s="9" t="str">
        <f t="shared" si="0"/>
        <v>Panama</v>
      </c>
      <c r="D88" s="9" t="str">
        <f t="shared" si="1"/>
        <v>Panama41</v>
      </c>
      <c r="E88" s="392">
        <v>41</v>
      </c>
      <c r="F88" s="9" t="e">
        <f t="shared" si="2"/>
        <v>#N/A</v>
      </c>
      <c r="G88" s="9" t="e">
        <f t="shared" si="3"/>
        <v>#N/A</v>
      </c>
      <c r="H88" s="9" t="e">
        <f t="shared" si="4"/>
        <v>#N/A</v>
      </c>
      <c r="I88" s="9" t="e">
        <f t="shared" si="5"/>
        <v>#N/A</v>
      </c>
      <c r="K88" s="9" t="e">
        <f t="shared" si="6"/>
        <v>#N/A</v>
      </c>
      <c r="L88" s="9" t="e">
        <f t="shared" si="7"/>
        <v>#N/A</v>
      </c>
      <c r="M88" s="9" t="e">
        <f t="shared" si="8"/>
        <v>#N/A</v>
      </c>
      <c r="N88" s="9" t="e">
        <f t="shared" si="9"/>
        <v>#N/A</v>
      </c>
      <c r="Q88" s="9" t="e">
        <f t="shared" si="10"/>
        <v>#N/A</v>
      </c>
      <c r="R88" s="9" t="e">
        <f t="shared" si="11"/>
        <v>#N/A</v>
      </c>
      <c r="S88" s="9" t="e">
        <f t="shared" si="12"/>
        <v>#N/A</v>
      </c>
      <c r="T88" s="9" t="e">
        <f t="shared" si="13"/>
        <v>#N/A</v>
      </c>
      <c r="V88" s="9" t="e">
        <f t="shared" si="14"/>
        <v>#N/A</v>
      </c>
      <c r="W88" s="9" t="e">
        <f t="shared" si="15"/>
        <v>#N/A</v>
      </c>
      <c r="X88" s="9" t="e">
        <f t="shared" si="16"/>
        <v>#N/A</v>
      </c>
      <c r="Y88" s="9" t="e">
        <f t="shared" si="17"/>
        <v>#N/A</v>
      </c>
    </row>
    <row r="89" spans="3:25" s="9" customFormat="1" ht="0.5" customHeight="1">
      <c r="C89" s="9" t="str">
        <f t="shared" si="0"/>
        <v>Panama</v>
      </c>
      <c r="D89" s="9" t="str">
        <f t="shared" si="1"/>
        <v>Panama41.5</v>
      </c>
      <c r="E89" s="392">
        <v>41.5</v>
      </c>
      <c r="F89" s="9" t="e">
        <f t="shared" si="2"/>
        <v>#N/A</v>
      </c>
      <c r="G89" s="9" t="e">
        <f t="shared" si="3"/>
        <v>#N/A</v>
      </c>
      <c r="H89" s="9" t="e">
        <f t="shared" si="4"/>
        <v>#N/A</v>
      </c>
      <c r="I89" s="9" t="e">
        <f t="shared" si="5"/>
        <v>#N/A</v>
      </c>
      <c r="K89" s="9" t="e">
        <f t="shared" si="6"/>
        <v>#N/A</v>
      </c>
      <c r="L89" s="9" t="e">
        <f t="shared" si="7"/>
        <v>#N/A</v>
      </c>
      <c r="M89" s="9" t="e">
        <f t="shared" si="8"/>
        <v>#N/A</v>
      </c>
      <c r="N89" s="9" t="e">
        <f t="shared" si="9"/>
        <v>#N/A</v>
      </c>
      <c r="Q89" s="9" t="e">
        <f t="shared" si="10"/>
        <v>#N/A</v>
      </c>
      <c r="R89" s="9" t="e">
        <f t="shared" si="11"/>
        <v>#N/A</v>
      </c>
      <c r="S89" s="9" t="e">
        <f t="shared" si="12"/>
        <v>#N/A</v>
      </c>
      <c r="T89" s="9" t="e">
        <f t="shared" si="13"/>
        <v>#N/A</v>
      </c>
      <c r="V89" s="9" t="e">
        <f t="shared" si="14"/>
        <v>#N/A</v>
      </c>
      <c r="W89" s="9" t="e">
        <f t="shared" si="15"/>
        <v>#N/A</v>
      </c>
      <c r="X89" s="9" t="e">
        <f t="shared" si="16"/>
        <v>#N/A</v>
      </c>
      <c r="Y89" s="9" t="e">
        <f t="shared" si="17"/>
        <v>#N/A</v>
      </c>
    </row>
    <row r="90" spans="3:25" s="9" customFormat="1" ht="0.5" customHeight="1">
      <c r="C90" s="9" t="str">
        <f t="shared" si="0"/>
        <v>Panama</v>
      </c>
      <c r="D90" s="9" t="str">
        <f t="shared" si="1"/>
        <v>Panama42</v>
      </c>
      <c r="E90" s="392">
        <v>42</v>
      </c>
      <c r="F90" s="9" t="e">
        <f t="shared" si="2"/>
        <v>#N/A</v>
      </c>
      <c r="G90" s="9" t="e">
        <f t="shared" si="3"/>
        <v>#N/A</v>
      </c>
      <c r="H90" s="9" t="e">
        <f t="shared" si="4"/>
        <v>#N/A</v>
      </c>
      <c r="I90" s="9" t="e">
        <f t="shared" si="5"/>
        <v>#N/A</v>
      </c>
      <c r="K90" s="9" t="e">
        <f t="shared" si="6"/>
        <v>#N/A</v>
      </c>
      <c r="L90" s="9" t="e">
        <f t="shared" si="7"/>
        <v>#N/A</v>
      </c>
      <c r="M90" s="9" t="e">
        <f t="shared" si="8"/>
        <v>#N/A</v>
      </c>
      <c r="N90" s="9" t="e">
        <f t="shared" si="9"/>
        <v>#N/A</v>
      </c>
      <c r="Q90" s="9" t="e">
        <f t="shared" si="10"/>
        <v>#N/A</v>
      </c>
      <c r="R90" s="9" t="e">
        <f t="shared" si="11"/>
        <v>#N/A</v>
      </c>
      <c r="S90" s="9" t="e">
        <f t="shared" si="12"/>
        <v>#N/A</v>
      </c>
      <c r="T90" s="9" t="e">
        <f t="shared" si="13"/>
        <v>#N/A</v>
      </c>
      <c r="V90" s="9" t="e">
        <f t="shared" si="14"/>
        <v>#N/A</v>
      </c>
      <c r="W90" s="9" t="e">
        <f t="shared" si="15"/>
        <v>#N/A</v>
      </c>
      <c r="X90" s="9" t="e">
        <f t="shared" si="16"/>
        <v>#N/A</v>
      </c>
      <c r="Y90" s="9" t="e">
        <f t="shared" si="17"/>
        <v>#N/A</v>
      </c>
    </row>
    <row r="91" spans="3:25" s="9" customFormat="1" ht="0.5" customHeight="1">
      <c r="C91" s="9" t="str">
        <f t="shared" si="0"/>
        <v>Panama</v>
      </c>
      <c r="D91" s="9" t="str">
        <f t="shared" si="1"/>
        <v>Panama42.5</v>
      </c>
      <c r="E91" s="392">
        <v>42.5</v>
      </c>
      <c r="F91" s="9" t="e">
        <f t="shared" si="2"/>
        <v>#N/A</v>
      </c>
      <c r="G91" s="9" t="e">
        <f t="shared" si="3"/>
        <v>#N/A</v>
      </c>
      <c r="H91" s="9" t="e">
        <f t="shared" si="4"/>
        <v>#N/A</v>
      </c>
      <c r="I91" s="9" t="e">
        <f t="shared" si="5"/>
        <v>#N/A</v>
      </c>
      <c r="K91" s="9" t="e">
        <f t="shared" si="6"/>
        <v>#N/A</v>
      </c>
      <c r="L91" s="9" t="e">
        <f t="shared" si="7"/>
        <v>#N/A</v>
      </c>
      <c r="M91" s="9" t="e">
        <f t="shared" si="8"/>
        <v>#N/A</v>
      </c>
      <c r="N91" s="9" t="e">
        <f t="shared" si="9"/>
        <v>#N/A</v>
      </c>
      <c r="Q91" s="9" t="e">
        <f t="shared" si="10"/>
        <v>#N/A</v>
      </c>
      <c r="R91" s="9" t="e">
        <f t="shared" si="11"/>
        <v>#N/A</v>
      </c>
      <c r="S91" s="9" t="e">
        <f t="shared" si="12"/>
        <v>#N/A</v>
      </c>
      <c r="T91" s="9" t="e">
        <f t="shared" si="13"/>
        <v>#N/A</v>
      </c>
      <c r="V91" s="9" t="e">
        <f t="shared" si="14"/>
        <v>#N/A</v>
      </c>
      <c r="W91" s="9" t="e">
        <f t="shared" si="15"/>
        <v>#N/A</v>
      </c>
      <c r="X91" s="9" t="e">
        <f t="shared" si="16"/>
        <v>#N/A</v>
      </c>
      <c r="Y91" s="9" t="e">
        <f t="shared" si="17"/>
        <v>#N/A</v>
      </c>
    </row>
    <row r="92" spans="3:25" s="9" customFormat="1" ht="0.5" customHeight="1">
      <c r="C92" s="9" t="str">
        <f t="shared" si="0"/>
        <v>Panama</v>
      </c>
      <c r="D92" s="9" t="str">
        <f t="shared" si="1"/>
        <v>Panama43</v>
      </c>
      <c r="E92" s="392">
        <v>43</v>
      </c>
      <c r="F92" s="9" t="e">
        <f t="shared" si="2"/>
        <v>#N/A</v>
      </c>
      <c r="G92" s="9" t="e">
        <f t="shared" si="3"/>
        <v>#N/A</v>
      </c>
      <c r="H92" s="9" t="e">
        <f t="shared" si="4"/>
        <v>#N/A</v>
      </c>
      <c r="I92" s="9" t="e">
        <f t="shared" si="5"/>
        <v>#N/A</v>
      </c>
      <c r="K92" s="9" t="e">
        <f t="shared" si="6"/>
        <v>#N/A</v>
      </c>
      <c r="L92" s="9" t="e">
        <f t="shared" si="7"/>
        <v>#N/A</v>
      </c>
      <c r="M92" s="9" t="e">
        <f t="shared" si="8"/>
        <v>#N/A</v>
      </c>
      <c r="N92" s="9" t="e">
        <f t="shared" si="9"/>
        <v>#N/A</v>
      </c>
      <c r="Q92" s="9" t="e">
        <f t="shared" si="10"/>
        <v>#N/A</v>
      </c>
      <c r="R92" s="9" t="e">
        <f t="shared" si="11"/>
        <v>#N/A</v>
      </c>
      <c r="S92" s="9" t="e">
        <f t="shared" si="12"/>
        <v>#N/A</v>
      </c>
      <c r="T92" s="9" t="e">
        <f t="shared" si="13"/>
        <v>#N/A</v>
      </c>
      <c r="V92" s="9" t="e">
        <f t="shared" si="14"/>
        <v>#N/A</v>
      </c>
      <c r="W92" s="9" t="e">
        <f t="shared" si="15"/>
        <v>#N/A</v>
      </c>
      <c r="X92" s="9" t="e">
        <f t="shared" si="16"/>
        <v>#N/A</v>
      </c>
      <c r="Y92" s="9" t="e">
        <f t="shared" si="17"/>
        <v>#N/A</v>
      </c>
    </row>
    <row r="93" spans="3:25" s="9" customFormat="1" ht="0.5" customHeight="1">
      <c r="C93" s="9" t="str">
        <f t="shared" si="0"/>
        <v>Panama</v>
      </c>
      <c r="D93" s="9" t="str">
        <f t="shared" si="1"/>
        <v>Panama43.5</v>
      </c>
      <c r="E93" s="392">
        <v>43.5</v>
      </c>
      <c r="F93" s="9" t="e">
        <f t="shared" si="2"/>
        <v>#N/A</v>
      </c>
      <c r="G93" s="9" t="e">
        <f t="shared" si="3"/>
        <v>#N/A</v>
      </c>
      <c r="H93" s="9" t="e">
        <f t="shared" si="4"/>
        <v>#N/A</v>
      </c>
      <c r="I93" s="9" t="e">
        <f t="shared" si="5"/>
        <v>#N/A</v>
      </c>
      <c r="K93" s="9" t="e">
        <f t="shared" si="6"/>
        <v>#N/A</v>
      </c>
      <c r="L93" s="9" t="e">
        <f t="shared" si="7"/>
        <v>#N/A</v>
      </c>
      <c r="M93" s="9" t="e">
        <f t="shared" si="8"/>
        <v>#N/A</v>
      </c>
      <c r="N93" s="9" t="e">
        <f t="shared" si="9"/>
        <v>#N/A</v>
      </c>
      <c r="Q93" s="9" t="e">
        <f t="shared" si="10"/>
        <v>#N/A</v>
      </c>
      <c r="R93" s="9" t="e">
        <f t="shared" si="11"/>
        <v>#N/A</v>
      </c>
      <c r="S93" s="9" t="e">
        <f t="shared" si="12"/>
        <v>#N/A</v>
      </c>
      <c r="T93" s="9" t="e">
        <f t="shared" si="13"/>
        <v>#N/A</v>
      </c>
      <c r="V93" s="9" t="e">
        <f t="shared" si="14"/>
        <v>#N/A</v>
      </c>
      <c r="W93" s="9" t="e">
        <f t="shared" si="15"/>
        <v>#N/A</v>
      </c>
      <c r="X93" s="9" t="e">
        <f t="shared" si="16"/>
        <v>#N/A</v>
      </c>
      <c r="Y93" s="9" t="e">
        <f t="shared" si="17"/>
        <v>#N/A</v>
      </c>
    </row>
    <row r="94" spans="3:25" s="9" customFormat="1" ht="0.5" customHeight="1">
      <c r="C94" s="9" t="str">
        <f t="shared" si="0"/>
        <v>Panama</v>
      </c>
      <c r="D94" s="9" t="str">
        <f t="shared" si="1"/>
        <v>Panama44</v>
      </c>
      <c r="E94" s="392">
        <v>44</v>
      </c>
      <c r="F94" s="9" t="e">
        <f t="shared" si="2"/>
        <v>#N/A</v>
      </c>
      <c r="G94" s="9" t="e">
        <f t="shared" si="3"/>
        <v>#N/A</v>
      </c>
      <c r="H94" s="9" t="e">
        <f t="shared" si="4"/>
        <v>#N/A</v>
      </c>
      <c r="I94" s="9" t="e">
        <f t="shared" si="5"/>
        <v>#N/A</v>
      </c>
      <c r="K94" s="9" t="e">
        <f t="shared" si="6"/>
        <v>#N/A</v>
      </c>
      <c r="L94" s="9" t="e">
        <f t="shared" si="7"/>
        <v>#N/A</v>
      </c>
      <c r="M94" s="9" t="e">
        <f t="shared" si="8"/>
        <v>#N/A</v>
      </c>
      <c r="N94" s="9" t="e">
        <f t="shared" si="9"/>
        <v>#N/A</v>
      </c>
      <c r="Q94" s="9" t="e">
        <f t="shared" si="10"/>
        <v>#N/A</v>
      </c>
      <c r="R94" s="9" t="e">
        <f t="shared" si="11"/>
        <v>#N/A</v>
      </c>
      <c r="S94" s="9" t="e">
        <f t="shared" si="12"/>
        <v>#N/A</v>
      </c>
      <c r="T94" s="9" t="e">
        <f t="shared" si="13"/>
        <v>#N/A</v>
      </c>
      <c r="V94" s="9" t="e">
        <f t="shared" si="14"/>
        <v>#N/A</v>
      </c>
      <c r="W94" s="9" t="e">
        <f t="shared" si="15"/>
        <v>#N/A</v>
      </c>
      <c r="X94" s="9" t="e">
        <f t="shared" si="16"/>
        <v>#N/A</v>
      </c>
      <c r="Y94" s="9" t="e">
        <f t="shared" si="17"/>
        <v>#N/A</v>
      </c>
    </row>
    <row r="95" spans="3:25" s="9" customFormat="1" ht="0.5" customHeight="1">
      <c r="C95" s="9" t="str">
        <f t="shared" si="0"/>
        <v>Panama</v>
      </c>
      <c r="D95" s="9" t="str">
        <f t="shared" si="1"/>
        <v>Panama44.5</v>
      </c>
      <c r="E95" s="392">
        <v>44.5</v>
      </c>
      <c r="F95" s="9" t="e">
        <f t="shared" si="2"/>
        <v>#N/A</v>
      </c>
      <c r="G95" s="9" t="e">
        <f t="shared" si="3"/>
        <v>#N/A</v>
      </c>
      <c r="H95" s="9" t="e">
        <f t="shared" si="4"/>
        <v>#N/A</v>
      </c>
      <c r="I95" s="9" t="e">
        <f t="shared" si="5"/>
        <v>#N/A</v>
      </c>
      <c r="K95" s="9" t="e">
        <f t="shared" si="6"/>
        <v>#N/A</v>
      </c>
      <c r="L95" s="9" t="e">
        <f t="shared" si="7"/>
        <v>#N/A</v>
      </c>
      <c r="M95" s="9" t="e">
        <f t="shared" si="8"/>
        <v>#N/A</v>
      </c>
      <c r="N95" s="9" t="e">
        <f t="shared" si="9"/>
        <v>#N/A</v>
      </c>
      <c r="Q95" s="9" t="e">
        <f t="shared" si="10"/>
        <v>#N/A</v>
      </c>
      <c r="R95" s="9" t="e">
        <f t="shared" si="11"/>
        <v>#N/A</v>
      </c>
      <c r="S95" s="9" t="e">
        <f t="shared" si="12"/>
        <v>#N/A</v>
      </c>
      <c r="T95" s="9" t="e">
        <f t="shared" si="13"/>
        <v>#N/A</v>
      </c>
      <c r="V95" s="9" t="e">
        <f t="shared" si="14"/>
        <v>#N/A</v>
      </c>
      <c r="W95" s="9" t="e">
        <f t="shared" si="15"/>
        <v>#N/A</v>
      </c>
      <c r="X95" s="9" t="e">
        <f t="shared" si="16"/>
        <v>#N/A</v>
      </c>
      <c r="Y95" s="9" t="e">
        <f t="shared" si="17"/>
        <v>#N/A</v>
      </c>
    </row>
    <row r="96" spans="3:25" s="9" customFormat="1" ht="0.5" customHeight="1">
      <c r="C96" s="9" t="str">
        <f t="shared" si="0"/>
        <v>Panama</v>
      </c>
      <c r="D96" s="9" t="str">
        <f t="shared" si="1"/>
        <v>Panama45</v>
      </c>
      <c r="E96" s="392">
        <v>45</v>
      </c>
      <c r="F96" s="9" t="e">
        <f t="shared" si="2"/>
        <v>#N/A</v>
      </c>
      <c r="G96" s="9" t="e">
        <f t="shared" si="3"/>
        <v>#N/A</v>
      </c>
      <c r="H96" s="9" t="e">
        <f t="shared" si="4"/>
        <v>#N/A</v>
      </c>
      <c r="I96" s="9" t="e">
        <f t="shared" si="5"/>
        <v>#N/A</v>
      </c>
      <c r="K96" s="9" t="e">
        <f t="shared" si="6"/>
        <v>#N/A</v>
      </c>
      <c r="L96" s="9" t="e">
        <f t="shared" si="7"/>
        <v>#N/A</v>
      </c>
      <c r="M96" s="9" t="e">
        <f t="shared" si="8"/>
        <v>#N/A</v>
      </c>
      <c r="N96" s="9" t="e">
        <f t="shared" si="9"/>
        <v>#N/A</v>
      </c>
      <c r="Q96" s="9" t="e">
        <f t="shared" si="10"/>
        <v>#N/A</v>
      </c>
      <c r="R96" s="9" t="e">
        <f t="shared" si="11"/>
        <v>#N/A</v>
      </c>
      <c r="S96" s="9" t="e">
        <f t="shared" si="12"/>
        <v>#N/A</v>
      </c>
      <c r="T96" s="9" t="e">
        <f t="shared" si="13"/>
        <v>#N/A</v>
      </c>
      <c r="V96" s="9" t="e">
        <f t="shared" si="14"/>
        <v>#N/A</v>
      </c>
      <c r="W96" s="9" t="e">
        <f t="shared" si="15"/>
        <v>#N/A</v>
      </c>
      <c r="X96" s="9" t="e">
        <f t="shared" si="16"/>
        <v>#N/A</v>
      </c>
      <c r="Y96" s="9" t="e">
        <f t="shared" si="17"/>
        <v>#N/A</v>
      </c>
    </row>
    <row r="97" spans="3:25" s="9" customFormat="1" ht="0.5" customHeight="1">
      <c r="C97" s="9" t="str">
        <f t="shared" si="0"/>
        <v>Panama</v>
      </c>
      <c r="D97" s="9" t="str">
        <f t="shared" si="1"/>
        <v>Panama45.5</v>
      </c>
      <c r="E97" s="392">
        <v>45.5</v>
      </c>
      <c r="F97" s="9" t="e">
        <f t="shared" si="2"/>
        <v>#N/A</v>
      </c>
      <c r="G97" s="9" t="e">
        <f t="shared" si="3"/>
        <v>#N/A</v>
      </c>
      <c r="H97" s="9" t="e">
        <f t="shared" si="4"/>
        <v>#N/A</v>
      </c>
      <c r="I97" s="9" t="e">
        <f t="shared" si="5"/>
        <v>#N/A</v>
      </c>
      <c r="K97" s="9" t="e">
        <f t="shared" si="6"/>
        <v>#N/A</v>
      </c>
      <c r="L97" s="9" t="e">
        <f t="shared" si="7"/>
        <v>#N/A</v>
      </c>
      <c r="M97" s="9" t="e">
        <f t="shared" si="8"/>
        <v>#N/A</v>
      </c>
      <c r="N97" s="9" t="e">
        <f t="shared" si="9"/>
        <v>#N/A</v>
      </c>
      <c r="Q97" s="9" t="e">
        <f t="shared" si="10"/>
        <v>#N/A</v>
      </c>
      <c r="R97" s="9" t="e">
        <f t="shared" si="11"/>
        <v>#N/A</v>
      </c>
      <c r="S97" s="9" t="e">
        <f t="shared" si="12"/>
        <v>#N/A</v>
      </c>
      <c r="T97" s="9" t="e">
        <f t="shared" si="13"/>
        <v>#N/A</v>
      </c>
      <c r="V97" s="9" t="e">
        <f t="shared" si="14"/>
        <v>#N/A</v>
      </c>
      <c r="W97" s="9" t="e">
        <f t="shared" si="15"/>
        <v>#N/A</v>
      </c>
      <c r="X97" s="9" t="e">
        <f t="shared" si="16"/>
        <v>#N/A</v>
      </c>
      <c r="Y97" s="9" t="e">
        <f t="shared" si="17"/>
        <v>#N/A</v>
      </c>
    </row>
    <row r="98" spans="3:25" s="9" customFormat="1" ht="0.5" customHeight="1">
      <c r="C98" s="9" t="str">
        <f t="shared" si="0"/>
        <v>Panama</v>
      </c>
      <c r="D98" s="9" t="str">
        <f t="shared" si="1"/>
        <v>Panama46</v>
      </c>
      <c r="E98" s="392">
        <v>46</v>
      </c>
      <c r="F98" s="9" t="e">
        <f t="shared" si="2"/>
        <v>#N/A</v>
      </c>
      <c r="G98" s="9" t="e">
        <f t="shared" si="3"/>
        <v>#N/A</v>
      </c>
      <c r="H98" s="9" t="e">
        <f t="shared" si="4"/>
        <v>#N/A</v>
      </c>
      <c r="I98" s="9" t="e">
        <f t="shared" si="5"/>
        <v>#N/A</v>
      </c>
      <c r="K98" s="9" t="e">
        <f t="shared" si="6"/>
        <v>#N/A</v>
      </c>
      <c r="L98" s="9" t="e">
        <f t="shared" si="7"/>
        <v>#N/A</v>
      </c>
      <c r="M98" s="9" t="e">
        <f t="shared" si="8"/>
        <v>#N/A</v>
      </c>
      <c r="N98" s="9" t="e">
        <f t="shared" si="9"/>
        <v>#N/A</v>
      </c>
      <c r="Q98" s="9" t="e">
        <f t="shared" si="10"/>
        <v>#N/A</v>
      </c>
      <c r="R98" s="9" t="e">
        <f t="shared" si="11"/>
        <v>#N/A</v>
      </c>
      <c r="S98" s="9" t="e">
        <f t="shared" si="12"/>
        <v>#N/A</v>
      </c>
      <c r="T98" s="9" t="e">
        <f t="shared" si="13"/>
        <v>#N/A</v>
      </c>
      <c r="V98" s="9" t="e">
        <f t="shared" si="14"/>
        <v>#N/A</v>
      </c>
      <c r="W98" s="9" t="e">
        <f t="shared" si="15"/>
        <v>#N/A</v>
      </c>
      <c r="X98" s="9" t="e">
        <f t="shared" si="16"/>
        <v>#N/A</v>
      </c>
      <c r="Y98" s="9" t="e">
        <f t="shared" si="17"/>
        <v>#N/A</v>
      </c>
    </row>
    <row r="99" spans="3:25" s="9" customFormat="1" ht="0.5" customHeight="1">
      <c r="C99" s="9" t="str">
        <f t="shared" si="0"/>
        <v>Panama</v>
      </c>
      <c r="D99" s="9" t="str">
        <f t="shared" si="1"/>
        <v>Panama46.5</v>
      </c>
      <c r="E99" s="392">
        <v>46.5</v>
      </c>
      <c r="F99" s="9" t="e">
        <f t="shared" si="2"/>
        <v>#N/A</v>
      </c>
      <c r="G99" s="9" t="e">
        <f t="shared" si="3"/>
        <v>#N/A</v>
      </c>
      <c r="H99" s="9" t="e">
        <f t="shared" si="4"/>
        <v>#N/A</v>
      </c>
      <c r="I99" s="9" t="e">
        <f t="shared" si="5"/>
        <v>#N/A</v>
      </c>
      <c r="K99" s="9" t="e">
        <f t="shared" si="6"/>
        <v>#N/A</v>
      </c>
      <c r="L99" s="9" t="e">
        <f t="shared" si="7"/>
        <v>#N/A</v>
      </c>
      <c r="M99" s="9" t="e">
        <f t="shared" si="8"/>
        <v>#N/A</v>
      </c>
      <c r="N99" s="9" t="e">
        <f t="shared" si="9"/>
        <v>#N/A</v>
      </c>
      <c r="Q99" s="9" t="e">
        <f t="shared" si="10"/>
        <v>#N/A</v>
      </c>
      <c r="R99" s="9" t="e">
        <f t="shared" si="11"/>
        <v>#N/A</v>
      </c>
      <c r="S99" s="9" t="e">
        <f t="shared" si="12"/>
        <v>#N/A</v>
      </c>
      <c r="T99" s="9" t="e">
        <f t="shared" si="13"/>
        <v>#N/A</v>
      </c>
      <c r="V99" s="9" t="e">
        <f t="shared" si="14"/>
        <v>#N/A</v>
      </c>
      <c r="W99" s="9" t="e">
        <f t="shared" si="15"/>
        <v>#N/A</v>
      </c>
      <c r="X99" s="9" t="e">
        <f t="shared" si="16"/>
        <v>#N/A</v>
      </c>
      <c r="Y99" s="9" t="e">
        <f t="shared" si="17"/>
        <v>#N/A</v>
      </c>
    </row>
    <row r="100" spans="3:25" s="9" customFormat="1" ht="0.5" customHeight="1">
      <c r="C100" s="9" t="str">
        <f t="shared" si="0"/>
        <v>Panama</v>
      </c>
      <c r="D100" s="9" t="str">
        <f t="shared" si="1"/>
        <v>Panama47</v>
      </c>
      <c r="E100" s="392">
        <v>47</v>
      </c>
      <c r="F100" s="9" t="e">
        <f t="shared" si="2"/>
        <v>#N/A</v>
      </c>
      <c r="G100" s="9" t="e">
        <f t="shared" si="3"/>
        <v>#N/A</v>
      </c>
      <c r="H100" s="9" t="e">
        <f t="shared" si="4"/>
        <v>#N/A</v>
      </c>
      <c r="I100" s="9" t="e">
        <f t="shared" si="5"/>
        <v>#N/A</v>
      </c>
      <c r="K100" s="9" t="e">
        <f t="shared" si="6"/>
        <v>#N/A</v>
      </c>
      <c r="L100" s="9" t="e">
        <f t="shared" si="7"/>
        <v>#N/A</v>
      </c>
      <c r="M100" s="9" t="e">
        <f t="shared" si="8"/>
        <v>#N/A</v>
      </c>
      <c r="N100" s="9" t="e">
        <f t="shared" si="9"/>
        <v>#N/A</v>
      </c>
      <c r="Q100" s="9" t="e">
        <f t="shared" si="10"/>
        <v>#N/A</v>
      </c>
      <c r="R100" s="9" t="e">
        <f t="shared" si="11"/>
        <v>#N/A</v>
      </c>
      <c r="S100" s="9" t="e">
        <f t="shared" si="12"/>
        <v>#N/A</v>
      </c>
      <c r="T100" s="9" t="e">
        <f t="shared" si="13"/>
        <v>#N/A</v>
      </c>
      <c r="V100" s="9" t="e">
        <f t="shared" si="14"/>
        <v>#N/A</v>
      </c>
      <c r="W100" s="9" t="e">
        <f t="shared" si="15"/>
        <v>#N/A</v>
      </c>
      <c r="X100" s="9" t="e">
        <f t="shared" si="16"/>
        <v>#N/A</v>
      </c>
      <c r="Y100" s="9" t="e">
        <f t="shared" si="17"/>
        <v>#N/A</v>
      </c>
    </row>
    <row r="101" spans="3:25" s="9" customFormat="1" ht="0.5" customHeight="1">
      <c r="C101" s="9" t="str">
        <f t="shared" si="0"/>
        <v>Panama</v>
      </c>
      <c r="D101" s="9" t="str">
        <f t="shared" si="1"/>
        <v>Panama47.5</v>
      </c>
      <c r="E101" s="392">
        <v>47.5</v>
      </c>
      <c r="F101" s="9" t="e">
        <f t="shared" si="2"/>
        <v>#N/A</v>
      </c>
      <c r="G101" s="9" t="e">
        <f t="shared" si="3"/>
        <v>#N/A</v>
      </c>
      <c r="H101" s="9" t="e">
        <f t="shared" si="4"/>
        <v>#N/A</v>
      </c>
      <c r="I101" s="9" t="e">
        <f t="shared" si="5"/>
        <v>#N/A</v>
      </c>
      <c r="K101" s="9" t="e">
        <f t="shared" si="6"/>
        <v>#N/A</v>
      </c>
      <c r="L101" s="9" t="e">
        <f t="shared" si="7"/>
        <v>#N/A</v>
      </c>
      <c r="M101" s="9" t="e">
        <f t="shared" si="8"/>
        <v>#N/A</v>
      </c>
      <c r="N101" s="9" t="e">
        <f t="shared" si="9"/>
        <v>#N/A</v>
      </c>
      <c r="Q101" s="9" t="e">
        <f t="shared" si="10"/>
        <v>#N/A</v>
      </c>
      <c r="R101" s="9" t="e">
        <f t="shared" si="11"/>
        <v>#N/A</v>
      </c>
      <c r="S101" s="9" t="e">
        <f t="shared" si="12"/>
        <v>#N/A</v>
      </c>
      <c r="T101" s="9" t="e">
        <f t="shared" si="13"/>
        <v>#N/A</v>
      </c>
      <c r="V101" s="9" t="e">
        <f t="shared" si="14"/>
        <v>#N/A</v>
      </c>
      <c r="W101" s="9" t="e">
        <f t="shared" si="15"/>
        <v>#N/A</v>
      </c>
      <c r="X101" s="9" t="e">
        <f t="shared" si="16"/>
        <v>#N/A</v>
      </c>
      <c r="Y101" s="9" t="e">
        <f t="shared" si="17"/>
        <v>#N/A</v>
      </c>
    </row>
    <row r="102" spans="3:25" s="9" customFormat="1" ht="0.5" customHeight="1">
      <c r="C102" s="9" t="str">
        <f t="shared" si="0"/>
        <v>Panama</v>
      </c>
      <c r="D102" s="9" t="str">
        <f t="shared" si="1"/>
        <v>Panama48</v>
      </c>
      <c r="E102" s="392">
        <v>48</v>
      </c>
      <c r="F102" s="9" t="e">
        <f t="shared" si="2"/>
        <v>#N/A</v>
      </c>
      <c r="G102" s="9" t="e">
        <f t="shared" si="3"/>
        <v>#N/A</v>
      </c>
      <c r="H102" s="9" t="e">
        <f t="shared" si="4"/>
        <v>#N/A</v>
      </c>
      <c r="I102" s="9" t="e">
        <f t="shared" si="5"/>
        <v>#N/A</v>
      </c>
      <c r="K102" s="9" t="e">
        <f t="shared" si="6"/>
        <v>#N/A</v>
      </c>
      <c r="L102" s="9" t="e">
        <f t="shared" si="7"/>
        <v>#N/A</v>
      </c>
      <c r="M102" s="9" t="e">
        <f t="shared" si="8"/>
        <v>#N/A</v>
      </c>
      <c r="N102" s="9" t="e">
        <f t="shared" si="9"/>
        <v>#N/A</v>
      </c>
      <c r="Q102" s="9" t="e">
        <f t="shared" si="10"/>
        <v>#N/A</v>
      </c>
      <c r="R102" s="9" t="e">
        <f t="shared" si="11"/>
        <v>#N/A</v>
      </c>
      <c r="S102" s="9" t="e">
        <f t="shared" si="12"/>
        <v>#N/A</v>
      </c>
      <c r="T102" s="9" t="e">
        <f t="shared" si="13"/>
        <v>#N/A</v>
      </c>
      <c r="V102" s="9" t="e">
        <f t="shared" si="14"/>
        <v>#N/A</v>
      </c>
      <c r="W102" s="9" t="e">
        <f t="shared" si="15"/>
        <v>#N/A</v>
      </c>
      <c r="X102" s="9" t="e">
        <f t="shared" si="16"/>
        <v>#N/A</v>
      </c>
      <c r="Y102" s="9" t="e">
        <f t="shared" si="17"/>
        <v>#N/A</v>
      </c>
    </row>
    <row r="103" spans="3:25" s="9" customFormat="1" ht="0.5" customHeight="1">
      <c r="C103" s="9" t="str">
        <f t="shared" si="0"/>
        <v>Panama</v>
      </c>
      <c r="D103" s="9" t="str">
        <f t="shared" si="1"/>
        <v>Panama48.5</v>
      </c>
      <c r="E103" s="392">
        <v>48.5</v>
      </c>
      <c r="F103" s="9" t="e">
        <f t="shared" si="2"/>
        <v>#N/A</v>
      </c>
      <c r="G103" s="9" t="e">
        <f t="shared" si="3"/>
        <v>#N/A</v>
      </c>
      <c r="H103" s="9" t="e">
        <f t="shared" si="4"/>
        <v>#N/A</v>
      </c>
      <c r="I103" s="9" t="e">
        <f t="shared" si="5"/>
        <v>#N/A</v>
      </c>
      <c r="K103" s="9" t="e">
        <f t="shared" si="6"/>
        <v>#N/A</v>
      </c>
      <c r="L103" s="9" t="e">
        <f t="shared" si="7"/>
        <v>#N/A</v>
      </c>
      <c r="M103" s="9" t="e">
        <f t="shared" si="8"/>
        <v>#N/A</v>
      </c>
      <c r="N103" s="9" t="e">
        <f t="shared" si="9"/>
        <v>#N/A</v>
      </c>
      <c r="Q103" s="9" t="e">
        <f t="shared" si="10"/>
        <v>#N/A</v>
      </c>
      <c r="R103" s="9" t="e">
        <f t="shared" si="11"/>
        <v>#N/A</v>
      </c>
      <c r="S103" s="9" t="e">
        <f t="shared" si="12"/>
        <v>#N/A</v>
      </c>
      <c r="T103" s="9" t="e">
        <f t="shared" si="13"/>
        <v>#N/A</v>
      </c>
      <c r="V103" s="9" t="e">
        <f t="shared" si="14"/>
        <v>#N/A</v>
      </c>
      <c r="W103" s="9" t="e">
        <f t="shared" si="15"/>
        <v>#N/A</v>
      </c>
      <c r="X103" s="9" t="e">
        <f t="shared" si="16"/>
        <v>#N/A</v>
      </c>
      <c r="Y103" s="9" t="e">
        <f t="shared" si="17"/>
        <v>#N/A</v>
      </c>
    </row>
    <row r="104" spans="3:25" s="9" customFormat="1" ht="0.5" customHeight="1">
      <c r="C104" s="9" t="str">
        <f t="shared" si="0"/>
        <v>Panama</v>
      </c>
      <c r="D104" s="9" t="str">
        <f t="shared" si="1"/>
        <v>Panama49</v>
      </c>
      <c r="E104" s="392">
        <v>49</v>
      </c>
      <c r="F104" s="9" t="e">
        <f t="shared" si="2"/>
        <v>#N/A</v>
      </c>
      <c r="G104" s="9" t="e">
        <f t="shared" si="3"/>
        <v>#N/A</v>
      </c>
      <c r="H104" s="9" t="e">
        <f t="shared" si="4"/>
        <v>#N/A</v>
      </c>
      <c r="I104" s="9" t="e">
        <f t="shared" si="5"/>
        <v>#N/A</v>
      </c>
      <c r="K104" s="9" t="e">
        <f t="shared" si="6"/>
        <v>#N/A</v>
      </c>
      <c r="L104" s="9" t="e">
        <f t="shared" si="7"/>
        <v>#N/A</v>
      </c>
      <c r="M104" s="9" t="e">
        <f t="shared" si="8"/>
        <v>#N/A</v>
      </c>
      <c r="N104" s="9" t="e">
        <f t="shared" si="9"/>
        <v>#N/A</v>
      </c>
      <c r="Q104" s="9" t="e">
        <f t="shared" si="10"/>
        <v>#N/A</v>
      </c>
      <c r="R104" s="9" t="e">
        <f t="shared" si="11"/>
        <v>#N/A</v>
      </c>
      <c r="S104" s="9" t="e">
        <f t="shared" si="12"/>
        <v>#N/A</v>
      </c>
      <c r="T104" s="9" t="e">
        <f t="shared" si="13"/>
        <v>#N/A</v>
      </c>
      <c r="V104" s="9" t="e">
        <f t="shared" si="14"/>
        <v>#N/A</v>
      </c>
      <c r="W104" s="9" t="e">
        <f t="shared" si="15"/>
        <v>#N/A</v>
      </c>
      <c r="X104" s="9" t="e">
        <f t="shared" si="16"/>
        <v>#N/A</v>
      </c>
      <c r="Y104" s="9" t="e">
        <f t="shared" si="17"/>
        <v>#N/A</v>
      </c>
    </row>
    <row r="105" spans="3:25" s="9" customFormat="1" ht="0.5" customHeight="1">
      <c r="C105" s="9" t="str">
        <f t="shared" si="0"/>
        <v>Panama</v>
      </c>
      <c r="D105" s="9" t="str">
        <f t="shared" si="1"/>
        <v>Panama49.5</v>
      </c>
      <c r="E105" s="392">
        <v>49.5</v>
      </c>
      <c r="F105" s="9" t="e">
        <f t="shared" si="2"/>
        <v>#N/A</v>
      </c>
      <c r="G105" s="9" t="e">
        <f t="shared" si="3"/>
        <v>#N/A</v>
      </c>
      <c r="H105" s="9" t="e">
        <f t="shared" si="4"/>
        <v>#N/A</v>
      </c>
      <c r="I105" s="9" t="e">
        <f t="shared" si="5"/>
        <v>#N/A</v>
      </c>
      <c r="K105" s="9" t="e">
        <f t="shared" si="6"/>
        <v>#N/A</v>
      </c>
      <c r="L105" s="9" t="e">
        <f t="shared" si="7"/>
        <v>#N/A</v>
      </c>
      <c r="M105" s="9" t="e">
        <f t="shared" si="8"/>
        <v>#N/A</v>
      </c>
      <c r="N105" s="9" t="e">
        <f t="shared" si="9"/>
        <v>#N/A</v>
      </c>
      <c r="Q105" s="9" t="e">
        <f t="shared" si="10"/>
        <v>#N/A</v>
      </c>
      <c r="R105" s="9" t="e">
        <f t="shared" si="11"/>
        <v>#N/A</v>
      </c>
      <c r="S105" s="9" t="e">
        <f t="shared" si="12"/>
        <v>#N/A</v>
      </c>
      <c r="T105" s="9" t="e">
        <f t="shared" si="13"/>
        <v>#N/A</v>
      </c>
      <c r="V105" s="9" t="e">
        <f t="shared" si="14"/>
        <v>#N/A</v>
      </c>
      <c r="W105" s="9" t="e">
        <f t="shared" si="15"/>
        <v>#N/A</v>
      </c>
      <c r="X105" s="9" t="e">
        <f t="shared" si="16"/>
        <v>#N/A</v>
      </c>
      <c r="Y105" s="9" t="e">
        <f t="shared" si="17"/>
        <v>#N/A</v>
      </c>
    </row>
    <row r="106" spans="3:25" s="9" customFormat="1" ht="0.5" customHeight="1">
      <c r="C106" s="9" t="str">
        <f t="shared" si="0"/>
        <v>Panama</v>
      </c>
      <c r="D106" s="9" t="str">
        <f t="shared" si="1"/>
        <v>Panama50</v>
      </c>
      <c r="E106" s="392">
        <v>50</v>
      </c>
      <c r="F106" s="9" t="e">
        <f t="shared" si="2"/>
        <v>#N/A</v>
      </c>
      <c r="G106" s="9" t="e">
        <f t="shared" si="3"/>
        <v>#N/A</v>
      </c>
      <c r="H106" s="9" t="e">
        <f t="shared" si="4"/>
        <v>#N/A</v>
      </c>
      <c r="I106" s="9" t="e">
        <f t="shared" si="5"/>
        <v>#N/A</v>
      </c>
      <c r="K106" s="9" t="e">
        <f t="shared" si="6"/>
        <v>#N/A</v>
      </c>
      <c r="L106" s="9" t="e">
        <f t="shared" si="7"/>
        <v>#N/A</v>
      </c>
      <c r="M106" s="9" t="e">
        <f t="shared" si="8"/>
        <v>#N/A</v>
      </c>
      <c r="N106" s="9" t="e">
        <f t="shared" si="9"/>
        <v>#N/A</v>
      </c>
      <c r="Q106" s="9" t="e">
        <f t="shared" si="10"/>
        <v>#N/A</v>
      </c>
      <c r="R106" s="9" t="e">
        <f t="shared" si="11"/>
        <v>#N/A</v>
      </c>
      <c r="S106" s="9" t="e">
        <f t="shared" si="12"/>
        <v>#N/A</v>
      </c>
      <c r="T106" s="9" t="e">
        <f t="shared" si="13"/>
        <v>#N/A</v>
      </c>
      <c r="V106" s="9" t="e">
        <f t="shared" si="14"/>
        <v>#N/A</v>
      </c>
      <c r="W106" s="9" t="e">
        <f t="shared" si="15"/>
        <v>#N/A</v>
      </c>
      <c r="X106" s="9" t="e">
        <f t="shared" si="16"/>
        <v>#N/A</v>
      </c>
      <c r="Y106" s="9" t="e">
        <f t="shared" si="17"/>
        <v>#N/A</v>
      </c>
    </row>
    <row r="107" spans="3:25" s="9" customFormat="1" ht="0.5" customHeight="1">
      <c r="C107" s="9" t="str">
        <f t="shared" si="0"/>
        <v>Panama</v>
      </c>
      <c r="D107" s="9" t="str">
        <f t="shared" si="1"/>
        <v>Panama50.5</v>
      </c>
      <c r="E107" s="392">
        <v>50.5</v>
      </c>
      <c r="F107" s="9" t="e">
        <f t="shared" si="2"/>
        <v>#N/A</v>
      </c>
      <c r="G107" s="9" t="e">
        <f t="shared" si="3"/>
        <v>#N/A</v>
      </c>
      <c r="H107" s="9" t="e">
        <f t="shared" si="4"/>
        <v>#N/A</v>
      </c>
      <c r="I107" s="9" t="e">
        <f t="shared" si="5"/>
        <v>#N/A</v>
      </c>
      <c r="K107" s="9" t="e">
        <f t="shared" si="6"/>
        <v>#N/A</v>
      </c>
      <c r="L107" s="9" t="e">
        <f t="shared" si="7"/>
        <v>#N/A</v>
      </c>
      <c r="M107" s="9" t="e">
        <f t="shared" si="8"/>
        <v>#N/A</v>
      </c>
      <c r="N107" s="9" t="e">
        <f t="shared" si="9"/>
        <v>#N/A</v>
      </c>
      <c r="Q107" s="9" t="e">
        <f t="shared" si="10"/>
        <v>#N/A</v>
      </c>
      <c r="R107" s="9" t="e">
        <f t="shared" si="11"/>
        <v>#N/A</v>
      </c>
      <c r="S107" s="9" t="e">
        <f t="shared" si="12"/>
        <v>#N/A</v>
      </c>
      <c r="T107" s="9" t="e">
        <f t="shared" si="13"/>
        <v>#N/A</v>
      </c>
      <c r="V107" s="9" t="e">
        <f t="shared" si="14"/>
        <v>#N/A</v>
      </c>
      <c r="W107" s="9" t="e">
        <f t="shared" si="15"/>
        <v>#N/A</v>
      </c>
      <c r="X107" s="9" t="e">
        <f t="shared" si="16"/>
        <v>#N/A</v>
      </c>
      <c r="Y107" s="9" t="e">
        <f t="shared" si="17"/>
        <v>#N/A</v>
      </c>
    </row>
    <row r="108" spans="3:25" s="9" customFormat="1" ht="0.5" customHeight="1">
      <c r="C108" s="9" t="str">
        <f t="shared" si="0"/>
        <v>Panama</v>
      </c>
      <c r="D108" s="9" t="str">
        <f t="shared" si="1"/>
        <v>Panama51</v>
      </c>
      <c r="E108" s="392">
        <v>51</v>
      </c>
      <c r="F108" s="9" t="e">
        <f t="shared" si="2"/>
        <v>#N/A</v>
      </c>
      <c r="G108" s="9" t="e">
        <f t="shared" si="3"/>
        <v>#N/A</v>
      </c>
      <c r="H108" s="9" t="e">
        <f t="shared" si="4"/>
        <v>#N/A</v>
      </c>
      <c r="I108" s="9" t="e">
        <f t="shared" si="5"/>
        <v>#N/A</v>
      </c>
      <c r="K108" s="9" t="e">
        <f t="shared" si="6"/>
        <v>#N/A</v>
      </c>
      <c r="L108" s="9" t="e">
        <f t="shared" si="7"/>
        <v>#N/A</v>
      </c>
      <c r="M108" s="9" t="e">
        <f t="shared" si="8"/>
        <v>#N/A</v>
      </c>
      <c r="N108" s="9" t="e">
        <f t="shared" si="9"/>
        <v>#N/A</v>
      </c>
      <c r="Q108" s="9" t="e">
        <f t="shared" si="10"/>
        <v>#N/A</v>
      </c>
      <c r="R108" s="9" t="e">
        <f t="shared" si="11"/>
        <v>#N/A</v>
      </c>
      <c r="S108" s="9" t="e">
        <f t="shared" si="12"/>
        <v>#N/A</v>
      </c>
      <c r="T108" s="9" t="e">
        <f t="shared" si="13"/>
        <v>#N/A</v>
      </c>
      <c r="V108" s="9" t="e">
        <f t="shared" si="14"/>
        <v>#N/A</v>
      </c>
      <c r="W108" s="9" t="e">
        <f t="shared" si="15"/>
        <v>#N/A</v>
      </c>
      <c r="X108" s="9" t="e">
        <f t="shared" si="16"/>
        <v>#N/A</v>
      </c>
      <c r="Y108" s="9" t="e">
        <f t="shared" si="17"/>
        <v>#N/A</v>
      </c>
    </row>
    <row r="109" spans="3:25" s="9" customFormat="1" ht="0.5" customHeight="1">
      <c r="C109" s="9" t="str">
        <f t="shared" si="0"/>
        <v>Panama</v>
      </c>
      <c r="D109" s="9" t="str">
        <f t="shared" si="1"/>
        <v>Panama51.5</v>
      </c>
      <c r="E109" s="392">
        <v>51.5</v>
      </c>
      <c r="F109" s="9" t="e">
        <f t="shared" si="2"/>
        <v>#N/A</v>
      </c>
      <c r="G109" s="9" t="e">
        <f t="shared" si="3"/>
        <v>#N/A</v>
      </c>
      <c r="H109" s="9" t="e">
        <f t="shared" si="4"/>
        <v>#N/A</v>
      </c>
      <c r="I109" s="9" t="e">
        <f t="shared" si="5"/>
        <v>#N/A</v>
      </c>
      <c r="K109" s="9" t="e">
        <f t="shared" si="6"/>
        <v>#N/A</v>
      </c>
      <c r="L109" s="9" t="e">
        <f t="shared" si="7"/>
        <v>#N/A</v>
      </c>
      <c r="M109" s="9" t="e">
        <f t="shared" si="8"/>
        <v>#N/A</v>
      </c>
      <c r="N109" s="9" t="e">
        <f t="shared" si="9"/>
        <v>#N/A</v>
      </c>
      <c r="Q109" s="9" t="e">
        <f t="shared" si="10"/>
        <v>#N/A</v>
      </c>
      <c r="R109" s="9" t="e">
        <f t="shared" si="11"/>
        <v>#N/A</v>
      </c>
      <c r="S109" s="9" t="e">
        <f t="shared" si="12"/>
        <v>#N/A</v>
      </c>
      <c r="T109" s="9" t="e">
        <f t="shared" si="13"/>
        <v>#N/A</v>
      </c>
      <c r="V109" s="9" t="e">
        <f t="shared" si="14"/>
        <v>#N/A</v>
      </c>
      <c r="W109" s="9" t="e">
        <f t="shared" si="15"/>
        <v>#N/A</v>
      </c>
      <c r="X109" s="9" t="e">
        <f t="shared" si="16"/>
        <v>#N/A</v>
      </c>
      <c r="Y109" s="9" t="e">
        <f t="shared" si="17"/>
        <v>#N/A</v>
      </c>
    </row>
    <row r="110" spans="3:25" s="9" customFormat="1" ht="0.5" customHeight="1">
      <c r="C110" s="9" t="str">
        <f t="shared" si="0"/>
        <v>Panama</v>
      </c>
      <c r="D110" s="9" t="str">
        <f t="shared" si="1"/>
        <v>Panama52</v>
      </c>
      <c r="E110" s="392">
        <v>52</v>
      </c>
      <c r="F110" s="9" t="e">
        <f t="shared" si="2"/>
        <v>#N/A</v>
      </c>
      <c r="G110" s="9" t="e">
        <f t="shared" si="3"/>
        <v>#N/A</v>
      </c>
      <c r="H110" s="9" t="e">
        <f t="shared" si="4"/>
        <v>#N/A</v>
      </c>
      <c r="I110" s="9" t="e">
        <f t="shared" si="5"/>
        <v>#N/A</v>
      </c>
      <c r="K110" s="9" t="e">
        <f t="shared" si="6"/>
        <v>#N/A</v>
      </c>
      <c r="L110" s="9" t="e">
        <f t="shared" si="7"/>
        <v>#N/A</v>
      </c>
      <c r="M110" s="9" t="e">
        <f t="shared" si="8"/>
        <v>#N/A</v>
      </c>
      <c r="N110" s="9" t="e">
        <f t="shared" si="9"/>
        <v>#N/A</v>
      </c>
      <c r="Q110" s="9" t="e">
        <f t="shared" si="10"/>
        <v>#N/A</v>
      </c>
      <c r="R110" s="9" t="e">
        <f t="shared" si="11"/>
        <v>#N/A</v>
      </c>
      <c r="S110" s="9" t="e">
        <f t="shared" si="12"/>
        <v>#N/A</v>
      </c>
      <c r="T110" s="9" t="e">
        <f t="shared" si="13"/>
        <v>#N/A</v>
      </c>
      <c r="V110" s="9" t="e">
        <f t="shared" si="14"/>
        <v>#N/A</v>
      </c>
      <c r="W110" s="9" t="e">
        <f t="shared" si="15"/>
        <v>#N/A</v>
      </c>
      <c r="X110" s="9" t="e">
        <f t="shared" si="16"/>
        <v>#N/A</v>
      </c>
      <c r="Y110" s="9" t="e">
        <f t="shared" si="17"/>
        <v>#N/A</v>
      </c>
    </row>
    <row r="111" spans="3:25" s="9" customFormat="1" ht="0.5" customHeight="1">
      <c r="C111" s="9" t="str">
        <f t="shared" ref="C111:C116" si="18">$E$38</f>
        <v>Panama</v>
      </c>
      <c r="D111" s="9" t="str">
        <f t="shared" ref="D111:D116" si="19">CONCATENATE(C111,E111)</f>
        <v>Panama52.5</v>
      </c>
      <c r="E111" s="392">
        <v>52.5</v>
      </c>
      <c r="F111" s="9" t="e">
        <f t="shared" ref="F111:F116" si="20">VLOOKUP($D111,$D$122:$U$902,3,FALSE)</f>
        <v>#N/A</v>
      </c>
      <c r="G111" s="9" t="e">
        <f t="shared" ref="G111:G116" si="21">VLOOKUP($D111,$D$122:$U$902,4,FALSE)</f>
        <v>#N/A</v>
      </c>
      <c r="H111" s="9" t="e">
        <f t="shared" ref="H111:H116" si="22">VLOOKUP($D111,$D$122:$U$902,5,FALSE)</f>
        <v>#N/A</v>
      </c>
      <c r="I111" s="9" t="e">
        <f t="shared" ref="I111:I116" si="23">VLOOKUP($D111,$D$122:$U$902,6,FALSE)</f>
        <v>#N/A</v>
      </c>
      <c r="K111" s="9" t="e">
        <f t="shared" ref="K111:K116" si="24">VLOOKUP($D111,$D$122:$U$902,7,FALSE)</f>
        <v>#N/A</v>
      </c>
      <c r="L111" s="9" t="e">
        <f t="shared" ref="L111:L116" si="25">VLOOKUP($D111,$D$122:$U$902,8,FALSE)</f>
        <v>#N/A</v>
      </c>
      <c r="M111" s="9" t="e">
        <f t="shared" ref="M111:M116" si="26">VLOOKUP($D111,$D$122:$U$902,9,FALSE)</f>
        <v>#N/A</v>
      </c>
      <c r="N111" s="9" t="e">
        <f t="shared" ref="N111:N116" si="27">VLOOKUP($D111,$D$122:$U$902,10,FALSE)</f>
        <v>#N/A</v>
      </c>
      <c r="Q111" s="9" t="e">
        <f t="shared" ref="Q111:Q116" si="28">VLOOKUP($D111,$D$122:$U$902,11,FALSE)</f>
        <v>#N/A</v>
      </c>
      <c r="R111" s="9" t="e">
        <f t="shared" ref="R111:R116" si="29">VLOOKUP($D111,$D$122:$U$902,12,FALSE)</f>
        <v>#N/A</v>
      </c>
      <c r="S111" s="9" t="e">
        <f t="shared" ref="S111:S116" si="30">VLOOKUP($D111,$D$122:$U$902,13,FALSE)</f>
        <v>#N/A</v>
      </c>
      <c r="T111" s="9" t="e">
        <f t="shared" ref="T111:T116" si="31">VLOOKUP($D111,$D$122:$U$902,14,FALSE)</f>
        <v>#N/A</v>
      </c>
      <c r="V111" s="9" t="e">
        <f t="shared" ref="V111:V116" si="32">VLOOKUP($D111,$D$122:$U$902,15,FALSE)</f>
        <v>#N/A</v>
      </c>
      <c r="W111" s="9" t="e">
        <f t="shared" ref="W111:W116" si="33">VLOOKUP($D111,$D$122:$U$902,16,FALSE)</f>
        <v>#N/A</v>
      </c>
      <c r="X111" s="9" t="e">
        <f t="shared" ref="X111:X116" si="34">VLOOKUP($D111,$D$122:$U$902,17,FALSE)</f>
        <v>#N/A</v>
      </c>
      <c r="Y111" s="9" t="e">
        <f t="shared" ref="Y111:Y116" si="35">VLOOKUP($D111,$D$122:$U$902,18,FALSE)</f>
        <v>#N/A</v>
      </c>
    </row>
    <row r="112" spans="3:25" s="9" customFormat="1" ht="0.5" customHeight="1">
      <c r="C112" s="9" t="str">
        <f t="shared" si="18"/>
        <v>Panama</v>
      </c>
      <c r="D112" s="9" t="str">
        <f t="shared" si="19"/>
        <v>Panama53</v>
      </c>
      <c r="E112" s="392">
        <v>53</v>
      </c>
      <c r="F112" s="9" t="e">
        <f t="shared" si="20"/>
        <v>#N/A</v>
      </c>
      <c r="G112" s="9" t="e">
        <f t="shared" si="21"/>
        <v>#N/A</v>
      </c>
      <c r="H112" s="9" t="e">
        <f t="shared" si="22"/>
        <v>#N/A</v>
      </c>
      <c r="I112" s="9" t="e">
        <f t="shared" si="23"/>
        <v>#N/A</v>
      </c>
      <c r="K112" s="9" t="e">
        <f t="shared" si="24"/>
        <v>#N/A</v>
      </c>
      <c r="L112" s="9" t="e">
        <f t="shared" si="25"/>
        <v>#N/A</v>
      </c>
      <c r="M112" s="9" t="e">
        <f t="shared" si="26"/>
        <v>#N/A</v>
      </c>
      <c r="N112" s="9" t="e">
        <f t="shared" si="27"/>
        <v>#N/A</v>
      </c>
      <c r="Q112" s="9" t="e">
        <f t="shared" si="28"/>
        <v>#N/A</v>
      </c>
      <c r="R112" s="9" t="e">
        <f t="shared" si="29"/>
        <v>#N/A</v>
      </c>
      <c r="S112" s="9" t="e">
        <f t="shared" si="30"/>
        <v>#N/A</v>
      </c>
      <c r="T112" s="9" t="e">
        <f t="shared" si="31"/>
        <v>#N/A</v>
      </c>
      <c r="V112" s="9" t="e">
        <f t="shared" si="32"/>
        <v>#N/A</v>
      </c>
      <c r="W112" s="9" t="e">
        <f t="shared" si="33"/>
        <v>#N/A</v>
      </c>
      <c r="X112" s="9" t="e">
        <f t="shared" si="34"/>
        <v>#N/A</v>
      </c>
      <c r="Y112" s="9" t="e">
        <f t="shared" si="35"/>
        <v>#N/A</v>
      </c>
    </row>
    <row r="113" spans="3:25" s="9" customFormat="1" ht="0.5" customHeight="1">
      <c r="C113" s="9" t="str">
        <f t="shared" si="18"/>
        <v>Panama</v>
      </c>
      <c r="D113" s="9" t="str">
        <f t="shared" si="19"/>
        <v>Panama53.5</v>
      </c>
      <c r="E113" s="392">
        <v>53.5</v>
      </c>
      <c r="F113" s="9" t="e">
        <f t="shared" si="20"/>
        <v>#N/A</v>
      </c>
      <c r="G113" s="9" t="e">
        <f t="shared" si="21"/>
        <v>#N/A</v>
      </c>
      <c r="H113" s="9" t="e">
        <f t="shared" si="22"/>
        <v>#N/A</v>
      </c>
      <c r="I113" s="9" t="e">
        <f t="shared" si="23"/>
        <v>#N/A</v>
      </c>
      <c r="K113" s="9" t="e">
        <f t="shared" si="24"/>
        <v>#N/A</v>
      </c>
      <c r="L113" s="9" t="e">
        <f t="shared" si="25"/>
        <v>#N/A</v>
      </c>
      <c r="M113" s="9" t="e">
        <f t="shared" si="26"/>
        <v>#N/A</v>
      </c>
      <c r="N113" s="9" t="e">
        <f t="shared" si="27"/>
        <v>#N/A</v>
      </c>
      <c r="Q113" s="9" t="e">
        <f t="shared" si="28"/>
        <v>#N/A</v>
      </c>
      <c r="R113" s="9" t="e">
        <f t="shared" si="29"/>
        <v>#N/A</v>
      </c>
      <c r="S113" s="9" t="e">
        <f t="shared" si="30"/>
        <v>#N/A</v>
      </c>
      <c r="T113" s="9" t="e">
        <f t="shared" si="31"/>
        <v>#N/A</v>
      </c>
      <c r="V113" s="9" t="e">
        <f t="shared" si="32"/>
        <v>#N/A</v>
      </c>
      <c r="W113" s="9" t="e">
        <f t="shared" si="33"/>
        <v>#N/A</v>
      </c>
      <c r="X113" s="9" t="e">
        <f t="shared" si="34"/>
        <v>#N/A</v>
      </c>
      <c r="Y113" s="9" t="e">
        <f t="shared" si="35"/>
        <v>#N/A</v>
      </c>
    </row>
    <row r="114" spans="3:25" s="9" customFormat="1" ht="0.5" customHeight="1">
      <c r="C114" s="9" t="str">
        <f t="shared" si="18"/>
        <v>Panama</v>
      </c>
      <c r="D114" s="9" t="str">
        <f t="shared" si="19"/>
        <v>Panama54</v>
      </c>
      <c r="E114" s="392">
        <v>54</v>
      </c>
      <c r="F114" s="9" t="e">
        <f t="shared" si="20"/>
        <v>#N/A</v>
      </c>
      <c r="G114" s="9" t="e">
        <f t="shared" si="21"/>
        <v>#N/A</v>
      </c>
      <c r="H114" s="9" t="e">
        <f t="shared" si="22"/>
        <v>#N/A</v>
      </c>
      <c r="I114" s="9" t="e">
        <f t="shared" si="23"/>
        <v>#N/A</v>
      </c>
      <c r="K114" s="9" t="e">
        <f t="shared" si="24"/>
        <v>#N/A</v>
      </c>
      <c r="L114" s="9" t="e">
        <f t="shared" si="25"/>
        <v>#N/A</v>
      </c>
      <c r="M114" s="9" t="e">
        <f t="shared" si="26"/>
        <v>#N/A</v>
      </c>
      <c r="N114" s="9" t="e">
        <f t="shared" si="27"/>
        <v>#N/A</v>
      </c>
      <c r="Q114" s="9" t="e">
        <f t="shared" si="28"/>
        <v>#N/A</v>
      </c>
      <c r="R114" s="9" t="e">
        <f t="shared" si="29"/>
        <v>#N/A</v>
      </c>
      <c r="S114" s="9" t="e">
        <f t="shared" si="30"/>
        <v>#N/A</v>
      </c>
      <c r="T114" s="9" t="e">
        <f t="shared" si="31"/>
        <v>#N/A</v>
      </c>
      <c r="V114" s="9" t="e">
        <f t="shared" si="32"/>
        <v>#N/A</v>
      </c>
      <c r="W114" s="9" t="e">
        <f t="shared" si="33"/>
        <v>#N/A</v>
      </c>
      <c r="X114" s="9" t="e">
        <f t="shared" si="34"/>
        <v>#N/A</v>
      </c>
      <c r="Y114" s="9" t="e">
        <f t="shared" si="35"/>
        <v>#N/A</v>
      </c>
    </row>
    <row r="115" spans="3:25" s="9" customFormat="1" ht="0.5" customHeight="1">
      <c r="C115" s="9" t="str">
        <f t="shared" si="18"/>
        <v>Panama</v>
      </c>
      <c r="D115" s="9" t="str">
        <f t="shared" si="19"/>
        <v>Panama54.5</v>
      </c>
      <c r="E115" s="392">
        <v>54.5</v>
      </c>
      <c r="F115" s="9" t="e">
        <f t="shared" si="20"/>
        <v>#N/A</v>
      </c>
      <c r="G115" s="9" t="e">
        <f t="shared" si="21"/>
        <v>#N/A</v>
      </c>
      <c r="H115" s="9" t="e">
        <f t="shared" si="22"/>
        <v>#N/A</v>
      </c>
      <c r="I115" s="9" t="e">
        <f t="shared" si="23"/>
        <v>#N/A</v>
      </c>
      <c r="K115" s="9" t="e">
        <f t="shared" si="24"/>
        <v>#N/A</v>
      </c>
      <c r="L115" s="9" t="e">
        <f t="shared" si="25"/>
        <v>#N/A</v>
      </c>
      <c r="M115" s="9" t="e">
        <f t="shared" si="26"/>
        <v>#N/A</v>
      </c>
      <c r="N115" s="9" t="e">
        <f t="shared" si="27"/>
        <v>#N/A</v>
      </c>
      <c r="Q115" s="9" t="e">
        <f t="shared" si="28"/>
        <v>#N/A</v>
      </c>
      <c r="R115" s="9" t="e">
        <f t="shared" si="29"/>
        <v>#N/A</v>
      </c>
      <c r="S115" s="9" t="e">
        <f t="shared" si="30"/>
        <v>#N/A</v>
      </c>
      <c r="T115" s="9" t="e">
        <f t="shared" si="31"/>
        <v>#N/A</v>
      </c>
      <c r="V115" s="9" t="e">
        <f t="shared" si="32"/>
        <v>#N/A</v>
      </c>
      <c r="W115" s="9" t="e">
        <f t="shared" si="33"/>
        <v>#N/A</v>
      </c>
      <c r="X115" s="9" t="e">
        <f t="shared" si="34"/>
        <v>#N/A</v>
      </c>
      <c r="Y115" s="9" t="e">
        <f t="shared" si="35"/>
        <v>#N/A</v>
      </c>
    </row>
    <row r="116" spans="3:25" s="9" customFormat="1" ht="0.5" customHeight="1">
      <c r="C116" s="9" t="str">
        <f t="shared" si="18"/>
        <v>Panama</v>
      </c>
      <c r="D116" s="9" t="str">
        <f t="shared" si="19"/>
        <v>Panama55</v>
      </c>
      <c r="E116" s="392">
        <v>55</v>
      </c>
      <c r="F116" s="9" t="e">
        <f t="shared" si="20"/>
        <v>#N/A</v>
      </c>
      <c r="G116" s="9" t="e">
        <f t="shared" si="21"/>
        <v>#N/A</v>
      </c>
      <c r="H116" s="9" t="e">
        <f t="shared" si="22"/>
        <v>#N/A</v>
      </c>
      <c r="I116" s="9" t="e">
        <f t="shared" si="23"/>
        <v>#N/A</v>
      </c>
      <c r="K116" s="9" t="e">
        <f t="shared" si="24"/>
        <v>#N/A</v>
      </c>
      <c r="L116" s="9" t="e">
        <f t="shared" si="25"/>
        <v>#N/A</v>
      </c>
      <c r="M116" s="9" t="e">
        <f t="shared" si="26"/>
        <v>#N/A</v>
      </c>
      <c r="N116" s="9" t="e">
        <f t="shared" si="27"/>
        <v>#N/A</v>
      </c>
      <c r="Q116" s="9" t="e">
        <f t="shared" si="28"/>
        <v>#N/A</v>
      </c>
      <c r="R116" s="9" t="e">
        <f t="shared" si="29"/>
        <v>#N/A</v>
      </c>
      <c r="S116" s="9" t="e">
        <f t="shared" si="30"/>
        <v>#N/A</v>
      </c>
      <c r="T116" s="9" t="e">
        <f t="shared" si="31"/>
        <v>#N/A</v>
      </c>
      <c r="V116" s="9" t="e">
        <f t="shared" si="32"/>
        <v>#N/A</v>
      </c>
      <c r="W116" s="9" t="e">
        <f t="shared" si="33"/>
        <v>#N/A</v>
      </c>
      <c r="X116" s="9" t="e">
        <f t="shared" si="34"/>
        <v>#N/A</v>
      </c>
      <c r="Y116" s="9" t="e">
        <f t="shared" si="35"/>
        <v>#N/A</v>
      </c>
    </row>
    <row r="117" spans="3:25" s="9" customFormat="1" ht="0.5" customHeight="1"/>
    <row r="118" spans="3:25" s="9" customFormat="1" ht="0.5" customHeight="1"/>
    <row r="119" spans="3:25" s="9" customFormat="1" ht="0.5" customHeight="1"/>
    <row r="120" spans="3:25" s="9" customFormat="1" ht="0.5" customHeight="1">
      <c r="E120" s="9" t="s">
        <v>1010</v>
      </c>
      <c r="J120" s="9" t="s">
        <v>1011</v>
      </c>
      <c r="N120" s="9" t="s">
        <v>1012</v>
      </c>
      <c r="R120" s="9" t="s">
        <v>1013</v>
      </c>
    </row>
    <row r="121" spans="3:25" s="9" customFormat="1" ht="0.5" customHeight="1">
      <c r="C121" s="9" t="s">
        <v>31</v>
      </c>
      <c r="D121" s="9" t="s">
        <v>236</v>
      </c>
      <c r="E121" s="9" t="s">
        <v>4</v>
      </c>
      <c r="F121" s="9" t="s">
        <v>988</v>
      </c>
      <c r="G121" s="9" t="s">
        <v>989</v>
      </c>
      <c r="H121" s="9" t="s">
        <v>1019</v>
      </c>
      <c r="I121" s="9" t="s">
        <v>991</v>
      </c>
      <c r="J121" s="9" t="s">
        <v>988</v>
      </c>
      <c r="K121" s="9" t="s">
        <v>989</v>
      </c>
      <c r="L121" s="9" t="s">
        <v>1020</v>
      </c>
      <c r="M121" s="9" t="s">
        <v>991</v>
      </c>
      <c r="N121" s="9" t="s">
        <v>988</v>
      </c>
      <c r="O121" s="9" t="s">
        <v>989</v>
      </c>
      <c r="P121" s="9" t="s">
        <v>1020</v>
      </c>
      <c r="Q121" s="9" t="s">
        <v>991</v>
      </c>
      <c r="R121" s="9" t="s">
        <v>988</v>
      </c>
      <c r="S121" s="9" t="s">
        <v>989</v>
      </c>
      <c r="T121" s="9" t="s">
        <v>1020</v>
      </c>
      <c r="U121" s="9" t="s">
        <v>991</v>
      </c>
    </row>
    <row r="122" spans="3:25" s="9" customFormat="1" ht="0.5" customHeight="1">
      <c r="C122" s="9" t="s">
        <v>20</v>
      </c>
      <c r="D122" s="9" t="str">
        <f>CONCATENATE(C122,E122)</f>
        <v>Latin America and the Caribbean20</v>
      </c>
      <c r="E122" s="392">
        <v>20</v>
      </c>
      <c r="F122" s="9">
        <v>73.098729000000006</v>
      </c>
      <c r="G122" s="9">
        <v>52.332898999999998</v>
      </c>
      <c r="H122" s="9">
        <v>55.157097</v>
      </c>
      <c r="I122" s="9">
        <v>121.75333999999999</v>
      </c>
      <c r="J122" s="9">
        <v>84.529679999999999</v>
      </c>
      <c r="K122" s="9">
        <v>58.242939</v>
      </c>
      <c r="L122" s="9">
        <v>68.817924000000005</v>
      </c>
      <c r="M122" s="9">
        <v>162.04987</v>
      </c>
      <c r="N122" s="9">
        <v>64.547542000000007</v>
      </c>
      <c r="O122" s="9">
        <v>36.812832999999998</v>
      </c>
      <c r="P122" s="9">
        <v>32.701568999999999</v>
      </c>
      <c r="Q122" s="9">
        <v>94.871112999999994</v>
      </c>
      <c r="R122" s="9">
        <v>77.654379000000006</v>
      </c>
      <c r="S122" s="9">
        <v>47.133434000000001</v>
      </c>
      <c r="T122" s="9">
        <v>42.726075999999999</v>
      </c>
      <c r="U122" s="9">
        <v>112.91354</v>
      </c>
    </row>
    <row r="123" spans="3:25" s="9" customFormat="1" ht="0.5" customHeight="1">
      <c r="C123" s="9" t="s">
        <v>20</v>
      </c>
      <c r="D123" s="9" t="str">
        <f t="shared" ref="D123:D186" si="36">CONCATENATE(C123,E123)</f>
        <v>Latin America and the Caribbean20.5</v>
      </c>
      <c r="E123" s="392">
        <v>20.5</v>
      </c>
      <c r="F123" s="9">
        <v>74.571110000000004</v>
      </c>
      <c r="G123" s="9">
        <v>53.471781</v>
      </c>
      <c r="H123" s="9">
        <v>56.841625000000001</v>
      </c>
      <c r="I123" s="9">
        <v>123.24186</v>
      </c>
      <c r="J123" s="9">
        <v>87.797678000000005</v>
      </c>
      <c r="K123" s="9">
        <v>60.348253</v>
      </c>
      <c r="L123" s="9">
        <v>72.012876000000006</v>
      </c>
      <c r="M123" s="9">
        <v>168.37168</v>
      </c>
      <c r="N123" s="9">
        <v>65.324332999999996</v>
      </c>
      <c r="O123" s="9">
        <v>37.105047999999996</v>
      </c>
      <c r="P123" s="9">
        <v>33.364868000000001</v>
      </c>
      <c r="Q123" s="9">
        <v>91.925364000000002</v>
      </c>
      <c r="R123" s="9">
        <v>80.113754999999998</v>
      </c>
      <c r="S123" s="9">
        <v>48.802608999999997</v>
      </c>
      <c r="T123" s="9">
        <v>45.858876000000002</v>
      </c>
      <c r="U123" s="9">
        <v>118.13697999999999</v>
      </c>
    </row>
    <row r="124" spans="3:25" s="9" customFormat="1" ht="0.5" customHeight="1">
      <c r="C124" s="9" t="s">
        <v>20</v>
      </c>
      <c r="D124" s="9" t="str">
        <f t="shared" si="36"/>
        <v>Latin America and the Caribbean21</v>
      </c>
      <c r="E124" s="392">
        <v>21</v>
      </c>
      <c r="F124" s="9">
        <v>75.933969000000005</v>
      </c>
      <c r="G124" s="9">
        <v>54.536833000000001</v>
      </c>
      <c r="H124" s="9">
        <v>58.440646000000001</v>
      </c>
      <c r="I124" s="9">
        <v>124.71102999999999</v>
      </c>
      <c r="J124" s="9">
        <v>91.072680000000005</v>
      </c>
      <c r="K124" s="9">
        <v>62.598801999999999</v>
      </c>
      <c r="L124" s="9">
        <v>75.258436000000003</v>
      </c>
      <c r="M124" s="9">
        <v>176.24698000000001</v>
      </c>
      <c r="N124" s="9">
        <v>65.957271000000006</v>
      </c>
      <c r="O124" s="9">
        <v>37.374186999999999</v>
      </c>
      <c r="P124" s="9">
        <v>33.990026999999998</v>
      </c>
      <c r="Q124" s="9">
        <v>90.681580999999994</v>
      </c>
      <c r="R124" s="9">
        <v>82.740121000000002</v>
      </c>
      <c r="S124" s="9">
        <v>50.460478999999999</v>
      </c>
      <c r="T124" s="9">
        <v>48.825623</v>
      </c>
      <c r="U124" s="9">
        <v>123.8544</v>
      </c>
    </row>
    <row r="125" spans="3:25" s="9" customFormat="1" ht="0.5" customHeight="1">
      <c r="C125" s="9" t="s">
        <v>20</v>
      </c>
      <c r="D125" s="9" t="str">
        <f t="shared" si="36"/>
        <v>Latin America and the Caribbean21.5</v>
      </c>
      <c r="E125" s="392">
        <v>21.5</v>
      </c>
      <c r="F125" s="9">
        <v>77.260069000000001</v>
      </c>
      <c r="G125" s="9">
        <v>55.538359</v>
      </c>
      <c r="H125" s="9">
        <v>59.939458999999999</v>
      </c>
      <c r="I125" s="9">
        <v>126.29594</v>
      </c>
      <c r="J125" s="9">
        <v>94.460380000000001</v>
      </c>
      <c r="K125" s="9">
        <v>64.940674999999999</v>
      </c>
      <c r="L125" s="9">
        <v>78.424486000000002</v>
      </c>
      <c r="M125" s="9">
        <v>184.25236000000001</v>
      </c>
      <c r="N125" s="9">
        <v>66.532512999999994</v>
      </c>
      <c r="O125" s="9">
        <v>37.618203000000001</v>
      </c>
      <c r="P125" s="9">
        <v>34.609568000000003</v>
      </c>
      <c r="Q125" s="9">
        <v>90.058059999999998</v>
      </c>
      <c r="R125" s="9">
        <v>85.603151999999994</v>
      </c>
      <c r="S125" s="9">
        <v>52.099438999999997</v>
      </c>
      <c r="T125" s="9">
        <v>51.840794000000002</v>
      </c>
      <c r="U125" s="9">
        <v>129.59966</v>
      </c>
    </row>
    <row r="126" spans="3:25" s="9" customFormat="1" ht="0.5" customHeight="1">
      <c r="C126" s="9" t="s">
        <v>20</v>
      </c>
      <c r="D126" s="9" t="str">
        <f t="shared" si="36"/>
        <v>Latin America and the Caribbean22</v>
      </c>
      <c r="E126" s="392">
        <v>22</v>
      </c>
      <c r="F126" s="9">
        <v>78.526580999999993</v>
      </c>
      <c r="G126" s="9">
        <v>56.484552000000001</v>
      </c>
      <c r="H126" s="9">
        <v>61.356813000000002</v>
      </c>
      <c r="I126" s="9">
        <v>128.33031</v>
      </c>
      <c r="J126" s="9">
        <v>98.027518999999998</v>
      </c>
      <c r="K126" s="9">
        <v>67.407482999999999</v>
      </c>
      <c r="L126" s="9">
        <v>81.495310000000003</v>
      </c>
      <c r="M126" s="9">
        <v>192.03685999999999</v>
      </c>
      <c r="N126" s="9">
        <v>67.064374999999998</v>
      </c>
      <c r="O126" s="9">
        <v>37.841838000000003</v>
      </c>
      <c r="P126" s="9">
        <v>35.198686000000002</v>
      </c>
      <c r="Q126" s="9">
        <v>89.631463999999994</v>
      </c>
      <c r="R126" s="9">
        <v>88.57526</v>
      </c>
      <c r="S126" s="9">
        <v>53.793197999999997</v>
      </c>
      <c r="T126" s="9">
        <v>54.766449999999999</v>
      </c>
      <c r="U126" s="9">
        <v>135.53814</v>
      </c>
    </row>
    <row r="127" spans="3:25" s="9" customFormat="1" ht="0.5" customHeight="1">
      <c r="C127" s="9" t="s">
        <v>20</v>
      </c>
      <c r="D127" s="9" t="str">
        <f t="shared" si="36"/>
        <v>Latin America and the Caribbean22.5</v>
      </c>
      <c r="E127" s="392">
        <v>22.5</v>
      </c>
      <c r="F127" s="9">
        <v>79.733093999999994</v>
      </c>
      <c r="G127" s="9">
        <v>57.377468</v>
      </c>
      <c r="H127" s="9">
        <v>62.678491000000001</v>
      </c>
      <c r="I127" s="9">
        <v>130.65407999999999</v>
      </c>
      <c r="J127" s="9">
        <v>101.72915</v>
      </c>
      <c r="K127" s="9">
        <v>69.952099000000004</v>
      </c>
      <c r="L127" s="9">
        <v>84.600639999999999</v>
      </c>
      <c r="M127" s="9">
        <v>198.98374999999999</v>
      </c>
      <c r="N127" s="9">
        <v>67.541494999999998</v>
      </c>
      <c r="O127" s="9">
        <v>38.038654000000001</v>
      </c>
      <c r="P127" s="9">
        <v>35.775607999999998</v>
      </c>
      <c r="Q127" s="9">
        <v>89.593232999999998</v>
      </c>
      <c r="R127" s="9">
        <v>91.594877999999994</v>
      </c>
      <c r="S127" s="9">
        <v>55.522646000000002</v>
      </c>
      <c r="T127" s="9">
        <v>57.580800000000004</v>
      </c>
      <c r="U127" s="9">
        <v>141.05815999999999</v>
      </c>
    </row>
    <row r="128" spans="3:25" s="9" customFormat="1" ht="0.5" customHeight="1">
      <c r="C128" s="9" t="s">
        <v>20</v>
      </c>
      <c r="D128" s="9" t="str">
        <f t="shared" si="36"/>
        <v>Latin America and the Caribbean23</v>
      </c>
      <c r="E128" s="392">
        <v>23</v>
      </c>
      <c r="F128" s="9">
        <v>80.888015999999993</v>
      </c>
      <c r="G128" s="9">
        <v>58.237803</v>
      </c>
      <c r="H128" s="9">
        <v>63.939920000000001</v>
      </c>
      <c r="I128" s="9">
        <v>132.43045000000001</v>
      </c>
      <c r="J128" s="9">
        <v>105.54376000000001</v>
      </c>
      <c r="K128" s="9">
        <v>72.549640999999994</v>
      </c>
      <c r="L128" s="9">
        <v>87.710203000000007</v>
      </c>
      <c r="M128" s="9">
        <v>205.61983000000001</v>
      </c>
      <c r="N128" s="9">
        <v>67.985252000000003</v>
      </c>
      <c r="O128" s="9">
        <v>38.203538000000002</v>
      </c>
      <c r="P128" s="9">
        <v>36.344659999999998</v>
      </c>
      <c r="Q128" s="9">
        <v>89.769146000000006</v>
      </c>
      <c r="R128" s="9">
        <v>94.645557999999994</v>
      </c>
      <c r="S128" s="9">
        <v>57.272126</v>
      </c>
      <c r="T128" s="9">
        <v>60.298990000000003</v>
      </c>
      <c r="U128" s="9">
        <v>145.89814999999999</v>
      </c>
    </row>
    <row r="129" spans="3:21" s="9" customFormat="1" ht="0.5" customHeight="1">
      <c r="C129" s="9" t="s">
        <v>20</v>
      </c>
      <c r="D129" s="9" t="str">
        <f t="shared" si="36"/>
        <v>Latin America and the Caribbean23.5</v>
      </c>
      <c r="E129" s="392">
        <v>23.5</v>
      </c>
      <c r="F129" s="9">
        <v>81.974749000000003</v>
      </c>
      <c r="G129" s="9">
        <v>59.050597000000003</v>
      </c>
      <c r="H129" s="9">
        <v>65.118831999999998</v>
      </c>
      <c r="I129" s="9">
        <v>134.16856999999999</v>
      </c>
      <c r="J129" s="9">
        <v>109.35551</v>
      </c>
      <c r="K129" s="9">
        <v>75.151426000000001</v>
      </c>
      <c r="L129" s="9">
        <v>90.761174999999994</v>
      </c>
      <c r="M129" s="9">
        <v>212.27321000000001</v>
      </c>
      <c r="N129" s="9">
        <v>68.390241000000003</v>
      </c>
      <c r="O129" s="9">
        <v>38.347287000000001</v>
      </c>
      <c r="P129" s="9">
        <v>36.904224999999997</v>
      </c>
      <c r="Q129" s="9">
        <v>90.234166999999999</v>
      </c>
      <c r="R129" s="9">
        <v>97.704064000000002</v>
      </c>
      <c r="S129" s="9">
        <v>59.079165000000003</v>
      </c>
      <c r="T129" s="9">
        <v>62.901037000000002</v>
      </c>
      <c r="U129" s="9">
        <v>150.40682000000001</v>
      </c>
    </row>
    <row r="130" spans="3:21" s="9" customFormat="1" ht="0.5" customHeight="1">
      <c r="C130" s="9" t="s">
        <v>20</v>
      </c>
      <c r="D130" s="9" t="str">
        <f t="shared" si="36"/>
        <v>Latin America and the Caribbean24</v>
      </c>
      <c r="E130" s="392">
        <v>24</v>
      </c>
      <c r="F130" s="9">
        <v>83.028890000000004</v>
      </c>
      <c r="G130" s="9">
        <v>59.836955000000003</v>
      </c>
      <c r="H130" s="9">
        <v>66.250224000000003</v>
      </c>
      <c r="I130" s="9">
        <v>135.91797</v>
      </c>
      <c r="J130" s="9">
        <v>113.1846</v>
      </c>
      <c r="K130" s="9">
        <v>77.768332000000001</v>
      </c>
      <c r="L130" s="9">
        <v>93.816298000000003</v>
      </c>
      <c r="M130" s="9">
        <v>219.20197999999999</v>
      </c>
      <c r="N130" s="9">
        <v>68.773950999999997</v>
      </c>
      <c r="O130" s="9">
        <v>38.465153999999998</v>
      </c>
      <c r="P130" s="9">
        <v>37.450780000000002</v>
      </c>
      <c r="Q130" s="9">
        <v>90.646730000000005</v>
      </c>
      <c r="R130" s="9">
        <v>100.77646</v>
      </c>
      <c r="S130" s="9">
        <v>60.893811999999997</v>
      </c>
      <c r="T130" s="9">
        <v>65.357748000000001</v>
      </c>
      <c r="U130" s="9">
        <v>154.63597999999999</v>
      </c>
    </row>
    <row r="131" spans="3:21" s="9" customFormat="1" ht="0.5" customHeight="1">
      <c r="C131" s="9" t="s">
        <v>20</v>
      </c>
      <c r="D131" s="9" t="str">
        <f t="shared" si="36"/>
        <v>Latin America and the Caribbean24.5</v>
      </c>
      <c r="E131" s="392">
        <v>24.5</v>
      </c>
      <c r="F131" s="9">
        <v>84.039952999999997</v>
      </c>
      <c r="G131" s="9">
        <v>60.567067000000002</v>
      </c>
      <c r="H131" s="9">
        <v>67.344724999999997</v>
      </c>
      <c r="I131" s="9">
        <v>137.65640999999999</v>
      </c>
      <c r="J131" s="9">
        <v>116.98260000000001</v>
      </c>
      <c r="K131" s="9">
        <v>80.399013999999994</v>
      </c>
      <c r="L131" s="9">
        <v>96.864964999999998</v>
      </c>
      <c r="M131" s="9">
        <v>225.99940000000001</v>
      </c>
      <c r="N131" s="9">
        <v>69.121701999999999</v>
      </c>
      <c r="O131" s="9">
        <v>38.567901999999997</v>
      </c>
      <c r="P131" s="9">
        <v>37.979973000000001</v>
      </c>
      <c r="Q131" s="9">
        <v>91.386503000000005</v>
      </c>
      <c r="R131" s="9">
        <v>103.78733</v>
      </c>
      <c r="S131" s="9">
        <v>62.641075999999998</v>
      </c>
      <c r="T131" s="9">
        <v>67.675534999999996</v>
      </c>
      <c r="U131" s="9">
        <v>158.58964</v>
      </c>
    </row>
    <row r="132" spans="3:21" s="9" customFormat="1" ht="0.5" customHeight="1">
      <c r="C132" s="9" t="s">
        <v>20</v>
      </c>
      <c r="D132" s="9" t="str">
        <f t="shared" si="36"/>
        <v>Latin America and the Caribbean25</v>
      </c>
      <c r="E132" s="392">
        <v>25</v>
      </c>
      <c r="F132" s="9">
        <v>85.020814999999999</v>
      </c>
      <c r="G132" s="9">
        <v>61.278177999999997</v>
      </c>
      <c r="H132" s="9">
        <v>68.417952</v>
      </c>
      <c r="I132" s="9">
        <v>139.37503000000001</v>
      </c>
      <c r="J132" s="9">
        <v>120.74849</v>
      </c>
      <c r="K132" s="9">
        <v>83.027574999999999</v>
      </c>
      <c r="L132" s="9">
        <v>99.867143999999996</v>
      </c>
      <c r="M132" s="9">
        <v>232.68422000000001</v>
      </c>
      <c r="N132" s="9">
        <v>69.465773999999996</v>
      </c>
      <c r="O132" s="9">
        <v>38.650995000000002</v>
      </c>
      <c r="P132" s="9">
        <v>38.477592999999999</v>
      </c>
      <c r="Q132" s="9">
        <v>92.339506999999998</v>
      </c>
      <c r="R132" s="9">
        <v>106.70059999999999</v>
      </c>
      <c r="S132" s="9">
        <v>64.307513999999998</v>
      </c>
      <c r="T132" s="9">
        <v>69.813423</v>
      </c>
      <c r="U132" s="9">
        <v>162.06748999999999</v>
      </c>
    </row>
    <row r="133" spans="3:21" s="9" customFormat="1" ht="0.5" customHeight="1">
      <c r="C133" s="9" t="s">
        <v>20</v>
      </c>
      <c r="D133" s="9" t="str">
        <f t="shared" si="36"/>
        <v>Latin America and the Caribbean25.5</v>
      </c>
      <c r="E133" s="392">
        <v>25.5</v>
      </c>
      <c r="F133" s="9">
        <v>85.944789</v>
      </c>
      <c r="G133" s="9">
        <v>61.949961999999999</v>
      </c>
      <c r="H133" s="9">
        <v>69.397892999999996</v>
      </c>
      <c r="I133" s="9">
        <v>141.03740999999999</v>
      </c>
      <c r="J133" s="9">
        <v>124.44428000000001</v>
      </c>
      <c r="K133" s="9">
        <v>85.588879000000006</v>
      </c>
      <c r="L133" s="9">
        <v>102.79598</v>
      </c>
      <c r="M133" s="9">
        <v>239.11224999999999</v>
      </c>
      <c r="N133" s="9">
        <v>69.777006</v>
      </c>
      <c r="O133" s="9">
        <v>38.726027999999999</v>
      </c>
      <c r="P133" s="9">
        <v>38.970067999999998</v>
      </c>
      <c r="Q133" s="9">
        <v>93.414952999999997</v>
      </c>
      <c r="R133" s="9">
        <v>109.35499</v>
      </c>
      <c r="S133" s="9">
        <v>65.879147000000003</v>
      </c>
      <c r="T133" s="9">
        <v>71.731520000000003</v>
      </c>
      <c r="U133" s="9">
        <v>165.27348000000001</v>
      </c>
    </row>
    <row r="134" spans="3:21" s="9" customFormat="1" ht="0.5" customHeight="1">
      <c r="C134" s="9" t="s">
        <v>20</v>
      </c>
      <c r="D134" s="9" t="str">
        <f t="shared" si="36"/>
        <v>Latin America and the Caribbean26</v>
      </c>
      <c r="E134" s="392">
        <v>26</v>
      </c>
      <c r="F134" s="9">
        <v>86.846911000000006</v>
      </c>
      <c r="G134" s="9">
        <v>62.591673</v>
      </c>
      <c r="H134" s="9">
        <v>70.328265000000002</v>
      </c>
      <c r="I134" s="9">
        <v>142.67139</v>
      </c>
      <c r="J134" s="9">
        <v>128.06948</v>
      </c>
      <c r="K134" s="9">
        <v>88.082626000000005</v>
      </c>
      <c r="L134" s="9">
        <v>105.65577999999999</v>
      </c>
      <c r="M134" s="9">
        <v>245.01763</v>
      </c>
      <c r="N134" s="9">
        <v>70.062911999999997</v>
      </c>
      <c r="O134" s="9">
        <v>38.782888</v>
      </c>
      <c r="P134" s="9">
        <v>39.461964999999999</v>
      </c>
      <c r="Q134" s="9">
        <v>94.487927999999997</v>
      </c>
      <c r="R134" s="9">
        <v>111.8304</v>
      </c>
      <c r="S134" s="9">
        <v>67.342247</v>
      </c>
      <c r="T134" s="9">
        <v>73.394963000000004</v>
      </c>
      <c r="U134" s="9">
        <v>168.18057999999999</v>
      </c>
    </row>
    <row r="135" spans="3:21" s="9" customFormat="1" ht="0.5" customHeight="1">
      <c r="C135" s="9" t="s">
        <v>20</v>
      </c>
      <c r="D135" s="9" t="str">
        <f t="shared" si="36"/>
        <v>Latin America and the Caribbean26.5</v>
      </c>
      <c r="E135" s="392">
        <v>26.5</v>
      </c>
      <c r="F135" s="9">
        <v>87.690189000000004</v>
      </c>
      <c r="G135" s="9">
        <v>63.16019</v>
      </c>
      <c r="H135" s="9">
        <v>71.260683</v>
      </c>
      <c r="I135" s="9">
        <v>144.27521999999999</v>
      </c>
      <c r="J135" s="9">
        <v>131.62546</v>
      </c>
      <c r="K135" s="9">
        <v>90.489551000000006</v>
      </c>
      <c r="L135" s="9">
        <v>108.47792</v>
      </c>
      <c r="M135" s="9">
        <v>250.70302000000001</v>
      </c>
      <c r="N135" s="9">
        <v>70.355003999999994</v>
      </c>
      <c r="O135" s="9">
        <v>38.835424000000003</v>
      </c>
      <c r="P135" s="9">
        <v>39.935268999999998</v>
      </c>
      <c r="Q135" s="9">
        <v>95.528630000000007</v>
      </c>
      <c r="R135" s="9">
        <v>114.04275</v>
      </c>
      <c r="S135" s="9">
        <v>68.670969999999997</v>
      </c>
      <c r="T135" s="9">
        <v>74.965622999999994</v>
      </c>
      <c r="U135" s="9">
        <v>170.99005</v>
      </c>
    </row>
    <row r="136" spans="3:21" s="9" customFormat="1" ht="0.5" customHeight="1">
      <c r="C136" s="9" t="s">
        <v>20</v>
      </c>
      <c r="D136" s="9" t="str">
        <f t="shared" si="36"/>
        <v>Latin America and the Caribbean27</v>
      </c>
      <c r="E136" s="392">
        <v>27</v>
      </c>
      <c r="F136" s="9">
        <v>88.483276000000004</v>
      </c>
      <c r="G136" s="9">
        <v>63.711084999999997</v>
      </c>
      <c r="H136" s="9">
        <v>72.184990999999997</v>
      </c>
      <c r="I136" s="9">
        <v>145.82641000000001</v>
      </c>
      <c r="J136" s="9">
        <v>135.11625000000001</v>
      </c>
      <c r="K136" s="9">
        <v>92.846971999999994</v>
      </c>
      <c r="L136" s="9">
        <v>111.19155000000001</v>
      </c>
      <c r="M136" s="9">
        <v>256.07875999999999</v>
      </c>
      <c r="N136" s="9">
        <v>70.604695000000007</v>
      </c>
      <c r="O136" s="9">
        <v>38.889572000000001</v>
      </c>
      <c r="P136" s="9">
        <v>40.383347999999998</v>
      </c>
      <c r="Q136" s="9">
        <v>96.529582000000005</v>
      </c>
      <c r="R136" s="9">
        <v>116.12054999999999</v>
      </c>
      <c r="S136" s="9">
        <v>69.866457999999994</v>
      </c>
      <c r="T136" s="9">
        <v>76.405394000000001</v>
      </c>
      <c r="U136" s="9">
        <v>173.51843</v>
      </c>
    </row>
    <row r="137" spans="3:21" s="9" customFormat="1" ht="0.5" customHeight="1">
      <c r="C137" s="9" t="s">
        <v>20</v>
      </c>
      <c r="D137" s="9" t="str">
        <f t="shared" si="36"/>
        <v>Latin America and the Caribbean27.5</v>
      </c>
      <c r="E137" s="392">
        <v>27.5</v>
      </c>
      <c r="F137" s="9">
        <v>89.261187000000007</v>
      </c>
      <c r="G137" s="9">
        <v>64.226346000000007</v>
      </c>
      <c r="H137" s="9">
        <v>73.061963000000006</v>
      </c>
      <c r="I137" s="9">
        <v>147.31174999999999</v>
      </c>
      <c r="J137" s="9">
        <v>138.55972</v>
      </c>
      <c r="K137" s="9">
        <v>95.075396999999995</v>
      </c>
      <c r="L137" s="9">
        <v>113.84117999999999</v>
      </c>
      <c r="M137" s="9">
        <v>261.21800999999999</v>
      </c>
      <c r="N137" s="9">
        <v>70.838825</v>
      </c>
      <c r="O137" s="9">
        <v>38.945557999999998</v>
      </c>
      <c r="P137" s="9">
        <v>40.811022999999999</v>
      </c>
      <c r="Q137" s="9">
        <v>97.504732000000004</v>
      </c>
      <c r="R137" s="9">
        <v>117.98856000000001</v>
      </c>
      <c r="S137" s="9">
        <v>71.007659000000004</v>
      </c>
      <c r="T137" s="9">
        <v>77.749063000000007</v>
      </c>
      <c r="U137" s="9">
        <v>175.95381</v>
      </c>
    </row>
    <row r="138" spans="3:21" s="9" customFormat="1" ht="0.5" customHeight="1">
      <c r="C138" s="9" t="s">
        <v>20</v>
      </c>
      <c r="D138" s="9" t="str">
        <f t="shared" si="36"/>
        <v>Latin America and the Caribbean28</v>
      </c>
      <c r="E138" s="392">
        <v>28</v>
      </c>
      <c r="F138" s="9">
        <v>89.996364</v>
      </c>
      <c r="G138" s="9">
        <v>64.723917999999998</v>
      </c>
      <c r="H138" s="9">
        <v>73.909004999999993</v>
      </c>
      <c r="I138" s="9">
        <v>148.99603999999999</v>
      </c>
      <c r="J138" s="9">
        <v>142.01340999999999</v>
      </c>
      <c r="K138" s="9">
        <v>97.250775000000004</v>
      </c>
      <c r="L138" s="9">
        <v>116.33862999999999</v>
      </c>
      <c r="M138" s="9">
        <v>266.09001000000001</v>
      </c>
      <c r="N138" s="9">
        <v>71.064139999999995</v>
      </c>
      <c r="O138" s="9">
        <v>39.002223000000001</v>
      </c>
      <c r="P138" s="9">
        <v>41.224302999999999</v>
      </c>
      <c r="Q138" s="9">
        <v>98.376247000000006</v>
      </c>
      <c r="R138" s="9">
        <v>119.76787</v>
      </c>
      <c r="S138" s="9">
        <v>72.003842000000006</v>
      </c>
      <c r="T138" s="9">
        <v>78.982045999999997</v>
      </c>
      <c r="U138" s="9">
        <v>178.18964</v>
      </c>
    </row>
    <row r="139" spans="3:21" s="9" customFormat="1" ht="0.5" customHeight="1">
      <c r="C139" s="9" t="s">
        <v>20</v>
      </c>
      <c r="D139" s="9" t="str">
        <f t="shared" si="36"/>
        <v>Latin America and the Caribbean28.5</v>
      </c>
      <c r="E139" s="392">
        <v>28.5</v>
      </c>
      <c r="F139" s="9">
        <v>90.731303999999994</v>
      </c>
      <c r="G139" s="9">
        <v>65.189491000000004</v>
      </c>
      <c r="H139" s="9">
        <v>74.701335</v>
      </c>
      <c r="I139" s="9">
        <v>150.58340999999999</v>
      </c>
      <c r="J139" s="9">
        <v>145.34084999999999</v>
      </c>
      <c r="K139" s="9">
        <v>99.229181999999994</v>
      </c>
      <c r="L139" s="9">
        <v>118.80237</v>
      </c>
      <c r="M139" s="9">
        <v>270.75146999999998</v>
      </c>
      <c r="N139" s="9">
        <v>71.286309000000003</v>
      </c>
      <c r="O139" s="9">
        <v>39.059333000000002</v>
      </c>
      <c r="P139" s="9">
        <v>41.617710000000002</v>
      </c>
      <c r="Q139" s="9">
        <v>99.432849000000004</v>
      </c>
      <c r="R139" s="9">
        <v>121.41930000000001</v>
      </c>
      <c r="S139" s="9">
        <v>72.951742999999993</v>
      </c>
      <c r="T139" s="9">
        <v>79.991836000000006</v>
      </c>
      <c r="U139" s="9">
        <v>180.34678</v>
      </c>
    </row>
    <row r="140" spans="3:21" s="9" customFormat="1" ht="0.5" customHeight="1">
      <c r="C140" s="9" t="s">
        <v>20</v>
      </c>
      <c r="D140" s="9" t="str">
        <f t="shared" si="36"/>
        <v>Latin America and the Caribbean29</v>
      </c>
      <c r="E140" s="392">
        <v>29</v>
      </c>
      <c r="F140" s="9">
        <v>91.450785999999994</v>
      </c>
      <c r="G140" s="9">
        <v>65.642471999999998</v>
      </c>
      <c r="H140" s="9">
        <v>75.471222999999995</v>
      </c>
      <c r="I140" s="9">
        <v>152.11546999999999</v>
      </c>
      <c r="J140" s="9">
        <v>148.51000999999999</v>
      </c>
      <c r="K140" s="9">
        <v>101.15245</v>
      </c>
      <c r="L140" s="9">
        <v>121.14185000000001</v>
      </c>
      <c r="M140" s="9">
        <v>275.14420000000001</v>
      </c>
      <c r="N140" s="9">
        <v>71.488343999999998</v>
      </c>
      <c r="O140" s="9">
        <v>39.116646000000003</v>
      </c>
      <c r="P140" s="9">
        <v>41.985501999999997</v>
      </c>
      <c r="Q140" s="9">
        <v>100.64751</v>
      </c>
      <c r="R140" s="9">
        <v>122.99462</v>
      </c>
      <c r="S140" s="9">
        <v>73.823471999999995</v>
      </c>
      <c r="T140" s="9">
        <v>80.822822000000002</v>
      </c>
      <c r="U140" s="9">
        <v>182.35636</v>
      </c>
    </row>
    <row r="141" spans="3:21" s="9" customFormat="1" ht="0.5" customHeight="1">
      <c r="C141" s="9" t="s">
        <v>20</v>
      </c>
      <c r="D141" s="9" t="str">
        <f t="shared" si="36"/>
        <v>Latin America and the Caribbean29.5</v>
      </c>
      <c r="E141" s="392">
        <v>29.5</v>
      </c>
      <c r="F141" s="9">
        <v>92.154284000000004</v>
      </c>
      <c r="G141" s="9">
        <v>66.046480000000003</v>
      </c>
      <c r="H141" s="9">
        <v>76.214956999999998</v>
      </c>
      <c r="I141" s="9">
        <v>153.55107000000001</v>
      </c>
      <c r="J141" s="9">
        <v>151.65421000000001</v>
      </c>
      <c r="K141" s="9">
        <v>102.92883</v>
      </c>
      <c r="L141" s="9">
        <v>123.48931</v>
      </c>
      <c r="M141" s="9">
        <v>279.27958999999998</v>
      </c>
      <c r="N141" s="9">
        <v>71.689770999999993</v>
      </c>
      <c r="O141" s="9">
        <v>39.174492999999998</v>
      </c>
      <c r="P141" s="9">
        <v>42.327406000000003</v>
      </c>
      <c r="Q141" s="9">
        <v>101.71106</v>
      </c>
      <c r="R141" s="9">
        <v>124.40836</v>
      </c>
      <c r="S141" s="9">
        <v>74.708645000000004</v>
      </c>
      <c r="T141" s="9">
        <v>81.707363999999998</v>
      </c>
      <c r="U141" s="9">
        <v>184.25004999999999</v>
      </c>
    </row>
    <row r="142" spans="3:21" s="9" customFormat="1" ht="0.5" customHeight="1">
      <c r="C142" s="9" t="s">
        <v>20</v>
      </c>
      <c r="D142" s="9" t="str">
        <f t="shared" si="36"/>
        <v>Latin America and the Caribbean30</v>
      </c>
      <c r="E142" s="392">
        <v>30</v>
      </c>
      <c r="F142" s="9">
        <v>92.835427999999993</v>
      </c>
      <c r="G142" s="9">
        <v>66.432872000000003</v>
      </c>
      <c r="H142" s="9">
        <v>76.938638999999995</v>
      </c>
      <c r="I142" s="9">
        <v>154.95106000000001</v>
      </c>
      <c r="J142" s="9">
        <v>154.69179</v>
      </c>
      <c r="K142" s="9">
        <v>104.63124999999999</v>
      </c>
      <c r="L142" s="9">
        <v>125.83092000000001</v>
      </c>
      <c r="M142" s="9">
        <v>282.93189000000001</v>
      </c>
      <c r="N142" s="9">
        <v>71.879649999999998</v>
      </c>
      <c r="O142" s="9">
        <v>39.235579000000001</v>
      </c>
      <c r="P142" s="9">
        <v>42.662621999999999</v>
      </c>
      <c r="Q142" s="9">
        <v>102.7218</v>
      </c>
      <c r="R142" s="9">
        <v>125.79387</v>
      </c>
      <c r="S142" s="9">
        <v>75.525003999999996</v>
      </c>
      <c r="T142" s="9">
        <v>82.555535000000006</v>
      </c>
      <c r="U142" s="9">
        <v>186.41002</v>
      </c>
    </row>
    <row r="143" spans="3:21" s="9" customFormat="1" ht="0.5" customHeight="1">
      <c r="C143" s="9" t="s">
        <v>20</v>
      </c>
      <c r="D143" s="9" t="str">
        <f t="shared" si="36"/>
        <v>Latin America and the Caribbean30.5</v>
      </c>
      <c r="E143" s="392">
        <v>30.5</v>
      </c>
      <c r="F143" s="9">
        <v>93.493869000000004</v>
      </c>
      <c r="G143" s="9">
        <v>66.758878999999993</v>
      </c>
      <c r="H143" s="9">
        <v>77.600700000000003</v>
      </c>
      <c r="I143" s="9">
        <v>156.36575999999999</v>
      </c>
      <c r="J143" s="9">
        <v>157.68239</v>
      </c>
      <c r="K143" s="9">
        <v>106.19739</v>
      </c>
      <c r="L143" s="9">
        <v>128.14401000000001</v>
      </c>
      <c r="M143" s="9">
        <v>286.40773999999999</v>
      </c>
      <c r="N143" s="9">
        <v>72.046064999999999</v>
      </c>
      <c r="O143" s="9">
        <v>39.294598999999998</v>
      </c>
      <c r="P143" s="9">
        <v>42.998060000000002</v>
      </c>
      <c r="Q143" s="9">
        <v>103.62739999999999</v>
      </c>
      <c r="R143" s="9">
        <v>127.19711</v>
      </c>
      <c r="S143" s="9">
        <v>76.243876</v>
      </c>
      <c r="T143" s="9">
        <v>83.368807000000004</v>
      </c>
      <c r="U143" s="9">
        <v>188.32585</v>
      </c>
    </row>
    <row r="144" spans="3:21" s="9" customFormat="1" ht="0.5" customHeight="1">
      <c r="C144" s="9" t="s">
        <v>20</v>
      </c>
      <c r="D144" s="9" t="str">
        <f t="shared" si="36"/>
        <v>Latin America and the Caribbean31</v>
      </c>
      <c r="E144" s="392">
        <v>31</v>
      </c>
      <c r="F144" s="9">
        <v>94.136999000000003</v>
      </c>
      <c r="G144" s="9">
        <v>67.073991000000007</v>
      </c>
      <c r="H144" s="9">
        <v>78.232114999999993</v>
      </c>
      <c r="I144" s="9">
        <v>157.76495</v>
      </c>
      <c r="J144" s="9">
        <v>160.63484</v>
      </c>
      <c r="K144" s="9">
        <v>107.68132</v>
      </c>
      <c r="L144" s="9">
        <v>130.38309000000001</v>
      </c>
      <c r="M144" s="9">
        <v>290.04115999999999</v>
      </c>
      <c r="N144" s="9">
        <v>72.193929999999995</v>
      </c>
      <c r="O144" s="9">
        <v>39.355418</v>
      </c>
      <c r="P144" s="9">
        <v>43.310389999999998</v>
      </c>
      <c r="Q144" s="9">
        <v>104.47029000000001</v>
      </c>
      <c r="R144" s="9">
        <v>128.54221000000001</v>
      </c>
      <c r="S144" s="9">
        <v>76.878039000000001</v>
      </c>
      <c r="T144" s="9">
        <v>84.185688999999996</v>
      </c>
      <c r="U144" s="9">
        <v>189.92348999999999</v>
      </c>
    </row>
    <row r="145" spans="3:21" s="9" customFormat="1" ht="0.5" customHeight="1">
      <c r="C145" s="9" t="s">
        <v>20</v>
      </c>
      <c r="D145" s="9" t="str">
        <f t="shared" si="36"/>
        <v>Latin America and the Caribbean31.5</v>
      </c>
      <c r="E145" s="392">
        <v>31.5</v>
      </c>
      <c r="F145" s="9">
        <v>94.729508999999993</v>
      </c>
      <c r="G145" s="9">
        <v>67.359639000000001</v>
      </c>
      <c r="H145" s="9">
        <v>78.835268999999997</v>
      </c>
      <c r="I145" s="9">
        <v>159.20147</v>
      </c>
      <c r="J145" s="9">
        <v>163.54174</v>
      </c>
      <c r="K145" s="9">
        <v>109.00516</v>
      </c>
      <c r="L145" s="9">
        <v>132.55721</v>
      </c>
      <c r="M145" s="9">
        <v>293.70463000000001</v>
      </c>
      <c r="N145" s="9">
        <v>72.338347999999996</v>
      </c>
      <c r="O145" s="9">
        <v>39.414358</v>
      </c>
      <c r="P145" s="9">
        <v>43.580997000000004</v>
      </c>
      <c r="Q145" s="9">
        <v>105.31692</v>
      </c>
      <c r="R145" s="9">
        <v>129.82262</v>
      </c>
      <c r="S145" s="9">
        <v>77.503305999999995</v>
      </c>
      <c r="T145" s="9">
        <v>84.973044999999999</v>
      </c>
      <c r="U145" s="9">
        <v>191.39309</v>
      </c>
    </row>
    <row r="146" spans="3:21" s="9" customFormat="1" ht="0.5" customHeight="1">
      <c r="C146" s="9" t="s">
        <v>20</v>
      </c>
      <c r="D146" s="9" t="str">
        <f t="shared" si="36"/>
        <v>Latin America and the Caribbean32</v>
      </c>
      <c r="E146" s="392">
        <v>32</v>
      </c>
      <c r="F146" s="9">
        <v>95.341469000000004</v>
      </c>
      <c r="G146" s="9">
        <v>67.627960000000002</v>
      </c>
      <c r="H146" s="9">
        <v>79.428021000000001</v>
      </c>
      <c r="I146" s="9">
        <v>160.76445000000001</v>
      </c>
      <c r="J146" s="9">
        <v>166.38126</v>
      </c>
      <c r="K146" s="9">
        <v>110.28051000000001</v>
      </c>
      <c r="L146" s="9">
        <v>134.50275999999999</v>
      </c>
      <c r="M146" s="9">
        <v>297.44815999999997</v>
      </c>
      <c r="N146" s="9">
        <v>72.502298999999994</v>
      </c>
      <c r="O146" s="9">
        <v>39.472985000000001</v>
      </c>
      <c r="P146" s="9">
        <v>43.862596000000003</v>
      </c>
      <c r="Q146" s="9">
        <v>106.15339</v>
      </c>
      <c r="R146" s="9">
        <v>131.01673</v>
      </c>
      <c r="S146" s="9">
        <v>78.062286</v>
      </c>
      <c r="T146" s="9">
        <v>85.640404000000004</v>
      </c>
      <c r="U146" s="9">
        <v>192.99454</v>
      </c>
    </row>
    <row r="147" spans="3:21" s="9" customFormat="1" ht="0.5" customHeight="1">
      <c r="C147" s="9" t="s">
        <v>20</v>
      </c>
      <c r="D147" s="9" t="str">
        <f t="shared" si="36"/>
        <v>Latin America and the Caribbean32.5</v>
      </c>
      <c r="E147" s="392">
        <v>32.5</v>
      </c>
      <c r="F147" s="9">
        <v>95.954738000000006</v>
      </c>
      <c r="G147" s="9">
        <v>67.882540000000006</v>
      </c>
      <c r="H147" s="9">
        <v>79.991398000000004</v>
      </c>
      <c r="I147" s="9">
        <v>162.26002</v>
      </c>
      <c r="J147" s="9">
        <v>169.18507</v>
      </c>
      <c r="K147" s="9">
        <v>111.52106000000001</v>
      </c>
      <c r="L147" s="9">
        <v>136.38074</v>
      </c>
      <c r="M147" s="9">
        <v>301.05520999999999</v>
      </c>
      <c r="N147" s="9">
        <v>72.671276000000006</v>
      </c>
      <c r="O147" s="9">
        <v>39.536110999999998</v>
      </c>
      <c r="P147" s="9">
        <v>44.160890000000002</v>
      </c>
      <c r="Q147" s="9">
        <v>106.83898000000001</v>
      </c>
      <c r="R147" s="9">
        <v>132.09294</v>
      </c>
      <c r="S147" s="9">
        <v>78.526402000000004</v>
      </c>
      <c r="T147" s="9">
        <v>86.344798999999995</v>
      </c>
      <c r="U147" s="9">
        <v>194.31741</v>
      </c>
    </row>
    <row r="148" spans="3:21" s="9" customFormat="1" ht="0.5" customHeight="1">
      <c r="C148" s="9" t="s">
        <v>20</v>
      </c>
      <c r="D148" s="9" t="str">
        <f t="shared" si="36"/>
        <v>Latin America and the Caribbean33</v>
      </c>
      <c r="E148" s="392">
        <v>33</v>
      </c>
      <c r="F148" s="9">
        <v>96.539626999999996</v>
      </c>
      <c r="G148" s="9">
        <v>68.138830999999996</v>
      </c>
      <c r="H148" s="9">
        <v>80.530568000000002</v>
      </c>
      <c r="I148" s="9">
        <v>163.62593000000001</v>
      </c>
      <c r="J148" s="9">
        <v>171.80991</v>
      </c>
      <c r="K148" s="9">
        <v>112.69714</v>
      </c>
      <c r="L148" s="9">
        <v>138.08548999999999</v>
      </c>
      <c r="M148" s="9">
        <v>304.60836999999998</v>
      </c>
      <c r="N148" s="9">
        <v>72.845988000000006</v>
      </c>
      <c r="O148" s="9">
        <v>39.604644999999998</v>
      </c>
      <c r="P148" s="9">
        <v>44.449872999999997</v>
      </c>
      <c r="Q148" s="9">
        <v>107.53585</v>
      </c>
      <c r="R148" s="9">
        <v>133.13518999999999</v>
      </c>
      <c r="S148" s="9">
        <v>78.930584999999994</v>
      </c>
      <c r="T148" s="9">
        <v>86.992962000000006</v>
      </c>
      <c r="U148" s="9">
        <v>195.63499999999999</v>
      </c>
    </row>
    <row r="149" spans="3:21" s="9" customFormat="1" ht="0.5" customHeight="1">
      <c r="C149" s="9" t="s">
        <v>20</v>
      </c>
      <c r="D149" s="9" t="str">
        <f t="shared" si="36"/>
        <v>Latin America and the Caribbean33.5</v>
      </c>
      <c r="E149" s="392">
        <v>33.5</v>
      </c>
      <c r="F149" s="9">
        <v>97.111605999999995</v>
      </c>
      <c r="G149" s="9">
        <v>68.378416999999999</v>
      </c>
      <c r="H149" s="9">
        <v>81.003268000000006</v>
      </c>
      <c r="I149" s="9">
        <v>165.06778</v>
      </c>
      <c r="J149" s="9">
        <v>174.30520999999999</v>
      </c>
      <c r="K149" s="9">
        <v>113.85128</v>
      </c>
      <c r="L149" s="9">
        <v>139.77879999999999</v>
      </c>
      <c r="M149" s="9">
        <v>307.99770000000001</v>
      </c>
      <c r="N149" s="9">
        <v>73.017634000000001</v>
      </c>
      <c r="O149" s="9">
        <v>39.678193999999998</v>
      </c>
      <c r="P149" s="9">
        <v>44.728625999999998</v>
      </c>
      <c r="Q149" s="9">
        <v>108.17046999999999</v>
      </c>
      <c r="R149" s="9">
        <v>134.15285</v>
      </c>
      <c r="S149" s="9">
        <v>79.378604999999993</v>
      </c>
      <c r="T149" s="9">
        <v>87.673424999999995</v>
      </c>
      <c r="U149" s="9">
        <v>196.92214000000001</v>
      </c>
    </row>
    <row r="150" spans="3:21" s="9" customFormat="1" ht="0.5" customHeight="1">
      <c r="C150" s="9" t="s">
        <v>20</v>
      </c>
      <c r="D150" s="9" t="str">
        <f t="shared" si="36"/>
        <v>Latin America and the Caribbean34</v>
      </c>
      <c r="E150" s="392">
        <v>34</v>
      </c>
      <c r="F150" s="9">
        <v>97.695560999999998</v>
      </c>
      <c r="G150" s="9">
        <v>68.597459000000001</v>
      </c>
      <c r="H150" s="9">
        <v>81.462226000000001</v>
      </c>
      <c r="I150" s="9">
        <v>166.46308999999999</v>
      </c>
      <c r="J150" s="9">
        <v>176.81156999999999</v>
      </c>
      <c r="K150" s="9">
        <v>114.99997</v>
      </c>
      <c r="L150" s="9">
        <v>141.32202000000001</v>
      </c>
      <c r="M150" s="9">
        <v>311.53708</v>
      </c>
      <c r="N150" s="9">
        <v>73.183985000000007</v>
      </c>
      <c r="O150" s="9">
        <v>39.750484999999998</v>
      </c>
      <c r="P150" s="9">
        <v>45.002248000000002</v>
      </c>
      <c r="Q150" s="9">
        <v>108.72837</v>
      </c>
      <c r="R150" s="9">
        <v>135.18352999999999</v>
      </c>
      <c r="S150" s="9">
        <v>79.783485999999996</v>
      </c>
      <c r="T150" s="9">
        <v>88.404270999999994</v>
      </c>
      <c r="U150" s="9">
        <v>198.30727999999999</v>
      </c>
    </row>
    <row r="151" spans="3:21" s="9" customFormat="1" ht="0.5" customHeight="1">
      <c r="C151" s="9" t="s">
        <v>20</v>
      </c>
      <c r="D151" s="9" t="str">
        <f t="shared" si="36"/>
        <v>Latin America and the Caribbean34.5</v>
      </c>
      <c r="E151" s="392">
        <v>34.5</v>
      </c>
      <c r="F151" s="9">
        <v>98.246385000000004</v>
      </c>
      <c r="G151" s="9">
        <v>68.777108999999996</v>
      </c>
      <c r="H151" s="9">
        <v>81.935102999999998</v>
      </c>
      <c r="I151" s="9">
        <v>167.80393000000001</v>
      </c>
      <c r="J151" s="9">
        <v>179.21005</v>
      </c>
      <c r="K151" s="9">
        <v>116.06637000000001</v>
      </c>
      <c r="L151" s="9">
        <v>142.78926999999999</v>
      </c>
      <c r="M151" s="9">
        <v>315.05185999999998</v>
      </c>
      <c r="N151" s="9">
        <v>73.347543999999999</v>
      </c>
      <c r="O151" s="9">
        <v>39.823746</v>
      </c>
      <c r="P151" s="9">
        <v>45.283977</v>
      </c>
      <c r="Q151" s="9">
        <v>109.19239</v>
      </c>
      <c r="R151" s="9">
        <v>136.2424</v>
      </c>
      <c r="S151" s="9">
        <v>80.099379999999996</v>
      </c>
      <c r="T151" s="9">
        <v>89.170911000000004</v>
      </c>
      <c r="U151" s="9">
        <v>199.97058999999999</v>
      </c>
    </row>
    <row r="152" spans="3:21" s="9" customFormat="1" ht="0.5" customHeight="1">
      <c r="C152" s="9" t="s">
        <v>20</v>
      </c>
      <c r="D152" s="9" t="str">
        <f t="shared" si="36"/>
        <v>Latin America and the Caribbean35</v>
      </c>
      <c r="E152" s="392">
        <v>35</v>
      </c>
      <c r="F152" s="9">
        <v>98.77234</v>
      </c>
      <c r="G152" s="9">
        <v>68.958245000000005</v>
      </c>
      <c r="H152" s="9">
        <v>82.383260000000007</v>
      </c>
      <c r="I152" s="9">
        <v>169.09977000000001</v>
      </c>
      <c r="J152" s="9">
        <v>181.52381</v>
      </c>
      <c r="K152" s="9">
        <v>117.10191</v>
      </c>
      <c r="L152" s="9">
        <v>144.13047</v>
      </c>
      <c r="M152" s="9">
        <v>318.20728000000003</v>
      </c>
      <c r="N152" s="9">
        <v>73.495080999999999</v>
      </c>
      <c r="O152" s="9">
        <v>39.896385000000002</v>
      </c>
      <c r="P152" s="9">
        <v>45.568801999999998</v>
      </c>
      <c r="Q152" s="9">
        <v>109.61422</v>
      </c>
      <c r="R152" s="9">
        <v>137.27466999999999</v>
      </c>
      <c r="S152" s="9">
        <v>80.404149000000004</v>
      </c>
      <c r="T152" s="9">
        <v>89.869304</v>
      </c>
      <c r="U152" s="9">
        <v>201.98043000000001</v>
      </c>
    </row>
    <row r="153" spans="3:21" s="9" customFormat="1" ht="0.5" customHeight="1">
      <c r="C153" s="9" t="s">
        <v>20</v>
      </c>
      <c r="D153" s="9" t="str">
        <f t="shared" si="36"/>
        <v>Latin America and the Caribbean35.5</v>
      </c>
      <c r="E153" s="392">
        <v>35.5</v>
      </c>
      <c r="F153" s="9">
        <v>99.275529000000006</v>
      </c>
      <c r="G153" s="9">
        <v>69.150581000000003</v>
      </c>
      <c r="H153" s="9">
        <v>82.771553999999995</v>
      </c>
      <c r="I153" s="9">
        <v>170.40042</v>
      </c>
      <c r="J153" s="9">
        <v>183.74008000000001</v>
      </c>
      <c r="K153" s="9">
        <v>117.98949</v>
      </c>
      <c r="L153" s="9">
        <v>145.35400999999999</v>
      </c>
      <c r="M153" s="9">
        <v>321.31644</v>
      </c>
      <c r="N153" s="9">
        <v>73.656228999999996</v>
      </c>
      <c r="O153" s="9">
        <v>39.970396999999998</v>
      </c>
      <c r="P153" s="9">
        <v>45.846409999999999</v>
      </c>
      <c r="Q153" s="9">
        <v>110.04561</v>
      </c>
      <c r="R153" s="9">
        <v>138.19941</v>
      </c>
      <c r="S153" s="9">
        <v>80.681723000000005</v>
      </c>
      <c r="T153" s="9">
        <v>90.571832999999998</v>
      </c>
      <c r="U153" s="9">
        <v>203.83051</v>
      </c>
    </row>
    <row r="154" spans="3:21" s="9" customFormat="1" ht="0.5" customHeight="1">
      <c r="C154" s="9" t="s">
        <v>20</v>
      </c>
      <c r="D154" s="9" t="str">
        <f t="shared" si="36"/>
        <v>Latin America and the Caribbean36</v>
      </c>
      <c r="E154" s="392">
        <v>36</v>
      </c>
      <c r="F154" s="9">
        <v>99.765831000000006</v>
      </c>
      <c r="G154" s="9">
        <v>69.338502000000005</v>
      </c>
      <c r="H154" s="9">
        <v>83.113851999999994</v>
      </c>
      <c r="I154" s="9">
        <v>171.65862999999999</v>
      </c>
      <c r="J154" s="9">
        <v>185.76091</v>
      </c>
      <c r="K154" s="9">
        <v>118.88651</v>
      </c>
      <c r="L154" s="9">
        <v>146.44173000000001</v>
      </c>
      <c r="M154" s="9">
        <v>324.29196000000002</v>
      </c>
      <c r="N154" s="9">
        <v>73.819925999999995</v>
      </c>
      <c r="O154" s="9">
        <v>40.050618999999998</v>
      </c>
      <c r="P154" s="9">
        <v>46.131602999999998</v>
      </c>
      <c r="Q154" s="9">
        <v>110.22599</v>
      </c>
      <c r="R154" s="9">
        <v>139.03914</v>
      </c>
      <c r="S154" s="9">
        <v>80.910720999999995</v>
      </c>
      <c r="T154" s="9">
        <v>91.291701000000003</v>
      </c>
      <c r="U154" s="9">
        <v>205.63624999999999</v>
      </c>
    </row>
    <row r="155" spans="3:21" s="9" customFormat="1" ht="0.5" customHeight="1">
      <c r="C155" s="9" t="s">
        <v>20</v>
      </c>
      <c r="D155" s="9" t="str">
        <f t="shared" si="36"/>
        <v>Latin America and the Caribbean36.5</v>
      </c>
      <c r="E155" s="392">
        <v>36.5</v>
      </c>
      <c r="F155" s="9">
        <v>100.21583</v>
      </c>
      <c r="G155" s="9">
        <v>69.492020999999994</v>
      </c>
      <c r="H155" s="9">
        <v>83.452298999999996</v>
      </c>
      <c r="I155" s="9">
        <v>172.82362000000001</v>
      </c>
      <c r="J155" s="9">
        <v>187.74825000000001</v>
      </c>
      <c r="K155" s="9">
        <v>119.86413</v>
      </c>
      <c r="L155" s="9">
        <v>147.47201999999999</v>
      </c>
      <c r="M155" s="9">
        <v>327.16793999999999</v>
      </c>
      <c r="N155" s="9">
        <v>73.952843999999999</v>
      </c>
      <c r="O155" s="9">
        <v>40.12885</v>
      </c>
      <c r="P155" s="9">
        <v>46.410587</v>
      </c>
      <c r="Q155" s="9">
        <v>110.39293000000001</v>
      </c>
      <c r="R155" s="9">
        <v>139.85052999999999</v>
      </c>
      <c r="S155" s="9">
        <v>81.062676999999994</v>
      </c>
      <c r="T155" s="9">
        <v>92.009837000000005</v>
      </c>
      <c r="U155" s="9">
        <v>207.59438</v>
      </c>
    </row>
    <row r="156" spans="3:21" s="9" customFormat="1" ht="0.5" customHeight="1">
      <c r="C156" s="9" t="s">
        <v>20</v>
      </c>
      <c r="D156" s="9" t="str">
        <f t="shared" si="36"/>
        <v>Latin America and the Caribbean37</v>
      </c>
      <c r="E156" s="392">
        <v>37</v>
      </c>
      <c r="F156" s="9">
        <v>100.65640999999999</v>
      </c>
      <c r="G156" s="9">
        <v>69.633971000000003</v>
      </c>
      <c r="H156" s="9">
        <v>83.810098999999994</v>
      </c>
      <c r="I156" s="9">
        <v>173.86771999999999</v>
      </c>
      <c r="J156" s="9">
        <v>189.71038999999999</v>
      </c>
      <c r="K156" s="9">
        <v>120.83407</v>
      </c>
      <c r="L156" s="9">
        <v>148.42771999999999</v>
      </c>
      <c r="M156" s="9">
        <v>330.22050999999999</v>
      </c>
      <c r="N156" s="9">
        <v>74.088699000000005</v>
      </c>
      <c r="O156" s="9">
        <v>40.190832</v>
      </c>
      <c r="P156" s="9">
        <v>46.69097</v>
      </c>
      <c r="Q156" s="9">
        <v>110.66173999999999</v>
      </c>
      <c r="R156" s="9">
        <v>140.66532000000001</v>
      </c>
      <c r="S156" s="9">
        <v>81.210611999999998</v>
      </c>
      <c r="T156" s="9">
        <v>92.743843999999996</v>
      </c>
      <c r="U156" s="9">
        <v>209.51678999999999</v>
      </c>
    </row>
    <row r="157" spans="3:21" s="9" customFormat="1" ht="0.5" customHeight="1">
      <c r="C157" s="9" t="s">
        <v>20</v>
      </c>
      <c r="D157" s="9" t="str">
        <f t="shared" si="36"/>
        <v>Latin America and the Caribbean37.5</v>
      </c>
      <c r="E157" s="392">
        <v>37.5</v>
      </c>
      <c r="F157" s="9">
        <v>101.04895</v>
      </c>
      <c r="G157" s="9">
        <v>69.765120999999994</v>
      </c>
      <c r="H157" s="9">
        <v>84.172211000000004</v>
      </c>
      <c r="I157" s="9">
        <v>174.84771000000001</v>
      </c>
      <c r="J157" s="9">
        <v>191.63639000000001</v>
      </c>
      <c r="K157" s="9">
        <v>121.68980000000001</v>
      </c>
      <c r="L157" s="9">
        <v>149.37511000000001</v>
      </c>
      <c r="M157" s="9">
        <v>333.46319</v>
      </c>
      <c r="N157" s="9">
        <v>74.234523999999993</v>
      </c>
      <c r="O157" s="9">
        <v>40.247418000000003</v>
      </c>
      <c r="P157" s="9">
        <v>46.955074000000003</v>
      </c>
      <c r="Q157" s="9">
        <v>110.78464</v>
      </c>
      <c r="R157" s="9">
        <v>141.38812999999999</v>
      </c>
      <c r="S157" s="9">
        <v>81.401041000000006</v>
      </c>
      <c r="T157" s="9">
        <v>93.416956999999996</v>
      </c>
      <c r="U157" s="9">
        <v>211.32249999999999</v>
      </c>
    </row>
    <row r="158" spans="3:21" s="9" customFormat="1" ht="0.5" customHeight="1">
      <c r="C158" s="9" t="s">
        <v>20</v>
      </c>
      <c r="D158" s="9" t="str">
        <f t="shared" si="36"/>
        <v>Latin America and the Caribbean38</v>
      </c>
      <c r="E158" s="392">
        <v>38</v>
      </c>
      <c r="F158" s="9">
        <v>101.40103999999999</v>
      </c>
      <c r="G158" s="9">
        <v>69.899035999999995</v>
      </c>
      <c r="H158" s="9">
        <v>84.509821000000002</v>
      </c>
      <c r="I158" s="9">
        <v>175.83811</v>
      </c>
      <c r="J158" s="9">
        <v>193.46057999999999</v>
      </c>
      <c r="K158" s="9">
        <v>122.60339999999999</v>
      </c>
      <c r="L158" s="9">
        <v>150.21396999999999</v>
      </c>
      <c r="M158" s="9">
        <v>336.6705</v>
      </c>
      <c r="N158" s="9">
        <v>74.380932000000001</v>
      </c>
      <c r="O158" s="9">
        <v>40.289467999999999</v>
      </c>
      <c r="P158" s="9">
        <v>47.190384000000002</v>
      </c>
      <c r="Q158" s="9">
        <v>110.82342</v>
      </c>
      <c r="R158" s="9">
        <v>142.14943</v>
      </c>
      <c r="S158" s="9">
        <v>81.652339999999995</v>
      </c>
      <c r="T158" s="9">
        <v>94.065421000000001</v>
      </c>
      <c r="U158" s="9">
        <v>213.15563</v>
      </c>
    </row>
    <row r="159" spans="3:21" s="9" customFormat="1" ht="0.5" customHeight="1">
      <c r="C159" s="9" t="s">
        <v>20</v>
      </c>
      <c r="D159" s="9" t="str">
        <f t="shared" si="36"/>
        <v>Latin America and the Caribbean38.5</v>
      </c>
      <c r="E159" s="392">
        <v>38.5</v>
      </c>
      <c r="F159" s="9">
        <v>101.73828</v>
      </c>
      <c r="G159" s="9">
        <v>70.026286999999996</v>
      </c>
      <c r="H159" s="9">
        <v>84.841196999999994</v>
      </c>
      <c r="I159" s="9">
        <v>176.70062999999999</v>
      </c>
      <c r="J159" s="9">
        <v>195.1738</v>
      </c>
      <c r="K159" s="9">
        <v>123.52534</v>
      </c>
      <c r="L159" s="9">
        <v>150.97415000000001</v>
      </c>
      <c r="M159" s="9">
        <v>340.06209999999999</v>
      </c>
      <c r="N159" s="9">
        <v>74.526815999999997</v>
      </c>
      <c r="O159" s="9">
        <v>40.321384999999999</v>
      </c>
      <c r="P159" s="9">
        <v>47.410235</v>
      </c>
      <c r="Q159" s="9">
        <v>110.81780000000001</v>
      </c>
      <c r="R159" s="9">
        <v>142.97225</v>
      </c>
      <c r="S159" s="9">
        <v>81.858183999999994</v>
      </c>
      <c r="T159" s="9">
        <v>94.646863999999994</v>
      </c>
      <c r="U159" s="9">
        <v>214.89419000000001</v>
      </c>
    </row>
    <row r="160" spans="3:21" s="9" customFormat="1" ht="0.5" customHeight="1">
      <c r="C160" s="9" t="s">
        <v>20</v>
      </c>
      <c r="D160" s="9" t="str">
        <f t="shared" si="36"/>
        <v>Latin America and the Caribbean39</v>
      </c>
      <c r="E160" s="392">
        <v>39</v>
      </c>
      <c r="F160" s="9">
        <v>102.10538</v>
      </c>
      <c r="G160" s="9">
        <v>70.142865999999998</v>
      </c>
      <c r="H160" s="9">
        <v>85.171941000000004</v>
      </c>
      <c r="I160" s="9">
        <v>177.43313000000001</v>
      </c>
      <c r="J160" s="9">
        <v>196.81706</v>
      </c>
      <c r="K160" s="9">
        <v>124.48912</v>
      </c>
      <c r="L160" s="9">
        <v>151.71544</v>
      </c>
      <c r="M160" s="9">
        <v>343.73917</v>
      </c>
      <c r="N160" s="9">
        <v>74.671764999999994</v>
      </c>
      <c r="O160" s="9">
        <v>40.333651000000003</v>
      </c>
      <c r="P160" s="9">
        <v>47.583840000000002</v>
      </c>
      <c r="Q160" s="9">
        <v>110.61404</v>
      </c>
      <c r="R160" s="9">
        <v>143.82642999999999</v>
      </c>
      <c r="S160" s="9">
        <v>82.078728999999996</v>
      </c>
      <c r="T160" s="9">
        <v>95.322834</v>
      </c>
      <c r="U160" s="9">
        <v>216.66818000000001</v>
      </c>
    </row>
    <row r="161" spans="3:21" s="9" customFormat="1" ht="0.5" customHeight="1">
      <c r="C161" s="9" t="s">
        <v>20</v>
      </c>
      <c r="D161" s="9" t="str">
        <f t="shared" si="36"/>
        <v>Latin America and the Caribbean39.5</v>
      </c>
      <c r="E161" s="392">
        <v>39.5</v>
      </c>
      <c r="F161" s="9">
        <v>102.43604999999999</v>
      </c>
      <c r="G161" s="9">
        <v>70.231697999999994</v>
      </c>
      <c r="H161" s="9">
        <v>85.477727999999999</v>
      </c>
      <c r="I161" s="9">
        <v>178.17126999999999</v>
      </c>
      <c r="J161" s="9">
        <v>198.32747000000001</v>
      </c>
      <c r="K161" s="9">
        <v>125.36708</v>
      </c>
      <c r="L161" s="9">
        <v>152.44820000000001</v>
      </c>
      <c r="M161" s="9">
        <v>347.63421</v>
      </c>
      <c r="N161" s="9">
        <v>74.850718000000001</v>
      </c>
      <c r="O161" s="9">
        <v>40.337558000000001</v>
      </c>
      <c r="P161" s="9">
        <v>47.721339999999998</v>
      </c>
      <c r="Q161" s="9">
        <v>110.54801</v>
      </c>
      <c r="R161" s="9">
        <v>144.59631999999999</v>
      </c>
      <c r="S161" s="9">
        <v>82.365660000000005</v>
      </c>
      <c r="T161" s="9">
        <v>96.155409000000006</v>
      </c>
      <c r="U161" s="9">
        <v>218.56859</v>
      </c>
    </row>
    <row r="162" spans="3:21" s="9" customFormat="1" ht="0.5" customHeight="1">
      <c r="C162" s="9" t="s">
        <v>20</v>
      </c>
      <c r="D162" s="9" t="str">
        <f t="shared" si="36"/>
        <v>Latin America and the Caribbean40</v>
      </c>
      <c r="E162" s="392">
        <v>40</v>
      </c>
      <c r="F162" s="9">
        <v>102.74708</v>
      </c>
      <c r="G162" s="9">
        <v>70.315147999999994</v>
      </c>
      <c r="H162" s="9">
        <v>85.775019999999998</v>
      </c>
      <c r="I162" s="9">
        <v>178.88312999999999</v>
      </c>
      <c r="J162" s="9">
        <v>199.68279999999999</v>
      </c>
      <c r="K162" s="9">
        <v>126.26493000000001</v>
      </c>
      <c r="L162" s="9">
        <v>153.08216999999999</v>
      </c>
      <c r="M162" s="9">
        <v>351.56644999999997</v>
      </c>
      <c r="N162" s="9">
        <v>75.021794999999997</v>
      </c>
      <c r="O162" s="9">
        <v>40.331207999999997</v>
      </c>
      <c r="P162" s="9">
        <v>47.829019000000002</v>
      </c>
      <c r="Q162" s="9">
        <v>110.55244</v>
      </c>
      <c r="R162" s="9">
        <v>145.46643</v>
      </c>
      <c r="S162" s="9">
        <v>82.673957000000001</v>
      </c>
      <c r="T162" s="9">
        <v>96.990397999999999</v>
      </c>
      <c r="U162" s="9">
        <v>220.59390999999999</v>
      </c>
    </row>
    <row r="163" spans="3:21" s="9" customFormat="1" ht="0.5" customHeight="1">
      <c r="C163" s="9" t="s">
        <v>20</v>
      </c>
      <c r="D163" s="9" t="str">
        <f t="shared" si="36"/>
        <v>Latin America and the Caribbean40.5</v>
      </c>
      <c r="E163" s="392">
        <v>40.5</v>
      </c>
      <c r="F163" s="9">
        <v>103.01182</v>
      </c>
      <c r="G163" s="9">
        <v>70.336780000000005</v>
      </c>
      <c r="H163" s="9">
        <v>86.042280000000005</v>
      </c>
      <c r="I163" s="9">
        <v>179.51423</v>
      </c>
      <c r="J163" s="9">
        <v>200.95578</v>
      </c>
      <c r="K163" s="9">
        <v>127.3342</v>
      </c>
      <c r="L163" s="9">
        <v>153.67535000000001</v>
      </c>
      <c r="M163" s="9">
        <v>355.50754999999998</v>
      </c>
      <c r="N163" s="9">
        <v>75.188682999999997</v>
      </c>
      <c r="O163" s="9">
        <v>40.318657000000002</v>
      </c>
      <c r="P163" s="9">
        <v>47.934792999999999</v>
      </c>
      <c r="Q163" s="9">
        <v>110.53729</v>
      </c>
      <c r="R163" s="9">
        <v>146.36422999999999</v>
      </c>
      <c r="S163" s="9">
        <v>82.870965999999996</v>
      </c>
      <c r="T163" s="9">
        <v>97.724098999999995</v>
      </c>
      <c r="U163" s="9">
        <v>222.45857000000001</v>
      </c>
    </row>
    <row r="164" spans="3:21" s="9" customFormat="1" ht="0.5" customHeight="1">
      <c r="C164" s="9" t="s">
        <v>20</v>
      </c>
      <c r="D164" s="9" t="str">
        <f t="shared" si="36"/>
        <v>Latin America and the Caribbean41</v>
      </c>
      <c r="E164" s="392">
        <v>41</v>
      </c>
      <c r="F164" s="9">
        <v>103.25124</v>
      </c>
      <c r="G164" s="9">
        <v>70.337764000000007</v>
      </c>
      <c r="H164" s="9">
        <v>86.296428000000006</v>
      </c>
      <c r="I164" s="9">
        <v>180.10875999999999</v>
      </c>
      <c r="J164" s="9">
        <v>202.20330999999999</v>
      </c>
      <c r="K164" s="9">
        <v>128.45267999999999</v>
      </c>
      <c r="L164" s="9">
        <v>154.18708000000001</v>
      </c>
      <c r="M164" s="9">
        <v>359.55428999999998</v>
      </c>
      <c r="N164" s="9">
        <v>75.345051999999995</v>
      </c>
      <c r="O164" s="9">
        <v>40.297072999999997</v>
      </c>
      <c r="P164" s="9">
        <v>48.040066000000003</v>
      </c>
      <c r="Q164" s="9">
        <v>110.63986</v>
      </c>
      <c r="R164" s="9">
        <v>147.24089000000001</v>
      </c>
      <c r="S164" s="9">
        <v>83.032932000000002</v>
      </c>
      <c r="T164" s="9">
        <v>98.401520000000005</v>
      </c>
      <c r="U164" s="9">
        <v>224.25527</v>
      </c>
    </row>
    <row r="165" spans="3:21" s="9" customFormat="1" ht="0.5" customHeight="1">
      <c r="C165" s="9" t="s">
        <v>20</v>
      </c>
      <c r="D165" s="9" t="str">
        <f t="shared" si="36"/>
        <v>Latin America and the Caribbean41.5</v>
      </c>
      <c r="E165" s="392">
        <v>41.5</v>
      </c>
      <c r="F165" s="9">
        <v>103.45815</v>
      </c>
      <c r="G165" s="9">
        <v>70.302875999999998</v>
      </c>
      <c r="H165" s="9">
        <v>86.513188999999997</v>
      </c>
      <c r="I165" s="9">
        <v>180.67146</v>
      </c>
      <c r="J165" s="9">
        <v>203.43606</v>
      </c>
      <c r="K165" s="9">
        <v>129.58557999999999</v>
      </c>
      <c r="L165" s="9">
        <v>154.6799</v>
      </c>
      <c r="M165" s="9">
        <v>363.69941</v>
      </c>
      <c r="N165" s="9">
        <v>75.504063000000002</v>
      </c>
      <c r="O165" s="9">
        <v>40.272705999999999</v>
      </c>
      <c r="P165" s="9">
        <v>48.108989999999999</v>
      </c>
      <c r="Q165" s="9">
        <v>110.76768</v>
      </c>
      <c r="R165" s="9">
        <v>148.0909</v>
      </c>
      <c r="S165" s="9">
        <v>83.408671999999996</v>
      </c>
      <c r="T165" s="9">
        <v>99.040937999999997</v>
      </c>
      <c r="U165" s="9">
        <v>225.90711999999999</v>
      </c>
    </row>
    <row r="166" spans="3:21" s="9" customFormat="1" ht="0.5" customHeight="1">
      <c r="C166" s="9" t="s">
        <v>20</v>
      </c>
      <c r="D166" s="9" t="str">
        <f t="shared" si="36"/>
        <v>Latin America and the Caribbean42</v>
      </c>
      <c r="E166" s="392">
        <v>42</v>
      </c>
      <c r="F166" s="9">
        <v>103.66069</v>
      </c>
      <c r="G166" s="9">
        <v>70.279210000000006</v>
      </c>
      <c r="H166" s="9">
        <v>86.723094000000003</v>
      </c>
      <c r="I166" s="9">
        <v>181.24081000000001</v>
      </c>
      <c r="J166" s="9">
        <v>204.67785000000001</v>
      </c>
      <c r="K166" s="9">
        <v>130.67902000000001</v>
      </c>
      <c r="L166" s="9">
        <v>155.14148</v>
      </c>
      <c r="M166" s="9">
        <v>368.28188999999998</v>
      </c>
      <c r="N166" s="9">
        <v>75.653267</v>
      </c>
      <c r="O166" s="9">
        <v>40.235554</v>
      </c>
      <c r="P166" s="9">
        <v>48.130633000000003</v>
      </c>
      <c r="Q166" s="9">
        <v>110.91135</v>
      </c>
      <c r="R166" s="9">
        <v>148.89141000000001</v>
      </c>
      <c r="S166" s="9">
        <v>83.832837999999995</v>
      </c>
      <c r="T166" s="9">
        <v>99.647766000000004</v>
      </c>
      <c r="U166" s="9">
        <v>227.13666000000001</v>
      </c>
    </row>
    <row r="167" spans="3:21" s="9" customFormat="1" ht="0.5" customHeight="1">
      <c r="C167" s="9" t="s">
        <v>20</v>
      </c>
      <c r="D167" s="9" t="str">
        <f t="shared" si="36"/>
        <v>Latin America and the Caribbean42.5</v>
      </c>
      <c r="E167" s="392">
        <v>42.5</v>
      </c>
      <c r="F167" s="9">
        <v>103.8484</v>
      </c>
      <c r="G167" s="9">
        <v>70.269575000000003</v>
      </c>
      <c r="H167" s="9">
        <v>86.879581999999999</v>
      </c>
      <c r="I167" s="9">
        <v>181.74297000000001</v>
      </c>
      <c r="J167" s="9">
        <v>205.96511000000001</v>
      </c>
      <c r="K167" s="9">
        <v>131.64192</v>
      </c>
      <c r="L167" s="9">
        <v>155.64856</v>
      </c>
      <c r="M167" s="9">
        <v>373.01427000000001</v>
      </c>
      <c r="N167" s="9">
        <v>75.832170000000005</v>
      </c>
      <c r="O167" s="9">
        <v>40.189973000000002</v>
      </c>
      <c r="P167" s="9">
        <v>48.155555</v>
      </c>
      <c r="Q167" s="9">
        <v>111.09578999999999</v>
      </c>
      <c r="R167" s="9">
        <v>149.83038999999999</v>
      </c>
      <c r="S167" s="9">
        <v>84.081590000000006</v>
      </c>
      <c r="T167" s="9">
        <v>100.29957</v>
      </c>
      <c r="U167" s="9">
        <v>228.90743000000001</v>
      </c>
    </row>
    <row r="168" spans="3:21" s="9" customFormat="1" ht="0.5" customHeight="1">
      <c r="C168" s="9" t="s">
        <v>20</v>
      </c>
      <c r="D168" s="9" t="str">
        <f t="shared" si="36"/>
        <v>Latin America and the Caribbean43</v>
      </c>
      <c r="E168" s="392">
        <v>43</v>
      </c>
      <c r="F168" s="9">
        <v>104.02077</v>
      </c>
      <c r="G168" s="9">
        <v>70.239418000000001</v>
      </c>
      <c r="H168" s="9">
        <v>87.024652000000003</v>
      </c>
      <c r="I168" s="9">
        <v>182.11160000000001</v>
      </c>
      <c r="J168" s="9">
        <v>207.29415</v>
      </c>
      <c r="K168" s="9">
        <v>132.56226000000001</v>
      </c>
      <c r="L168" s="9">
        <v>156.28586999999999</v>
      </c>
      <c r="M168" s="9">
        <v>377.89972</v>
      </c>
      <c r="N168" s="9">
        <v>76.003753000000003</v>
      </c>
      <c r="O168" s="9">
        <v>40.145367999999998</v>
      </c>
      <c r="P168" s="9">
        <v>48.172815</v>
      </c>
      <c r="Q168" s="9">
        <v>111.17058</v>
      </c>
      <c r="R168" s="9">
        <v>150.77589</v>
      </c>
      <c r="S168" s="9">
        <v>84.272006000000005</v>
      </c>
      <c r="T168" s="9">
        <v>100.83499999999999</v>
      </c>
      <c r="U168" s="9">
        <v>230.38795999999999</v>
      </c>
    </row>
    <row r="169" spans="3:21" s="9" customFormat="1" ht="0.5" customHeight="1">
      <c r="C169" s="9" t="s">
        <v>20</v>
      </c>
      <c r="D169" s="9" t="str">
        <f t="shared" si="36"/>
        <v>Latin America and the Caribbean43.5</v>
      </c>
      <c r="E169" s="392">
        <v>43.5</v>
      </c>
      <c r="F169" s="9">
        <v>104.20480000000001</v>
      </c>
      <c r="G169" s="9">
        <v>70.219176000000004</v>
      </c>
      <c r="H169" s="9">
        <v>87.125364000000005</v>
      </c>
      <c r="I169" s="9">
        <v>182.55205000000001</v>
      </c>
      <c r="J169" s="9">
        <v>208.68530999999999</v>
      </c>
      <c r="K169" s="9">
        <v>133.37394</v>
      </c>
      <c r="L169" s="9">
        <v>156.9417</v>
      </c>
      <c r="M169" s="9">
        <v>382.78107</v>
      </c>
      <c r="N169" s="9">
        <v>76.168971999999997</v>
      </c>
      <c r="O169" s="9">
        <v>40.100518999999998</v>
      </c>
      <c r="P169" s="9">
        <v>48.181448000000003</v>
      </c>
      <c r="Q169" s="9">
        <v>111.19249000000001</v>
      </c>
      <c r="R169" s="9">
        <v>151.84173000000001</v>
      </c>
      <c r="S169" s="9">
        <v>84.646967000000004</v>
      </c>
      <c r="T169" s="9">
        <v>101.11417</v>
      </c>
      <c r="U169" s="9">
        <v>231.37228999999999</v>
      </c>
    </row>
    <row r="170" spans="3:21" s="9" customFormat="1" ht="0.5" customHeight="1">
      <c r="C170" s="9" t="s">
        <v>20</v>
      </c>
      <c r="D170" s="9" t="str">
        <f t="shared" si="36"/>
        <v>Latin America and the Caribbean44</v>
      </c>
      <c r="E170" s="392">
        <v>44</v>
      </c>
      <c r="F170" s="9">
        <v>104.37090999999999</v>
      </c>
      <c r="G170" s="9">
        <v>70.184826999999999</v>
      </c>
      <c r="H170" s="9">
        <v>87.221991000000003</v>
      </c>
      <c r="I170" s="9">
        <v>182.95060000000001</v>
      </c>
      <c r="J170" s="9">
        <v>210.13833</v>
      </c>
      <c r="K170" s="9">
        <v>134.08745999999999</v>
      </c>
      <c r="L170" s="9">
        <v>157.5669</v>
      </c>
      <c r="M170" s="9">
        <v>387.48192999999998</v>
      </c>
      <c r="N170" s="9">
        <v>76.354191</v>
      </c>
      <c r="O170" s="9">
        <v>40.058470999999997</v>
      </c>
      <c r="P170" s="9">
        <v>48.168601000000002</v>
      </c>
      <c r="Q170" s="9">
        <v>111.21849</v>
      </c>
      <c r="R170" s="9">
        <v>152.90627000000001</v>
      </c>
      <c r="S170" s="9">
        <v>85.06071</v>
      </c>
      <c r="T170" s="9">
        <v>101.43701</v>
      </c>
      <c r="U170" s="9">
        <v>232.80189999999999</v>
      </c>
    </row>
    <row r="171" spans="3:21" s="9" customFormat="1" ht="0.5" customHeight="1">
      <c r="C171" s="9" t="s">
        <v>20</v>
      </c>
      <c r="D171" s="9" t="str">
        <f t="shared" si="36"/>
        <v>Latin America and the Caribbean44.5</v>
      </c>
      <c r="E171" s="392">
        <v>44.5</v>
      </c>
      <c r="F171" s="9">
        <v>104.53547</v>
      </c>
      <c r="G171" s="9">
        <v>70.080240000000003</v>
      </c>
      <c r="H171" s="9">
        <v>87.271669000000003</v>
      </c>
      <c r="I171" s="9">
        <v>183.24634</v>
      </c>
      <c r="J171" s="9">
        <v>211.70776000000001</v>
      </c>
      <c r="K171" s="9">
        <v>134.78630000000001</v>
      </c>
      <c r="L171" s="9">
        <v>158.16086999999999</v>
      </c>
      <c r="M171" s="9">
        <v>392.11061999999998</v>
      </c>
      <c r="N171" s="9">
        <v>76.497883999999999</v>
      </c>
      <c r="O171" s="9">
        <v>40.011029999999998</v>
      </c>
      <c r="P171" s="9">
        <v>48.156390999999999</v>
      </c>
      <c r="Q171" s="9">
        <v>111.18349000000001</v>
      </c>
      <c r="R171" s="9">
        <v>154.11239</v>
      </c>
      <c r="S171" s="9">
        <v>85.334826000000007</v>
      </c>
      <c r="T171" s="9">
        <v>101.93455</v>
      </c>
      <c r="U171" s="9">
        <v>234.20858999999999</v>
      </c>
    </row>
    <row r="172" spans="3:21" s="9" customFormat="1" ht="0.5" customHeight="1">
      <c r="C172" s="9" t="s">
        <v>20</v>
      </c>
      <c r="D172" s="9" t="str">
        <f t="shared" si="36"/>
        <v>Latin America and the Caribbean45</v>
      </c>
      <c r="E172" s="392">
        <v>45</v>
      </c>
      <c r="F172" s="9">
        <v>104.69284</v>
      </c>
      <c r="G172" s="9">
        <v>69.967296000000005</v>
      </c>
      <c r="H172" s="9">
        <v>87.281272000000001</v>
      </c>
      <c r="I172" s="9">
        <v>183.47666000000001</v>
      </c>
      <c r="J172" s="9">
        <v>213.35173</v>
      </c>
      <c r="K172" s="9">
        <v>135.50887</v>
      </c>
      <c r="L172" s="9">
        <v>158.75842</v>
      </c>
      <c r="M172" s="9">
        <v>397.02140000000003</v>
      </c>
      <c r="N172" s="9">
        <v>76.634349</v>
      </c>
      <c r="O172" s="9">
        <v>39.959114</v>
      </c>
      <c r="P172" s="9">
        <v>48.122959999999999</v>
      </c>
      <c r="Q172" s="9">
        <v>111.19893</v>
      </c>
      <c r="R172" s="9">
        <v>155.37707</v>
      </c>
      <c r="S172" s="9">
        <v>85.626362</v>
      </c>
      <c r="T172" s="9">
        <v>102.39543</v>
      </c>
      <c r="U172" s="9">
        <v>235.58922999999999</v>
      </c>
    </row>
    <row r="173" spans="3:21" s="9" customFormat="1" ht="0.5" customHeight="1">
      <c r="C173" s="9" t="s">
        <v>20</v>
      </c>
      <c r="D173" s="9" t="str">
        <f t="shared" si="36"/>
        <v>Latin America and the Caribbean45.5</v>
      </c>
      <c r="E173" s="392">
        <v>45.5</v>
      </c>
      <c r="F173" s="9">
        <v>104.84726000000001</v>
      </c>
      <c r="G173" s="9">
        <v>69.875839999999997</v>
      </c>
      <c r="H173" s="9">
        <v>87.222577000000001</v>
      </c>
      <c r="I173" s="9">
        <v>183.69906</v>
      </c>
      <c r="J173" s="9">
        <v>215.03704999999999</v>
      </c>
      <c r="K173" s="9">
        <v>136.1412</v>
      </c>
      <c r="L173" s="9">
        <v>159.35553999999999</v>
      </c>
      <c r="M173" s="9">
        <v>401.83069999999998</v>
      </c>
      <c r="N173" s="9">
        <v>76.772737000000006</v>
      </c>
      <c r="O173" s="9">
        <v>39.904991000000003</v>
      </c>
      <c r="P173" s="9">
        <v>48.088791999999998</v>
      </c>
      <c r="Q173" s="9">
        <v>111.20009</v>
      </c>
      <c r="R173" s="9">
        <v>156.75236000000001</v>
      </c>
      <c r="S173" s="9">
        <v>86.167552000000001</v>
      </c>
      <c r="T173" s="9">
        <v>102.86726</v>
      </c>
      <c r="U173" s="9">
        <v>236.63153</v>
      </c>
    </row>
    <row r="174" spans="3:21" s="9" customFormat="1" ht="0.5" customHeight="1">
      <c r="C174" s="9" t="s">
        <v>20</v>
      </c>
      <c r="D174" s="9" t="str">
        <f t="shared" si="36"/>
        <v>Latin America and the Caribbean46</v>
      </c>
      <c r="E174" s="392">
        <v>46</v>
      </c>
      <c r="F174" s="9">
        <v>104.95828</v>
      </c>
      <c r="G174" s="9">
        <v>69.772041999999999</v>
      </c>
      <c r="H174" s="9">
        <v>87.116535999999996</v>
      </c>
      <c r="I174" s="9">
        <v>184.00480999999999</v>
      </c>
      <c r="J174" s="9">
        <v>216.68034</v>
      </c>
      <c r="K174" s="9">
        <v>136.74440000000001</v>
      </c>
      <c r="L174" s="9">
        <v>160.08354</v>
      </c>
      <c r="M174" s="9">
        <v>405.97483999999997</v>
      </c>
      <c r="N174" s="9">
        <v>76.910588000000004</v>
      </c>
      <c r="O174" s="9">
        <v>39.863790000000002</v>
      </c>
      <c r="P174" s="9">
        <v>48.060715999999999</v>
      </c>
      <c r="Q174" s="9">
        <v>111.2377</v>
      </c>
      <c r="R174" s="9">
        <v>158.19009</v>
      </c>
      <c r="S174" s="9">
        <v>86.769795999999999</v>
      </c>
      <c r="T174" s="9">
        <v>103.30221</v>
      </c>
      <c r="U174" s="9">
        <v>237.37629999999999</v>
      </c>
    </row>
    <row r="175" spans="3:21" s="9" customFormat="1" ht="0.5" customHeight="1">
      <c r="C175" s="9" t="s">
        <v>20</v>
      </c>
      <c r="D175" s="9" t="str">
        <f t="shared" si="36"/>
        <v>Latin America and the Caribbean46.5</v>
      </c>
      <c r="E175" s="392">
        <v>46.5</v>
      </c>
      <c r="F175" s="9">
        <v>105.02105</v>
      </c>
      <c r="G175" s="9">
        <v>69.688134000000005</v>
      </c>
      <c r="H175" s="9">
        <v>87.018908999999994</v>
      </c>
      <c r="I175" s="9">
        <v>184.51884000000001</v>
      </c>
      <c r="J175" s="9">
        <v>218.21002999999999</v>
      </c>
      <c r="K175" s="9">
        <v>137.61518000000001</v>
      </c>
      <c r="L175" s="9">
        <v>160.78561999999999</v>
      </c>
      <c r="M175" s="9">
        <v>410.17048</v>
      </c>
      <c r="N175" s="9">
        <v>77.088267999999999</v>
      </c>
      <c r="O175" s="9">
        <v>39.823293999999997</v>
      </c>
      <c r="P175" s="9">
        <v>48.056925</v>
      </c>
      <c r="Q175" s="9">
        <v>111.26939</v>
      </c>
      <c r="R175" s="9">
        <v>159.67143999999999</v>
      </c>
      <c r="S175" s="9">
        <v>87.682535000000001</v>
      </c>
      <c r="T175" s="9">
        <v>103.64143</v>
      </c>
      <c r="U175" s="9">
        <v>238.34989999999999</v>
      </c>
    </row>
    <row r="176" spans="3:21" s="9" customFormat="1" ht="0.5" customHeight="1">
      <c r="C176" s="9" t="s">
        <v>20</v>
      </c>
      <c r="D176" s="9" t="str">
        <f t="shared" si="36"/>
        <v>Latin America and the Caribbean47</v>
      </c>
      <c r="E176" s="392">
        <v>47</v>
      </c>
      <c r="F176" s="9">
        <v>105.07761000000001</v>
      </c>
      <c r="G176" s="9">
        <v>69.622108999999995</v>
      </c>
      <c r="H176" s="9">
        <v>86.888829000000001</v>
      </c>
      <c r="I176" s="9">
        <v>185.13744</v>
      </c>
      <c r="J176" s="9">
        <v>219.69398000000001</v>
      </c>
      <c r="K176" s="9">
        <v>138.55967000000001</v>
      </c>
      <c r="L176" s="9">
        <v>161.59771000000001</v>
      </c>
      <c r="M176" s="9">
        <v>414.09829999999999</v>
      </c>
      <c r="N176" s="9">
        <v>77.303047000000007</v>
      </c>
      <c r="O176" s="9">
        <v>39.777889000000002</v>
      </c>
      <c r="P176" s="9">
        <v>48.055771</v>
      </c>
      <c r="Q176" s="9">
        <v>111.25757</v>
      </c>
      <c r="R176" s="9">
        <v>161.14734000000001</v>
      </c>
      <c r="S176" s="9">
        <v>88.759161000000006</v>
      </c>
      <c r="T176" s="9">
        <v>104.08089</v>
      </c>
      <c r="U176" s="9">
        <v>239.44489999999999</v>
      </c>
    </row>
    <row r="177" spans="3:21" s="9" customFormat="1" ht="0.5" customHeight="1">
      <c r="C177" s="9" t="s">
        <v>20</v>
      </c>
      <c r="D177" s="9" t="str">
        <f t="shared" si="36"/>
        <v>Latin America and the Caribbean47.5</v>
      </c>
      <c r="E177" s="392">
        <v>47.5</v>
      </c>
      <c r="F177" s="9">
        <v>105.1357</v>
      </c>
      <c r="G177" s="9">
        <v>69.555486999999999</v>
      </c>
      <c r="H177" s="9">
        <v>86.714912999999996</v>
      </c>
      <c r="I177" s="9">
        <v>185.77667</v>
      </c>
      <c r="J177" s="9">
        <v>221.20975999999999</v>
      </c>
      <c r="K177" s="9">
        <v>139.30593999999999</v>
      </c>
      <c r="L177" s="9">
        <v>162.43321</v>
      </c>
      <c r="M177" s="9">
        <v>417.40411999999998</v>
      </c>
      <c r="N177" s="9">
        <v>77.490358000000001</v>
      </c>
      <c r="O177" s="9">
        <v>39.730663</v>
      </c>
      <c r="P177" s="9">
        <v>48.055931999999999</v>
      </c>
      <c r="Q177" s="9">
        <v>111.21277000000001</v>
      </c>
      <c r="R177" s="9">
        <v>162.55019999999999</v>
      </c>
      <c r="S177" s="9">
        <v>89.984347999999997</v>
      </c>
      <c r="T177" s="9">
        <v>104.38706999999999</v>
      </c>
      <c r="U177" s="9">
        <v>240.44328999999999</v>
      </c>
    </row>
    <row r="178" spans="3:21" s="9" customFormat="1" ht="0.5" customHeight="1">
      <c r="C178" s="9" t="s">
        <v>20</v>
      </c>
      <c r="D178" s="9" t="str">
        <f t="shared" si="36"/>
        <v>Latin America and the Caribbean48</v>
      </c>
      <c r="E178" s="392">
        <v>48</v>
      </c>
      <c r="F178" s="9">
        <v>105.18495</v>
      </c>
      <c r="G178" s="9">
        <v>69.484692999999993</v>
      </c>
      <c r="H178" s="9">
        <v>86.497166000000007</v>
      </c>
      <c r="I178" s="9">
        <v>186.37287000000001</v>
      </c>
      <c r="J178" s="9">
        <v>222.83317</v>
      </c>
      <c r="K178" s="9">
        <v>140.05248</v>
      </c>
      <c r="L178" s="9">
        <v>163.24726000000001</v>
      </c>
      <c r="M178" s="9">
        <v>420.12137000000001</v>
      </c>
      <c r="N178" s="9">
        <v>77.677124000000006</v>
      </c>
      <c r="O178" s="9">
        <v>39.682310999999999</v>
      </c>
      <c r="P178" s="9">
        <v>48.034576999999999</v>
      </c>
      <c r="Q178" s="9">
        <v>111.10861</v>
      </c>
      <c r="R178" s="9">
        <v>164.02799999999999</v>
      </c>
      <c r="S178" s="9">
        <v>91.121143000000004</v>
      </c>
      <c r="T178" s="9">
        <v>104.57819000000001</v>
      </c>
      <c r="U178" s="9">
        <v>240.90374</v>
      </c>
    </row>
    <row r="179" spans="3:21" s="9" customFormat="1" ht="0.5" customHeight="1">
      <c r="C179" s="9" t="s">
        <v>20</v>
      </c>
      <c r="D179" s="9" t="str">
        <f t="shared" si="36"/>
        <v>Latin America and the Caribbean48.5</v>
      </c>
      <c r="E179" s="392">
        <v>48.5</v>
      </c>
      <c r="F179" s="9">
        <v>105.23643</v>
      </c>
      <c r="G179" s="9">
        <v>69.405471000000006</v>
      </c>
      <c r="H179" s="9">
        <v>86.250682999999995</v>
      </c>
      <c r="I179" s="9">
        <v>186.8698</v>
      </c>
      <c r="J179" s="9">
        <v>224.53373999999999</v>
      </c>
      <c r="K179" s="9">
        <v>140.71625</v>
      </c>
      <c r="L179" s="9">
        <v>164.01444000000001</v>
      </c>
      <c r="M179" s="9">
        <v>422.40805999999998</v>
      </c>
      <c r="N179" s="9">
        <v>77.835100999999995</v>
      </c>
      <c r="O179" s="9">
        <v>39.628692999999998</v>
      </c>
      <c r="P179" s="9">
        <v>48.012045000000001</v>
      </c>
      <c r="Q179" s="9">
        <v>110.93247</v>
      </c>
      <c r="R179" s="9">
        <v>165.48582999999999</v>
      </c>
      <c r="S179" s="9">
        <v>92.041152999999994</v>
      </c>
      <c r="T179" s="9">
        <v>104.54076000000001</v>
      </c>
      <c r="U179" s="9">
        <v>241.84147999999999</v>
      </c>
    </row>
    <row r="180" spans="3:21" s="9" customFormat="1" ht="0.5" customHeight="1">
      <c r="C180" s="9" t="s">
        <v>20</v>
      </c>
      <c r="D180" s="9" t="str">
        <f t="shared" si="36"/>
        <v>Latin America and the Caribbean49</v>
      </c>
      <c r="E180" s="392">
        <v>49</v>
      </c>
      <c r="F180" s="9">
        <v>105.26085</v>
      </c>
      <c r="G180" s="9">
        <v>69.300433999999996</v>
      </c>
      <c r="H180" s="9">
        <v>85.976989000000003</v>
      </c>
      <c r="I180" s="9">
        <v>187.33806999999999</v>
      </c>
      <c r="J180" s="9">
        <v>226.31437</v>
      </c>
      <c r="K180" s="9">
        <v>141.39755</v>
      </c>
      <c r="L180" s="9">
        <v>164.58516</v>
      </c>
      <c r="M180" s="9">
        <v>424.15051</v>
      </c>
      <c r="N180" s="9">
        <v>77.979772999999994</v>
      </c>
      <c r="O180" s="9">
        <v>39.565359000000001</v>
      </c>
      <c r="P180" s="9">
        <v>47.976182999999999</v>
      </c>
      <c r="Q180" s="9">
        <v>110.85526</v>
      </c>
      <c r="R180" s="9">
        <v>166.92445000000001</v>
      </c>
      <c r="S180" s="9">
        <v>92.995051000000004</v>
      </c>
      <c r="T180" s="9">
        <v>104.38284</v>
      </c>
      <c r="U180" s="9">
        <v>242.21626000000001</v>
      </c>
    </row>
    <row r="181" spans="3:21" s="9" customFormat="1" ht="0.5" customHeight="1">
      <c r="C181" s="9" t="s">
        <v>20</v>
      </c>
      <c r="D181" s="9" t="str">
        <f t="shared" si="36"/>
        <v>Latin America and the Caribbean49.5</v>
      </c>
      <c r="E181" s="392">
        <v>49.5</v>
      </c>
      <c r="F181" s="9">
        <v>105.26611</v>
      </c>
      <c r="G181" s="9">
        <v>69.173890999999998</v>
      </c>
      <c r="H181" s="9">
        <v>85.669095999999996</v>
      </c>
      <c r="I181" s="9">
        <v>187.77154999999999</v>
      </c>
      <c r="J181" s="9">
        <v>228.06385</v>
      </c>
      <c r="K181" s="9">
        <v>142.00524999999999</v>
      </c>
      <c r="L181" s="9">
        <v>165.15627000000001</v>
      </c>
      <c r="M181" s="9">
        <v>425.72872000000001</v>
      </c>
      <c r="N181" s="9">
        <v>78.066213000000005</v>
      </c>
      <c r="O181" s="9">
        <v>39.495977000000003</v>
      </c>
      <c r="P181" s="9">
        <v>47.922154999999997</v>
      </c>
      <c r="Q181" s="9">
        <v>110.84893</v>
      </c>
      <c r="R181" s="9">
        <v>168.19263000000001</v>
      </c>
      <c r="S181" s="9">
        <v>94.085775999999996</v>
      </c>
      <c r="T181" s="9">
        <v>104.29513</v>
      </c>
      <c r="U181" s="9">
        <v>242.59087</v>
      </c>
    </row>
    <row r="182" spans="3:21" s="9" customFormat="1" ht="0.5" customHeight="1">
      <c r="C182" s="9" t="s">
        <v>20</v>
      </c>
      <c r="D182" s="9" t="str">
        <f t="shared" si="36"/>
        <v>Latin America and the Caribbean50</v>
      </c>
      <c r="E182" s="392">
        <v>50</v>
      </c>
      <c r="F182" s="9">
        <v>105.25078000000001</v>
      </c>
      <c r="G182" s="9">
        <v>69.030826000000005</v>
      </c>
      <c r="H182" s="9">
        <v>85.338783000000006</v>
      </c>
      <c r="I182" s="9">
        <v>188.12903</v>
      </c>
      <c r="J182" s="9">
        <v>229.83125000000001</v>
      </c>
      <c r="K182" s="9">
        <v>142.57871</v>
      </c>
      <c r="L182" s="9">
        <v>165.53348</v>
      </c>
      <c r="M182" s="9">
        <v>427.08337999999998</v>
      </c>
      <c r="N182" s="9">
        <v>78.176056000000003</v>
      </c>
      <c r="O182" s="9">
        <v>39.392598</v>
      </c>
      <c r="P182" s="9">
        <v>47.852707000000002</v>
      </c>
      <c r="Q182" s="9">
        <v>110.83042</v>
      </c>
      <c r="R182" s="9">
        <v>169.42098999999999</v>
      </c>
      <c r="S182" s="9">
        <v>95.260103999999998</v>
      </c>
      <c r="T182" s="9">
        <v>104.27333</v>
      </c>
      <c r="U182" s="9">
        <v>242.95715000000001</v>
      </c>
    </row>
    <row r="183" spans="3:21" s="9" customFormat="1" ht="0.5" customHeight="1">
      <c r="C183" s="9" t="s">
        <v>20</v>
      </c>
      <c r="D183" s="9" t="str">
        <f t="shared" si="36"/>
        <v>Latin America and the Caribbean50.5</v>
      </c>
      <c r="E183" s="392">
        <v>50.5</v>
      </c>
      <c r="F183" s="9">
        <v>105.17726999999999</v>
      </c>
      <c r="G183" s="9">
        <v>68.869828999999996</v>
      </c>
      <c r="H183" s="9">
        <v>84.964889999999997</v>
      </c>
      <c r="I183" s="9">
        <v>188.49515</v>
      </c>
      <c r="J183" s="9">
        <v>231.51242999999999</v>
      </c>
      <c r="K183" s="9">
        <v>143.06461999999999</v>
      </c>
      <c r="L183" s="9">
        <v>165.90094999999999</v>
      </c>
      <c r="M183" s="9">
        <v>428.23617000000002</v>
      </c>
      <c r="N183" s="9">
        <v>78.304672999999994</v>
      </c>
      <c r="O183" s="9">
        <v>39.277267999999999</v>
      </c>
      <c r="P183" s="9">
        <v>47.777470999999998</v>
      </c>
      <c r="Q183" s="9">
        <v>110.71914</v>
      </c>
      <c r="R183" s="9">
        <v>170.53829999999999</v>
      </c>
      <c r="S183" s="9">
        <v>96.222234999999998</v>
      </c>
      <c r="T183" s="9">
        <v>104.10599000000001</v>
      </c>
      <c r="U183" s="9">
        <v>243.09353999999999</v>
      </c>
    </row>
    <row r="184" spans="3:21" s="9" customFormat="1" ht="0.5" customHeight="1">
      <c r="C184" s="9" t="s">
        <v>20</v>
      </c>
      <c r="D184" s="9" t="str">
        <f t="shared" si="36"/>
        <v>Latin America and the Caribbean51</v>
      </c>
      <c r="E184" s="392">
        <v>51</v>
      </c>
      <c r="F184" s="9">
        <v>105.09090999999999</v>
      </c>
      <c r="G184" s="9">
        <v>68.731144</v>
      </c>
      <c r="H184" s="9">
        <v>84.596670000000003</v>
      </c>
      <c r="I184" s="9">
        <v>188.93621999999999</v>
      </c>
      <c r="J184" s="9">
        <v>233.14515</v>
      </c>
      <c r="K184" s="9">
        <v>143.47757999999999</v>
      </c>
      <c r="L184" s="9">
        <v>166.00067000000001</v>
      </c>
      <c r="M184" s="9">
        <v>429.20249000000001</v>
      </c>
      <c r="N184" s="9">
        <v>78.423648</v>
      </c>
      <c r="O184" s="9">
        <v>39.148739999999997</v>
      </c>
      <c r="P184" s="9">
        <v>47.674923999999997</v>
      </c>
      <c r="Q184" s="9">
        <v>110.57682</v>
      </c>
      <c r="R184" s="9">
        <v>171.66211999999999</v>
      </c>
      <c r="S184" s="9">
        <v>97.130000999999993</v>
      </c>
      <c r="T184" s="9">
        <v>103.85155</v>
      </c>
      <c r="U184" s="9">
        <v>242.97239999999999</v>
      </c>
    </row>
    <row r="185" spans="3:21" s="9" customFormat="1" ht="0.5" customHeight="1">
      <c r="C185" s="9" t="s">
        <v>20</v>
      </c>
      <c r="D185" s="9" t="str">
        <f t="shared" si="36"/>
        <v>Latin America and the Caribbean51.5</v>
      </c>
      <c r="E185" s="392">
        <v>51.5</v>
      </c>
      <c r="F185" s="9">
        <v>104.98822</v>
      </c>
      <c r="G185" s="9">
        <v>68.649124</v>
      </c>
      <c r="H185" s="9">
        <v>84.190306000000007</v>
      </c>
      <c r="I185" s="9">
        <v>189.41318000000001</v>
      </c>
      <c r="J185" s="9">
        <v>234.74594999999999</v>
      </c>
      <c r="K185" s="9">
        <v>143.85995</v>
      </c>
      <c r="L185" s="9">
        <v>166.07902999999999</v>
      </c>
      <c r="M185" s="9">
        <v>429.96131000000003</v>
      </c>
      <c r="N185" s="9">
        <v>78.498631000000003</v>
      </c>
      <c r="O185" s="9">
        <v>39.015791</v>
      </c>
      <c r="P185" s="9">
        <v>47.566217999999999</v>
      </c>
      <c r="Q185" s="9">
        <v>110.26554</v>
      </c>
      <c r="R185" s="9">
        <v>172.66234</v>
      </c>
      <c r="S185" s="9">
        <v>98.073390000000003</v>
      </c>
      <c r="T185" s="9">
        <v>103.39398</v>
      </c>
      <c r="U185" s="9">
        <v>242.82662999999999</v>
      </c>
    </row>
    <row r="186" spans="3:21" s="9" customFormat="1" ht="0.5" customHeight="1">
      <c r="C186" s="9" t="s">
        <v>20</v>
      </c>
      <c r="D186" s="9" t="str">
        <f t="shared" si="36"/>
        <v>Latin America and the Caribbean52</v>
      </c>
      <c r="E186" s="392">
        <v>52</v>
      </c>
      <c r="F186" s="9">
        <v>104.87665</v>
      </c>
      <c r="G186" s="9">
        <v>68.568382</v>
      </c>
      <c r="H186" s="9">
        <v>83.778897999999998</v>
      </c>
      <c r="I186" s="9">
        <v>189.86189999999999</v>
      </c>
      <c r="J186" s="9">
        <v>236.40242000000001</v>
      </c>
      <c r="K186" s="9">
        <v>144.12372999999999</v>
      </c>
      <c r="L186" s="9">
        <v>165.99915999999999</v>
      </c>
      <c r="M186" s="9">
        <v>430.69443999999999</v>
      </c>
      <c r="N186" s="9">
        <v>78.598858000000007</v>
      </c>
      <c r="O186" s="9">
        <v>38.875911000000002</v>
      </c>
      <c r="P186" s="9">
        <v>47.443660999999999</v>
      </c>
      <c r="Q186" s="9">
        <v>109.8439</v>
      </c>
      <c r="R186" s="9">
        <v>173.66094000000001</v>
      </c>
      <c r="S186" s="9">
        <v>98.833141999999995</v>
      </c>
      <c r="T186" s="9">
        <v>102.8441</v>
      </c>
      <c r="U186" s="9">
        <v>242.48002</v>
      </c>
    </row>
    <row r="187" spans="3:21" s="9" customFormat="1" ht="0.5" customHeight="1">
      <c r="C187" s="9" t="s">
        <v>20</v>
      </c>
      <c r="D187" s="9" t="str">
        <f t="shared" ref="D187:D250" si="37">CONCATENATE(C187,E187)</f>
        <v>Latin America and the Caribbean52.5</v>
      </c>
      <c r="E187" s="392">
        <v>52.5</v>
      </c>
      <c r="F187" s="9">
        <v>104.75396000000001</v>
      </c>
      <c r="G187" s="9">
        <v>68.420675000000003</v>
      </c>
      <c r="H187" s="9">
        <v>83.352849000000006</v>
      </c>
      <c r="I187" s="9">
        <v>190.30432999999999</v>
      </c>
      <c r="J187" s="9">
        <v>238.07034999999999</v>
      </c>
      <c r="K187" s="9">
        <v>144.21235999999999</v>
      </c>
      <c r="L187" s="9">
        <v>165.82164</v>
      </c>
      <c r="M187" s="9">
        <v>431.35503999999997</v>
      </c>
      <c r="N187" s="9">
        <v>78.701375999999996</v>
      </c>
      <c r="O187" s="9">
        <v>38.740791000000002</v>
      </c>
      <c r="P187" s="9">
        <v>47.305168000000002</v>
      </c>
      <c r="Q187" s="9">
        <v>109.38523000000001</v>
      </c>
      <c r="R187" s="9">
        <v>174.61479</v>
      </c>
      <c r="S187" s="9">
        <v>99.294207</v>
      </c>
      <c r="T187" s="9">
        <v>102.25502</v>
      </c>
      <c r="U187" s="9">
        <v>242.24162999999999</v>
      </c>
    </row>
    <row r="188" spans="3:21" s="9" customFormat="1" ht="0.5" customHeight="1">
      <c r="C188" s="9" t="s">
        <v>20</v>
      </c>
      <c r="D188" s="9" t="str">
        <f t="shared" si="37"/>
        <v>Latin America and the Caribbean53</v>
      </c>
      <c r="E188" s="392">
        <v>53</v>
      </c>
      <c r="F188" s="9">
        <v>104.62036000000001</v>
      </c>
      <c r="G188" s="9">
        <v>68.268544000000006</v>
      </c>
      <c r="H188" s="9">
        <v>82.946774000000005</v>
      </c>
      <c r="I188" s="9">
        <v>190.70840999999999</v>
      </c>
      <c r="J188" s="9">
        <v>239.84625</v>
      </c>
      <c r="K188" s="9">
        <v>144.10763</v>
      </c>
      <c r="L188" s="9">
        <v>165.39704</v>
      </c>
      <c r="M188" s="9">
        <v>431.93594999999999</v>
      </c>
      <c r="N188" s="9">
        <v>78.825581</v>
      </c>
      <c r="O188" s="9">
        <v>38.603259999999999</v>
      </c>
      <c r="P188" s="9">
        <v>47.150444999999998</v>
      </c>
      <c r="Q188" s="9">
        <v>108.96674</v>
      </c>
      <c r="R188" s="9">
        <v>175.64463000000001</v>
      </c>
      <c r="S188" s="9">
        <v>99.304440999999997</v>
      </c>
      <c r="T188" s="9">
        <v>101.38207</v>
      </c>
      <c r="U188" s="9">
        <v>242.23518999999999</v>
      </c>
    </row>
    <row r="189" spans="3:21" s="9" customFormat="1" ht="0.5" customHeight="1">
      <c r="C189" s="9" t="s">
        <v>20</v>
      </c>
      <c r="D189" s="9" t="str">
        <f t="shared" si="37"/>
        <v>Latin America and the Caribbean53.5</v>
      </c>
      <c r="E189" s="392">
        <v>53.5</v>
      </c>
      <c r="F189" s="9">
        <v>104.47731</v>
      </c>
      <c r="G189" s="9">
        <v>68.103814999999997</v>
      </c>
      <c r="H189" s="9">
        <v>82.532324000000003</v>
      </c>
      <c r="I189" s="9">
        <v>191.02897999999999</v>
      </c>
      <c r="J189" s="9">
        <v>241.80987999999999</v>
      </c>
      <c r="K189" s="9">
        <v>143.93989999999999</v>
      </c>
      <c r="L189" s="9">
        <v>164.85109</v>
      </c>
      <c r="M189" s="9">
        <v>432.39879000000002</v>
      </c>
      <c r="N189" s="9">
        <v>78.947166999999993</v>
      </c>
      <c r="O189" s="9">
        <v>38.461824999999997</v>
      </c>
      <c r="P189" s="9">
        <v>46.998539000000001</v>
      </c>
      <c r="Q189" s="9">
        <v>108.72257999999999</v>
      </c>
      <c r="R189" s="9">
        <v>176.72286</v>
      </c>
      <c r="S189" s="9">
        <v>98.762924999999996</v>
      </c>
      <c r="T189" s="9">
        <v>100.59421</v>
      </c>
      <c r="U189" s="9">
        <v>242.54255000000001</v>
      </c>
    </row>
    <row r="190" spans="3:21" s="9" customFormat="1" ht="0.5" customHeight="1">
      <c r="C190" s="9" t="s">
        <v>20</v>
      </c>
      <c r="D190" s="9" t="str">
        <f t="shared" si="37"/>
        <v>Latin America and the Caribbean54</v>
      </c>
      <c r="E190" s="392">
        <v>54</v>
      </c>
      <c r="F190" s="9">
        <v>104.34947</v>
      </c>
      <c r="G190" s="9">
        <v>67.935124999999999</v>
      </c>
      <c r="H190" s="9">
        <v>82.091919000000004</v>
      </c>
      <c r="I190" s="9">
        <v>191.38338999999999</v>
      </c>
      <c r="J190" s="9">
        <v>243.87164999999999</v>
      </c>
      <c r="K190" s="9">
        <v>143.88307</v>
      </c>
      <c r="L190" s="9">
        <v>164.25406000000001</v>
      </c>
      <c r="M190" s="9">
        <v>432.66529000000003</v>
      </c>
      <c r="N190" s="9">
        <v>79.074181999999993</v>
      </c>
      <c r="O190" s="9">
        <v>38.321187000000002</v>
      </c>
      <c r="P190" s="9">
        <v>46.839584000000002</v>
      </c>
      <c r="Q190" s="9">
        <v>108.63316</v>
      </c>
      <c r="R190" s="9">
        <v>177.87035</v>
      </c>
      <c r="S190" s="9">
        <v>96.834282999999999</v>
      </c>
      <c r="T190" s="9">
        <v>100.38262</v>
      </c>
      <c r="U190" s="9">
        <v>243.74606</v>
      </c>
    </row>
    <row r="191" spans="3:21" s="9" customFormat="1" ht="0.5" customHeight="1">
      <c r="C191" s="9" t="s">
        <v>20</v>
      </c>
      <c r="D191" s="9" t="str">
        <f t="shared" si="37"/>
        <v>Latin America and the Caribbean54.5</v>
      </c>
      <c r="E191" s="392">
        <v>54.5</v>
      </c>
      <c r="F191" s="9">
        <v>104.25458999999999</v>
      </c>
      <c r="G191" s="9">
        <v>67.732391000000007</v>
      </c>
      <c r="H191" s="9">
        <v>81.639987000000005</v>
      </c>
      <c r="I191" s="9">
        <v>191.92898</v>
      </c>
      <c r="J191" s="9">
        <v>245.7028</v>
      </c>
      <c r="K191" s="9">
        <v>143.57400999999999</v>
      </c>
      <c r="L191" s="9">
        <v>163.47134</v>
      </c>
      <c r="M191" s="9">
        <v>432.87128999999999</v>
      </c>
      <c r="N191" s="9">
        <v>79.150525999999999</v>
      </c>
      <c r="O191" s="9">
        <v>38.162261999999998</v>
      </c>
      <c r="P191" s="9">
        <v>46.666429999999998</v>
      </c>
      <c r="Q191" s="9">
        <v>108.89446</v>
      </c>
      <c r="R191" s="9">
        <v>179.07552999999999</v>
      </c>
      <c r="S191" s="9">
        <v>94.925489999999996</v>
      </c>
      <c r="T191" s="9">
        <v>100.60903999999999</v>
      </c>
      <c r="U191" s="9">
        <v>244.05608000000001</v>
      </c>
    </row>
    <row r="192" spans="3:21" s="9" customFormat="1" ht="0.5" customHeight="1">
      <c r="C192" s="9" t="s">
        <v>20</v>
      </c>
      <c r="D192" s="9" t="str">
        <f t="shared" si="37"/>
        <v>Latin America and the Caribbean55</v>
      </c>
      <c r="E192" s="392">
        <v>55</v>
      </c>
      <c r="F192" s="9">
        <v>104.15912</v>
      </c>
      <c r="G192" s="9">
        <v>67.517263999999997</v>
      </c>
      <c r="H192" s="9">
        <v>81.206936999999996</v>
      </c>
      <c r="I192" s="9">
        <v>192.34133</v>
      </c>
      <c r="J192" s="9">
        <v>246.77984000000001</v>
      </c>
      <c r="K192" s="9">
        <v>143.11228</v>
      </c>
      <c r="L192" s="9">
        <v>162.56211999999999</v>
      </c>
      <c r="M192" s="9">
        <v>433.92637000000002</v>
      </c>
      <c r="N192" s="9">
        <v>79.101524999999995</v>
      </c>
      <c r="O192" s="9">
        <v>38.011347000000001</v>
      </c>
      <c r="P192" s="9">
        <v>46.429034000000001</v>
      </c>
      <c r="Q192" s="9">
        <v>109.25467</v>
      </c>
      <c r="R192" s="9">
        <v>180.5547</v>
      </c>
      <c r="S192" s="9">
        <v>91.515283999999994</v>
      </c>
      <c r="T192" s="9">
        <v>101.17071</v>
      </c>
      <c r="U192" s="9">
        <v>244.39309</v>
      </c>
    </row>
    <row r="193" spans="3:21" s="9" customFormat="1" ht="0.5" customHeight="1">
      <c r="C193" s="9" t="s">
        <v>36</v>
      </c>
      <c r="D193" s="9" t="str">
        <f t="shared" si="37"/>
        <v>Argentina20</v>
      </c>
      <c r="E193" s="398">
        <v>20</v>
      </c>
      <c r="F193" s="399">
        <v>75.444518000000002</v>
      </c>
      <c r="G193" s="36">
        <v>42.354644</v>
      </c>
      <c r="H193" s="36">
        <v>37.190668000000002</v>
      </c>
      <c r="I193" s="393">
        <v>77.790321000000006</v>
      </c>
      <c r="J193" s="399">
        <v>85.160176000000007</v>
      </c>
      <c r="K193" s="36">
        <v>45.325586999999999</v>
      </c>
      <c r="L193" s="36">
        <v>45.638558000000003</v>
      </c>
      <c r="M193" s="393">
        <v>101.89351000000001</v>
      </c>
      <c r="N193" s="399">
        <v>63.932405000000003</v>
      </c>
      <c r="O193" s="36">
        <v>27.845801000000002</v>
      </c>
      <c r="P193" s="36">
        <v>30.711884999999999</v>
      </c>
      <c r="Q193" s="393">
        <v>57.189635000000003</v>
      </c>
      <c r="R193" s="399">
        <v>71.811536000000004</v>
      </c>
      <c r="S193" s="36">
        <v>34.343631000000002</v>
      </c>
      <c r="T193" s="36">
        <v>33.338025000000002</v>
      </c>
      <c r="U193" s="393">
        <v>97.343383000000003</v>
      </c>
    </row>
    <row r="194" spans="3:21" s="9" customFormat="1" ht="0.5" customHeight="1">
      <c r="C194" s="9" t="s">
        <v>36</v>
      </c>
      <c r="D194" s="9" t="str">
        <f t="shared" si="37"/>
        <v>Argentina20.5</v>
      </c>
      <c r="E194" s="398">
        <v>20.5</v>
      </c>
      <c r="F194" s="399">
        <v>77.622793000000001</v>
      </c>
      <c r="G194" s="36">
        <v>43.197003000000002</v>
      </c>
      <c r="H194" s="36">
        <v>38.487279000000001</v>
      </c>
      <c r="I194" s="393">
        <v>79.369879999999995</v>
      </c>
      <c r="J194" s="399">
        <v>87.087371000000005</v>
      </c>
      <c r="K194" s="36">
        <v>46.286262000000001</v>
      </c>
      <c r="L194" s="36">
        <v>47.545344</v>
      </c>
      <c r="M194" s="393">
        <v>103.35774000000001</v>
      </c>
      <c r="N194" s="399">
        <v>65.477204</v>
      </c>
      <c r="O194" s="36">
        <v>28.199743000000002</v>
      </c>
      <c r="P194" s="36">
        <v>31.339653999999999</v>
      </c>
      <c r="Q194" s="393">
        <v>58.058743999999997</v>
      </c>
      <c r="R194" s="399">
        <v>73.468417000000002</v>
      </c>
      <c r="S194" s="36">
        <v>34.975977</v>
      </c>
      <c r="T194" s="36">
        <v>34.908783999999997</v>
      </c>
      <c r="U194" s="393">
        <v>96.392920000000004</v>
      </c>
    </row>
    <row r="195" spans="3:21" s="9" customFormat="1" ht="0.5" customHeight="1">
      <c r="C195" s="9" t="s">
        <v>36</v>
      </c>
      <c r="D195" s="9" t="str">
        <f t="shared" si="37"/>
        <v>Argentina21</v>
      </c>
      <c r="E195" s="398">
        <v>21</v>
      </c>
      <c r="F195" s="399">
        <v>79.461775000000003</v>
      </c>
      <c r="G195" s="36">
        <v>43.927981000000003</v>
      </c>
      <c r="H195" s="36">
        <v>39.876365</v>
      </c>
      <c r="I195" s="393">
        <v>82.251203000000004</v>
      </c>
      <c r="J195" s="399">
        <v>89.049152000000007</v>
      </c>
      <c r="K195" s="36">
        <v>47.330703999999997</v>
      </c>
      <c r="L195" s="36">
        <v>49.888314999999999</v>
      </c>
      <c r="M195" s="393">
        <v>103.80237</v>
      </c>
      <c r="N195" s="399">
        <v>66.803156000000001</v>
      </c>
      <c r="O195" s="36">
        <v>28.471326000000001</v>
      </c>
      <c r="P195" s="36">
        <v>31.982534000000001</v>
      </c>
      <c r="Q195" s="393">
        <v>59.080151000000001</v>
      </c>
      <c r="R195" s="399">
        <v>74.998425999999995</v>
      </c>
      <c r="S195" s="36">
        <v>35.604979999999998</v>
      </c>
      <c r="T195" s="36">
        <v>36.129857999999999</v>
      </c>
      <c r="U195" s="393">
        <v>96.185734999999994</v>
      </c>
    </row>
    <row r="196" spans="3:21" s="9" customFormat="1" ht="0.5" customHeight="1">
      <c r="C196" s="9" t="s">
        <v>36</v>
      </c>
      <c r="D196" s="9" t="str">
        <f t="shared" si="37"/>
        <v>Argentina21.5</v>
      </c>
      <c r="E196" s="398">
        <v>21.5</v>
      </c>
      <c r="F196" s="399">
        <v>81.181692999999996</v>
      </c>
      <c r="G196" s="36">
        <v>44.615616000000003</v>
      </c>
      <c r="H196" s="36">
        <v>41.291471000000001</v>
      </c>
      <c r="I196" s="393">
        <v>85.848605000000006</v>
      </c>
      <c r="J196" s="399">
        <v>91.020537000000004</v>
      </c>
      <c r="K196" s="36">
        <v>48.447844000000003</v>
      </c>
      <c r="L196" s="36">
        <v>51.900865000000003</v>
      </c>
      <c r="M196" s="393">
        <v>104.96174000000001</v>
      </c>
      <c r="N196" s="399">
        <v>67.838617999999997</v>
      </c>
      <c r="O196" s="36">
        <v>28.707543000000001</v>
      </c>
      <c r="P196" s="36">
        <v>32.468713000000001</v>
      </c>
      <c r="Q196" s="393">
        <v>60.476388999999998</v>
      </c>
      <c r="R196" s="399">
        <v>76.510498999999996</v>
      </c>
      <c r="S196" s="36">
        <v>36.261972999999998</v>
      </c>
      <c r="T196" s="36">
        <v>37.593228000000003</v>
      </c>
      <c r="U196" s="393">
        <v>95.579757000000001</v>
      </c>
    </row>
    <row r="197" spans="3:21" s="9" customFormat="1" ht="0.5" customHeight="1">
      <c r="C197" s="9" t="s">
        <v>36</v>
      </c>
      <c r="D197" s="9" t="str">
        <f t="shared" si="37"/>
        <v>Argentina22</v>
      </c>
      <c r="E197" s="398">
        <v>22</v>
      </c>
      <c r="F197" s="399">
        <v>82.730783000000002</v>
      </c>
      <c r="G197" s="36">
        <v>45.283490999999998</v>
      </c>
      <c r="H197" s="36">
        <v>42.714249000000002</v>
      </c>
      <c r="I197" s="393">
        <v>88.599489000000005</v>
      </c>
      <c r="J197" s="399">
        <v>93.016883000000007</v>
      </c>
      <c r="K197" s="36">
        <v>49.650885000000002</v>
      </c>
      <c r="L197" s="36">
        <v>53.793069000000003</v>
      </c>
      <c r="M197" s="393">
        <v>106.19598999999999</v>
      </c>
      <c r="N197" s="399">
        <v>68.719205000000002</v>
      </c>
      <c r="O197" s="36">
        <v>28.890851000000001</v>
      </c>
      <c r="P197" s="36">
        <v>32.881588999999998</v>
      </c>
      <c r="Q197" s="393">
        <v>62.296852999999999</v>
      </c>
      <c r="R197" s="399">
        <v>77.924820999999994</v>
      </c>
      <c r="S197" s="36">
        <v>36.989286999999997</v>
      </c>
      <c r="T197" s="36">
        <v>39.24447</v>
      </c>
      <c r="U197" s="393">
        <v>96.024045999999998</v>
      </c>
    </row>
    <row r="198" spans="3:21" s="9" customFormat="1" ht="0.5" customHeight="1">
      <c r="C198" s="9" t="s">
        <v>36</v>
      </c>
      <c r="D198" s="9" t="str">
        <f t="shared" si="37"/>
        <v>Argentina22.5</v>
      </c>
      <c r="E198" s="398">
        <v>22.5</v>
      </c>
      <c r="F198" s="399">
        <v>84.134629000000004</v>
      </c>
      <c r="G198" s="36">
        <v>45.949311999999999</v>
      </c>
      <c r="H198" s="36">
        <v>43.978534000000003</v>
      </c>
      <c r="I198" s="393">
        <v>90.946051999999995</v>
      </c>
      <c r="J198" s="399">
        <v>95.001969000000003</v>
      </c>
      <c r="K198" s="36">
        <v>50.894517999999998</v>
      </c>
      <c r="L198" s="36">
        <v>55.809812000000001</v>
      </c>
      <c r="M198" s="393">
        <v>108.32697</v>
      </c>
      <c r="N198" s="399">
        <v>69.427250999999998</v>
      </c>
      <c r="O198" s="36">
        <v>29.037789</v>
      </c>
      <c r="P198" s="36">
        <v>33.238846000000002</v>
      </c>
      <c r="Q198" s="393">
        <v>64.665746999999996</v>
      </c>
      <c r="R198" s="399">
        <v>79.289923999999999</v>
      </c>
      <c r="S198" s="36">
        <v>37.763491999999999</v>
      </c>
      <c r="T198" s="36">
        <v>40.855601</v>
      </c>
      <c r="U198" s="393">
        <v>96.844741999999997</v>
      </c>
    </row>
    <row r="199" spans="3:21" s="9" customFormat="1" ht="0.5" customHeight="1">
      <c r="C199" s="9" t="s">
        <v>36</v>
      </c>
      <c r="D199" s="9" t="str">
        <f t="shared" si="37"/>
        <v>Argentina23</v>
      </c>
      <c r="E199" s="398">
        <v>23</v>
      </c>
      <c r="F199" s="399">
        <v>85.456334999999996</v>
      </c>
      <c r="G199" s="36">
        <v>46.613917999999998</v>
      </c>
      <c r="H199" s="36">
        <v>45.197299000000001</v>
      </c>
      <c r="I199" s="393">
        <v>92.958274000000003</v>
      </c>
      <c r="J199" s="399">
        <v>96.961945</v>
      </c>
      <c r="K199" s="36">
        <v>52.153283999999999</v>
      </c>
      <c r="L199" s="36">
        <v>57.852438999999997</v>
      </c>
      <c r="M199" s="393">
        <v>111.30228</v>
      </c>
      <c r="N199" s="399">
        <v>69.980806000000001</v>
      </c>
      <c r="O199" s="36">
        <v>29.162783000000001</v>
      </c>
      <c r="P199" s="36">
        <v>33.567284000000001</v>
      </c>
      <c r="Q199" s="393">
        <v>67.465389000000002</v>
      </c>
      <c r="R199" s="399">
        <v>80.620400000000004</v>
      </c>
      <c r="S199" s="36">
        <v>38.630181</v>
      </c>
      <c r="T199" s="36">
        <v>42.464821999999998</v>
      </c>
      <c r="U199" s="393">
        <v>98.391017000000005</v>
      </c>
    </row>
    <row r="200" spans="3:21" s="9" customFormat="1" ht="0.5" customHeight="1">
      <c r="C200" s="9" t="s">
        <v>36</v>
      </c>
      <c r="D200" s="9" t="str">
        <f t="shared" si="37"/>
        <v>Argentina23.5</v>
      </c>
      <c r="E200" s="398">
        <v>23.5</v>
      </c>
      <c r="F200" s="399">
        <v>86.739243000000002</v>
      </c>
      <c r="G200" s="36">
        <v>47.242420000000003</v>
      </c>
      <c r="H200" s="36">
        <v>46.239097000000001</v>
      </c>
      <c r="I200" s="393">
        <v>95.068348999999998</v>
      </c>
      <c r="J200" s="399">
        <v>98.926472000000004</v>
      </c>
      <c r="K200" s="36">
        <v>53.410704000000003</v>
      </c>
      <c r="L200" s="36">
        <v>59.893788999999998</v>
      </c>
      <c r="M200" s="393">
        <v>114.60494</v>
      </c>
      <c r="N200" s="399">
        <v>70.436051000000006</v>
      </c>
      <c r="O200" s="36">
        <v>29.250885</v>
      </c>
      <c r="P200" s="36">
        <v>33.875515</v>
      </c>
      <c r="Q200" s="393">
        <v>70.370818</v>
      </c>
      <c r="R200" s="399">
        <v>81.946651000000003</v>
      </c>
      <c r="S200" s="36">
        <v>39.508651</v>
      </c>
      <c r="T200" s="36">
        <v>44.135336000000002</v>
      </c>
      <c r="U200" s="393">
        <v>100.31614</v>
      </c>
    </row>
    <row r="201" spans="3:21" s="9" customFormat="1" ht="0.5" customHeight="1">
      <c r="C201" s="9" t="s">
        <v>36</v>
      </c>
      <c r="D201" s="9" t="str">
        <f t="shared" si="37"/>
        <v>Argentina24</v>
      </c>
      <c r="E201" s="398">
        <v>24</v>
      </c>
      <c r="F201" s="399">
        <v>88.003021000000004</v>
      </c>
      <c r="G201" s="36">
        <v>47.862121999999999</v>
      </c>
      <c r="H201" s="36">
        <v>47.303443000000001</v>
      </c>
      <c r="I201" s="393">
        <v>97.309963999999994</v>
      </c>
      <c r="J201" s="399">
        <v>100.8892</v>
      </c>
      <c r="K201" s="36">
        <v>54.666950999999997</v>
      </c>
      <c r="L201" s="36">
        <v>62.018278000000002</v>
      </c>
      <c r="M201" s="393">
        <v>118.02988000000001</v>
      </c>
      <c r="N201" s="399">
        <v>70.871082000000001</v>
      </c>
      <c r="O201" s="36">
        <v>29.324413</v>
      </c>
      <c r="P201" s="36">
        <v>34.176578999999997</v>
      </c>
      <c r="Q201" s="393">
        <v>72.901780000000002</v>
      </c>
      <c r="R201" s="399">
        <v>83.258303999999995</v>
      </c>
      <c r="S201" s="36">
        <v>40.448875999999998</v>
      </c>
      <c r="T201" s="36">
        <v>45.855457000000001</v>
      </c>
      <c r="U201" s="393">
        <v>102.47435</v>
      </c>
    </row>
    <row r="202" spans="3:21" s="9" customFormat="1" ht="0.5" customHeight="1">
      <c r="C202" s="9" t="s">
        <v>36</v>
      </c>
      <c r="D202" s="9" t="str">
        <f t="shared" si="37"/>
        <v>Argentina24.5</v>
      </c>
      <c r="E202" s="398">
        <v>24.5</v>
      </c>
      <c r="F202" s="399">
        <v>89.152285000000006</v>
      </c>
      <c r="G202" s="36">
        <v>48.425707000000003</v>
      </c>
      <c r="H202" s="36">
        <v>48.122335999999997</v>
      </c>
      <c r="I202" s="393">
        <v>99.349818999999997</v>
      </c>
      <c r="J202" s="399">
        <v>102.81855</v>
      </c>
      <c r="K202" s="36">
        <v>55.930836999999997</v>
      </c>
      <c r="L202" s="36">
        <v>64.158522000000005</v>
      </c>
      <c r="M202" s="393">
        <v>121.48693</v>
      </c>
      <c r="N202" s="399">
        <v>71.266468000000003</v>
      </c>
      <c r="O202" s="36">
        <v>29.378064999999999</v>
      </c>
      <c r="P202" s="36">
        <v>34.478489000000003</v>
      </c>
      <c r="Q202" s="393">
        <v>75.378804000000002</v>
      </c>
      <c r="R202" s="399">
        <v>84.523376999999996</v>
      </c>
      <c r="S202" s="36">
        <v>41.391942</v>
      </c>
      <c r="T202" s="36">
        <v>47.634535999999997</v>
      </c>
      <c r="U202" s="393">
        <v>104.7328</v>
      </c>
    </row>
    <row r="203" spans="3:21" s="9" customFormat="1" ht="0.5" customHeight="1">
      <c r="C203" s="9" t="s">
        <v>36</v>
      </c>
      <c r="D203" s="9" t="str">
        <f t="shared" si="37"/>
        <v>Argentina25</v>
      </c>
      <c r="E203" s="398">
        <v>25</v>
      </c>
      <c r="F203" s="399">
        <v>90.293383000000006</v>
      </c>
      <c r="G203" s="36">
        <v>48.984838000000003</v>
      </c>
      <c r="H203" s="36">
        <v>48.979869999999998</v>
      </c>
      <c r="I203" s="393">
        <v>101.32611</v>
      </c>
      <c r="J203" s="399">
        <v>104.73974</v>
      </c>
      <c r="K203" s="36">
        <v>57.191693999999998</v>
      </c>
      <c r="L203" s="36">
        <v>66.380656000000002</v>
      </c>
      <c r="M203" s="393">
        <v>124.94632</v>
      </c>
      <c r="N203" s="399">
        <v>71.579693000000006</v>
      </c>
      <c r="O203" s="36">
        <v>29.423539999999999</v>
      </c>
      <c r="P203" s="36">
        <v>34.784801999999999</v>
      </c>
      <c r="Q203" s="393">
        <v>78.104524999999995</v>
      </c>
      <c r="R203" s="399">
        <v>85.788545999999997</v>
      </c>
      <c r="S203" s="36">
        <v>42.411431999999998</v>
      </c>
      <c r="T203" s="36">
        <v>49.455573000000001</v>
      </c>
      <c r="U203" s="393">
        <v>107.0874</v>
      </c>
    </row>
    <row r="204" spans="3:21" s="9" customFormat="1" ht="0.5" customHeight="1">
      <c r="C204" s="9" t="s">
        <v>36</v>
      </c>
      <c r="D204" s="9" t="str">
        <f t="shared" si="37"/>
        <v>Argentina25.5</v>
      </c>
      <c r="E204" s="398">
        <v>25.5</v>
      </c>
      <c r="F204" s="399">
        <v>91.255893</v>
      </c>
      <c r="G204" s="36">
        <v>49.532882999999998</v>
      </c>
      <c r="H204" s="36">
        <v>49.676532999999999</v>
      </c>
      <c r="I204" s="393">
        <v>103.07325</v>
      </c>
      <c r="J204" s="399">
        <v>106.56432</v>
      </c>
      <c r="K204" s="36">
        <v>58.451546999999998</v>
      </c>
      <c r="L204" s="36">
        <v>68.608031999999994</v>
      </c>
      <c r="M204" s="393">
        <v>128.44878</v>
      </c>
      <c r="N204" s="399">
        <v>71.859981000000005</v>
      </c>
      <c r="O204" s="36">
        <v>29.437533999999999</v>
      </c>
      <c r="P204" s="36">
        <v>35.093874</v>
      </c>
      <c r="Q204" s="393">
        <v>80.598275000000001</v>
      </c>
      <c r="R204" s="399">
        <v>87.067352</v>
      </c>
      <c r="S204" s="36">
        <v>43.434623999999999</v>
      </c>
      <c r="T204" s="36">
        <v>51.280439999999999</v>
      </c>
      <c r="U204" s="393">
        <v>109.49227</v>
      </c>
    </row>
    <row r="205" spans="3:21" s="9" customFormat="1" ht="0.5" customHeight="1">
      <c r="C205" s="9" t="s">
        <v>36</v>
      </c>
      <c r="D205" s="9" t="str">
        <f t="shared" si="37"/>
        <v>Argentina26</v>
      </c>
      <c r="E205" s="398">
        <v>26</v>
      </c>
      <c r="F205" s="399">
        <v>92.202344999999994</v>
      </c>
      <c r="G205" s="36">
        <v>50.085873999999997</v>
      </c>
      <c r="H205" s="36">
        <v>50.380659999999999</v>
      </c>
      <c r="I205" s="393">
        <v>104.75171</v>
      </c>
      <c r="J205" s="399">
        <v>108.39191</v>
      </c>
      <c r="K205" s="36">
        <v>59.733756</v>
      </c>
      <c r="L205" s="36">
        <v>70.961117000000002</v>
      </c>
      <c r="M205" s="393">
        <v>131.97008</v>
      </c>
      <c r="N205" s="399">
        <v>72.111827000000005</v>
      </c>
      <c r="O205" s="36">
        <v>29.447806</v>
      </c>
      <c r="P205" s="36">
        <v>35.409377999999997</v>
      </c>
      <c r="Q205" s="393">
        <v>82.089014000000006</v>
      </c>
      <c r="R205" s="399">
        <v>88.355091999999999</v>
      </c>
      <c r="S205" s="36">
        <v>44.408661000000002</v>
      </c>
      <c r="T205" s="36">
        <v>53.147595000000003</v>
      </c>
      <c r="U205" s="393">
        <v>111.7762</v>
      </c>
    </row>
    <row r="206" spans="3:21" s="9" customFormat="1" ht="0.5" customHeight="1">
      <c r="C206" s="9" t="s">
        <v>36</v>
      </c>
      <c r="D206" s="9" t="str">
        <f t="shared" si="37"/>
        <v>Argentina26.5</v>
      </c>
      <c r="E206" s="398">
        <v>26.5</v>
      </c>
      <c r="F206" s="399">
        <v>93.146846999999994</v>
      </c>
      <c r="G206" s="36">
        <v>50.632344000000003</v>
      </c>
      <c r="H206" s="36">
        <v>51.113847999999997</v>
      </c>
      <c r="I206" s="393">
        <v>105.90449</v>
      </c>
      <c r="J206" s="399">
        <v>110.3689</v>
      </c>
      <c r="K206" s="36">
        <v>61.078387999999997</v>
      </c>
      <c r="L206" s="36">
        <v>73.319616999999994</v>
      </c>
      <c r="M206" s="393">
        <v>135.47900000000001</v>
      </c>
      <c r="N206" s="399">
        <v>72.397925999999998</v>
      </c>
      <c r="O206" s="36">
        <v>29.452285</v>
      </c>
      <c r="P206" s="36">
        <v>35.724729000000004</v>
      </c>
      <c r="Q206" s="393">
        <v>83.737575000000007</v>
      </c>
      <c r="R206" s="399">
        <v>89.737313</v>
      </c>
      <c r="S206" s="36">
        <v>45.379854000000002</v>
      </c>
      <c r="T206" s="36">
        <v>55.043253999999997</v>
      </c>
      <c r="U206" s="393">
        <v>114.01383</v>
      </c>
    </row>
    <row r="207" spans="3:21" s="9" customFormat="1" ht="0.5" customHeight="1">
      <c r="C207" s="9" t="s">
        <v>36</v>
      </c>
      <c r="D207" s="9" t="str">
        <f t="shared" si="37"/>
        <v>Argentina27</v>
      </c>
      <c r="E207" s="398">
        <v>27</v>
      </c>
      <c r="F207" s="399">
        <v>94.099057999999999</v>
      </c>
      <c r="G207" s="36">
        <v>51.175860999999998</v>
      </c>
      <c r="H207" s="36">
        <v>51.844039000000002</v>
      </c>
      <c r="I207" s="393">
        <v>106.99525</v>
      </c>
      <c r="J207" s="399">
        <v>112.35554999999999</v>
      </c>
      <c r="K207" s="36">
        <v>62.433185000000002</v>
      </c>
      <c r="L207" s="36">
        <v>75.668181000000004</v>
      </c>
      <c r="M207" s="393">
        <v>139.01347999999999</v>
      </c>
      <c r="N207" s="399">
        <v>72.744850999999997</v>
      </c>
      <c r="O207" s="36">
        <v>29.460567000000001</v>
      </c>
      <c r="P207" s="36">
        <v>36.029319999999998</v>
      </c>
      <c r="Q207" s="393">
        <v>85.345408000000006</v>
      </c>
      <c r="R207" s="399">
        <v>91.153761000000003</v>
      </c>
      <c r="S207" s="36">
        <v>46.297632</v>
      </c>
      <c r="T207" s="36">
        <v>56.978828999999998</v>
      </c>
      <c r="U207" s="393">
        <v>116.13318</v>
      </c>
    </row>
    <row r="208" spans="3:21" s="9" customFormat="1" ht="0.5" customHeight="1">
      <c r="C208" s="9" t="s">
        <v>36</v>
      </c>
      <c r="D208" s="9" t="str">
        <f t="shared" si="37"/>
        <v>Argentina27.5</v>
      </c>
      <c r="E208" s="398">
        <v>27.5</v>
      </c>
      <c r="F208" s="399">
        <v>95.016396999999998</v>
      </c>
      <c r="G208" s="36">
        <v>51.713889000000002</v>
      </c>
      <c r="H208" s="36">
        <v>52.56203</v>
      </c>
      <c r="I208" s="393">
        <v>108.35563</v>
      </c>
      <c r="J208" s="399">
        <v>114.45287999999999</v>
      </c>
      <c r="K208" s="36">
        <v>63.836297000000002</v>
      </c>
      <c r="L208" s="36">
        <v>78.014201999999997</v>
      </c>
      <c r="M208" s="393">
        <v>142.58206999999999</v>
      </c>
      <c r="N208" s="399">
        <v>73.122427999999999</v>
      </c>
      <c r="O208" s="36">
        <v>29.487110000000001</v>
      </c>
      <c r="P208" s="36">
        <v>36.332365000000003</v>
      </c>
      <c r="Q208" s="393">
        <v>87.294644000000005</v>
      </c>
      <c r="R208" s="399">
        <v>92.565691999999999</v>
      </c>
      <c r="S208" s="36">
        <v>47.214623000000003</v>
      </c>
      <c r="T208" s="36">
        <v>58.955413999999998</v>
      </c>
      <c r="U208" s="393">
        <v>118.27558999999999</v>
      </c>
    </row>
    <row r="209" spans="3:21" s="9" customFormat="1" ht="0.5" customHeight="1">
      <c r="C209" s="9" t="s">
        <v>36</v>
      </c>
      <c r="D209" s="9" t="str">
        <f t="shared" si="37"/>
        <v>Argentina28</v>
      </c>
      <c r="E209" s="398">
        <v>28</v>
      </c>
      <c r="F209" s="399">
        <v>95.930312000000001</v>
      </c>
      <c r="G209" s="36">
        <v>52.251209000000003</v>
      </c>
      <c r="H209" s="36">
        <v>53.259884999999997</v>
      </c>
      <c r="I209" s="393">
        <v>109.76251999999999</v>
      </c>
      <c r="J209" s="399">
        <v>116.55047999999999</v>
      </c>
      <c r="K209" s="36">
        <v>65.242851999999999</v>
      </c>
      <c r="L209" s="36">
        <v>80.320083999999994</v>
      </c>
      <c r="M209" s="393">
        <v>146.16873000000001</v>
      </c>
      <c r="N209" s="399">
        <v>73.484285</v>
      </c>
      <c r="O209" s="36">
        <v>29.515754999999999</v>
      </c>
      <c r="P209" s="36">
        <v>36.597929000000001</v>
      </c>
      <c r="Q209" s="393">
        <v>88.565393</v>
      </c>
      <c r="R209" s="399">
        <v>93.978917999999993</v>
      </c>
      <c r="S209" s="36">
        <v>47.963787000000004</v>
      </c>
      <c r="T209" s="36">
        <v>60.824738000000004</v>
      </c>
      <c r="U209" s="393">
        <v>120.42184</v>
      </c>
    </row>
    <row r="210" spans="3:21" s="9" customFormat="1" ht="0.5" customHeight="1">
      <c r="C210" s="9" t="s">
        <v>36</v>
      </c>
      <c r="D210" s="9" t="str">
        <f t="shared" si="37"/>
        <v>Argentina28.5</v>
      </c>
      <c r="E210" s="398">
        <v>28.5</v>
      </c>
      <c r="F210" s="399">
        <v>96.797903000000005</v>
      </c>
      <c r="G210" s="36">
        <v>52.709394000000003</v>
      </c>
      <c r="H210" s="36">
        <v>53.935144000000001</v>
      </c>
      <c r="I210" s="393">
        <v>111.01595</v>
      </c>
      <c r="J210" s="399">
        <v>118.67268</v>
      </c>
      <c r="K210" s="36">
        <v>66.711200000000005</v>
      </c>
      <c r="L210" s="36">
        <v>82.624010999999996</v>
      </c>
      <c r="M210" s="393">
        <v>149.79839999999999</v>
      </c>
      <c r="N210" s="399">
        <v>73.818084999999996</v>
      </c>
      <c r="O210" s="36">
        <v>29.586202</v>
      </c>
      <c r="P210" s="36">
        <v>36.861426000000002</v>
      </c>
      <c r="Q210" s="393">
        <v>89.584981999999997</v>
      </c>
      <c r="R210" s="399">
        <v>95.294121000000004</v>
      </c>
      <c r="S210" s="36">
        <v>48.712117999999997</v>
      </c>
      <c r="T210" s="36">
        <v>62.560217999999999</v>
      </c>
      <c r="U210" s="393">
        <v>122.48011</v>
      </c>
    </row>
    <row r="211" spans="3:21" s="9" customFormat="1" ht="0.5" customHeight="1">
      <c r="C211" s="9" t="s">
        <v>36</v>
      </c>
      <c r="D211" s="9" t="str">
        <f t="shared" si="37"/>
        <v>Argentina29</v>
      </c>
      <c r="E211" s="398">
        <v>29</v>
      </c>
      <c r="F211" s="399">
        <v>97.665492999999998</v>
      </c>
      <c r="G211" s="36">
        <v>53.159979999999997</v>
      </c>
      <c r="H211" s="36">
        <v>54.605682000000002</v>
      </c>
      <c r="I211" s="393">
        <v>112.2839</v>
      </c>
      <c r="J211" s="399">
        <v>120.79673</v>
      </c>
      <c r="K211" s="36">
        <v>68.174695</v>
      </c>
      <c r="L211" s="36">
        <v>84.929963000000001</v>
      </c>
      <c r="M211" s="393">
        <v>153.36924999999999</v>
      </c>
      <c r="N211" s="399">
        <v>74.118576000000004</v>
      </c>
      <c r="O211" s="36">
        <v>29.661311999999999</v>
      </c>
      <c r="P211" s="36">
        <v>37.122805999999997</v>
      </c>
      <c r="Q211" s="393">
        <v>89.237087000000002</v>
      </c>
      <c r="R211" s="399">
        <v>96.566393000000005</v>
      </c>
      <c r="S211" s="36">
        <v>49.391863999999998</v>
      </c>
      <c r="T211" s="36">
        <v>64.158629000000005</v>
      </c>
      <c r="U211" s="393">
        <v>124.50015999999999</v>
      </c>
    </row>
    <row r="212" spans="3:21" s="9" customFormat="1" ht="0.5" customHeight="1">
      <c r="C212" s="9" t="s">
        <v>36</v>
      </c>
      <c r="D212" s="9" t="str">
        <f t="shared" si="37"/>
        <v>Argentina29.5</v>
      </c>
      <c r="E212" s="398">
        <v>29.5</v>
      </c>
      <c r="F212" s="399">
        <v>98.482392000000004</v>
      </c>
      <c r="G212" s="36">
        <v>53.528889999999997</v>
      </c>
      <c r="H212" s="36">
        <v>55.391570999999999</v>
      </c>
      <c r="I212" s="393">
        <v>113.72327</v>
      </c>
      <c r="J212" s="399">
        <v>123.00023</v>
      </c>
      <c r="K212" s="36">
        <v>69.664638999999994</v>
      </c>
      <c r="L212" s="36">
        <v>87.230557000000005</v>
      </c>
      <c r="M212" s="393">
        <v>156.81630000000001</v>
      </c>
      <c r="N212" s="399">
        <v>74.421344000000005</v>
      </c>
      <c r="O212" s="36">
        <v>29.717925000000001</v>
      </c>
      <c r="P212" s="36">
        <v>37.380419000000003</v>
      </c>
      <c r="Q212" s="393">
        <v>88.495609999999999</v>
      </c>
      <c r="R212" s="399">
        <v>97.763941000000003</v>
      </c>
      <c r="S212" s="36">
        <v>50.074277000000002</v>
      </c>
      <c r="T212" s="36">
        <v>65.747479999999996</v>
      </c>
      <c r="U212" s="393">
        <v>126.27027</v>
      </c>
    </row>
    <row r="213" spans="3:21" s="9" customFormat="1" ht="0.5" customHeight="1">
      <c r="C213" s="9" t="s">
        <v>36</v>
      </c>
      <c r="D213" s="9" t="str">
        <f t="shared" si="37"/>
        <v>Argentina30</v>
      </c>
      <c r="E213" s="398">
        <v>30</v>
      </c>
      <c r="F213" s="399">
        <v>99.292771000000002</v>
      </c>
      <c r="G213" s="36">
        <v>53.893723000000001</v>
      </c>
      <c r="H213" s="36">
        <v>56.185085999999998</v>
      </c>
      <c r="I213" s="393">
        <v>115.14484</v>
      </c>
      <c r="J213" s="399">
        <v>125.20035</v>
      </c>
      <c r="K213" s="36">
        <v>71.176129000000003</v>
      </c>
      <c r="L213" s="36">
        <v>89.213856000000007</v>
      </c>
      <c r="M213" s="393">
        <v>160.21217999999999</v>
      </c>
      <c r="N213" s="399">
        <v>74.745131000000001</v>
      </c>
      <c r="O213" s="36">
        <v>29.770423000000001</v>
      </c>
      <c r="P213" s="36">
        <v>37.653734</v>
      </c>
      <c r="Q213" s="393">
        <v>87.607427999999999</v>
      </c>
      <c r="R213" s="399">
        <v>98.943174999999997</v>
      </c>
      <c r="S213" s="36">
        <v>50.742238999999998</v>
      </c>
      <c r="T213" s="36">
        <v>67.157450999999995</v>
      </c>
      <c r="U213" s="393">
        <v>127.89781000000001</v>
      </c>
    </row>
    <row r="214" spans="3:21" s="9" customFormat="1" ht="0.5" customHeight="1">
      <c r="C214" s="9" t="s">
        <v>36</v>
      </c>
      <c r="D214" s="9" t="str">
        <f t="shared" si="37"/>
        <v>Argentina30.5</v>
      </c>
      <c r="E214" s="398">
        <v>30.5</v>
      </c>
      <c r="F214" s="399">
        <v>100.02861</v>
      </c>
      <c r="G214" s="36">
        <v>54.257004000000002</v>
      </c>
      <c r="H214" s="36">
        <v>56.956978999999997</v>
      </c>
      <c r="I214" s="393">
        <v>116.58598000000001</v>
      </c>
      <c r="J214" s="399">
        <v>127.32738000000001</v>
      </c>
      <c r="K214" s="36">
        <v>72.747646000000003</v>
      </c>
      <c r="L214" s="36">
        <v>91.200794000000002</v>
      </c>
      <c r="M214" s="393">
        <v>163.53245000000001</v>
      </c>
      <c r="N214" s="399">
        <v>75.068190999999999</v>
      </c>
      <c r="O214" s="36">
        <v>29.832906999999999</v>
      </c>
      <c r="P214" s="36">
        <v>37.925840000000001</v>
      </c>
      <c r="Q214" s="393">
        <v>86.759923999999998</v>
      </c>
      <c r="R214" s="399">
        <v>100.02923</v>
      </c>
      <c r="S214" s="36">
        <v>51.408940999999999</v>
      </c>
      <c r="T214" s="36">
        <v>68.367417000000003</v>
      </c>
      <c r="U214" s="393">
        <v>129.21932000000001</v>
      </c>
    </row>
    <row r="215" spans="3:21" s="9" customFormat="1" ht="0.5" customHeight="1">
      <c r="C215" s="9" t="s">
        <v>36</v>
      </c>
      <c r="D215" s="9" t="str">
        <f t="shared" si="37"/>
        <v>Argentina31</v>
      </c>
      <c r="E215" s="398">
        <v>31</v>
      </c>
      <c r="F215" s="399">
        <v>100.76536</v>
      </c>
      <c r="G215" s="36">
        <v>54.620289</v>
      </c>
      <c r="H215" s="36">
        <v>57.736821999999997</v>
      </c>
      <c r="I215" s="393">
        <v>118.04237999999999</v>
      </c>
      <c r="J215" s="399">
        <v>129.45441</v>
      </c>
      <c r="K215" s="36">
        <v>74.287352999999996</v>
      </c>
      <c r="L215" s="36">
        <v>92.977154999999996</v>
      </c>
      <c r="M215" s="393">
        <v>166.75109</v>
      </c>
      <c r="N215" s="399">
        <v>75.363937000000007</v>
      </c>
      <c r="O215" s="36">
        <v>29.894690000000001</v>
      </c>
      <c r="P215" s="36">
        <v>38.174340999999998</v>
      </c>
      <c r="Q215" s="393">
        <v>86.347015999999996</v>
      </c>
      <c r="R215" s="399">
        <v>101.09894</v>
      </c>
      <c r="S215" s="36">
        <v>51.910663999999997</v>
      </c>
      <c r="T215" s="36">
        <v>69.245037999999994</v>
      </c>
      <c r="U215" s="393">
        <v>130.49349000000001</v>
      </c>
    </row>
    <row r="216" spans="3:21" s="9" customFormat="1" ht="0.5" customHeight="1">
      <c r="C216" s="9" t="s">
        <v>36</v>
      </c>
      <c r="D216" s="9" t="str">
        <f t="shared" si="37"/>
        <v>Argentina31.5</v>
      </c>
      <c r="E216" s="398">
        <v>31.5</v>
      </c>
      <c r="F216" s="399">
        <v>101.39568</v>
      </c>
      <c r="G216" s="36">
        <v>54.871358999999998</v>
      </c>
      <c r="H216" s="36">
        <v>58.341391000000002</v>
      </c>
      <c r="I216" s="393">
        <v>119.09904</v>
      </c>
      <c r="J216" s="399">
        <v>131.52105</v>
      </c>
      <c r="K216" s="36">
        <v>75.635649000000001</v>
      </c>
      <c r="L216" s="36">
        <v>94.769025999999997</v>
      </c>
      <c r="M216" s="393">
        <v>169.86837</v>
      </c>
      <c r="N216" s="399">
        <v>75.633218999999997</v>
      </c>
      <c r="O216" s="36">
        <v>29.967309</v>
      </c>
      <c r="P216" s="36">
        <v>38.422103</v>
      </c>
      <c r="Q216" s="393">
        <v>85.950091999999998</v>
      </c>
      <c r="R216" s="399">
        <v>102.05517999999999</v>
      </c>
      <c r="S216" s="36">
        <v>52.409211999999997</v>
      </c>
      <c r="T216" s="36">
        <v>70.001057000000003</v>
      </c>
      <c r="U216" s="393">
        <v>131.66048000000001</v>
      </c>
    </row>
    <row r="217" spans="3:21" s="9" customFormat="1" ht="0.5" customHeight="1">
      <c r="C217" s="9" t="s">
        <v>36</v>
      </c>
      <c r="D217" s="9" t="str">
        <f t="shared" si="37"/>
        <v>Argentina32</v>
      </c>
      <c r="E217" s="398">
        <v>32</v>
      </c>
      <c r="F217" s="399">
        <v>102.02025999999999</v>
      </c>
      <c r="G217" s="36">
        <v>55.109883000000004</v>
      </c>
      <c r="H217" s="36">
        <v>58.961224999999999</v>
      </c>
      <c r="I217" s="393">
        <v>120.13809999999999</v>
      </c>
      <c r="J217" s="399">
        <v>133.59735000000001</v>
      </c>
      <c r="K217" s="36">
        <v>76.953092999999996</v>
      </c>
      <c r="L217" s="36">
        <v>96.146679000000006</v>
      </c>
      <c r="M217" s="393">
        <v>172.87258</v>
      </c>
      <c r="N217" s="399">
        <v>75.762384999999995</v>
      </c>
      <c r="O217" s="36">
        <v>30.045517</v>
      </c>
      <c r="P217" s="36">
        <v>38.647474000000003</v>
      </c>
      <c r="Q217" s="393">
        <v>85.349618000000007</v>
      </c>
      <c r="R217" s="399">
        <v>102.97238</v>
      </c>
      <c r="S217" s="36">
        <v>52.657964</v>
      </c>
      <c r="T217" s="36">
        <v>70.700541000000001</v>
      </c>
      <c r="U217" s="393">
        <v>132.80857</v>
      </c>
    </row>
    <row r="218" spans="3:21" s="9" customFormat="1" ht="0.5" customHeight="1">
      <c r="C218" s="9" t="s">
        <v>36</v>
      </c>
      <c r="D218" s="9" t="str">
        <f t="shared" si="37"/>
        <v>Argentina32.5</v>
      </c>
      <c r="E218" s="398">
        <v>32.5</v>
      </c>
      <c r="F218" s="399">
        <v>102.60095</v>
      </c>
      <c r="G218" s="36">
        <v>55.269446000000002</v>
      </c>
      <c r="H218" s="36">
        <v>59.472265999999998</v>
      </c>
      <c r="I218" s="393">
        <v>121.18531</v>
      </c>
      <c r="J218" s="399">
        <v>135.43655999999999</v>
      </c>
      <c r="K218" s="36">
        <v>78.046593999999999</v>
      </c>
      <c r="L218" s="36">
        <v>97.545350999999997</v>
      </c>
      <c r="M218" s="393">
        <v>175.82326</v>
      </c>
      <c r="N218" s="399">
        <v>75.864374999999995</v>
      </c>
      <c r="O218" s="36">
        <v>30.114546000000001</v>
      </c>
      <c r="P218" s="36">
        <v>38.867888999999998</v>
      </c>
      <c r="Q218" s="393">
        <v>84.797118999999995</v>
      </c>
      <c r="R218" s="399">
        <v>103.72745999999999</v>
      </c>
      <c r="S218" s="36">
        <v>52.905414</v>
      </c>
      <c r="T218" s="36">
        <v>71.384490999999997</v>
      </c>
      <c r="U218" s="393">
        <v>133.92001999999999</v>
      </c>
    </row>
    <row r="219" spans="3:21" s="9" customFormat="1" ht="0.5" customHeight="1">
      <c r="C219" s="9" t="s">
        <v>36</v>
      </c>
      <c r="D219" s="9" t="str">
        <f t="shared" si="37"/>
        <v>Argentina33</v>
      </c>
      <c r="E219" s="398">
        <v>33</v>
      </c>
      <c r="F219" s="399">
        <v>103.17043</v>
      </c>
      <c r="G219" s="36">
        <v>55.427926999999997</v>
      </c>
      <c r="H219" s="36">
        <v>59.981999999999999</v>
      </c>
      <c r="I219" s="393">
        <v>122.18101</v>
      </c>
      <c r="J219" s="399">
        <v>137.26566</v>
      </c>
      <c r="K219" s="36">
        <v>79.144711000000001</v>
      </c>
      <c r="L219" s="36">
        <v>98.723669999999998</v>
      </c>
      <c r="M219" s="393">
        <v>178.64206999999999</v>
      </c>
      <c r="N219" s="399">
        <v>75.934010000000001</v>
      </c>
      <c r="O219" s="36">
        <v>30.178664999999999</v>
      </c>
      <c r="P219" s="36">
        <v>39.119280000000003</v>
      </c>
      <c r="Q219" s="393">
        <v>84.287323999999998</v>
      </c>
      <c r="R219" s="399">
        <v>104.44226999999999</v>
      </c>
      <c r="S219" s="36">
        <v>52.987510999999998</v>
      </c>
      <c r="T219" s="36">
        <v>72.022414999999995</v>
      </c>
      <c r="U219" s="393">
        <v>134.99753000000001</v>
      </c>
    </row>
    <row r="220" spans="3:21" s="9" customFormat="1" ht="0.5" customHeight="1">
      <c r="C220" s="9" t="s">
        <v>36</v>
      </c>
      <c r="D220" s="9" t="str">
        <f t="shared" si="37"/>
        <v>Argentina33.5</v>
      </c>
      <c r="E220" s="398">
        <v>33.5</v>
      </c>
      <c r="F220" s="399">
        <v>103.64752</v>
      </c>
      <c r="G220" s="36">
        <v>55.529431000000002</v>
      </c>
      <c r="H220" s="36">
        <v>60.384300000000003</v>
      </c>
      <c r="I220" s="393">
        <v>123.37312</v>
      </c>
      <c r="J220" s="399">
        <v>138.68428</v>
      </c>
      <c r="K220" s="36">
        <v>80.158876000000006</v>
      </c>
      <c r="L220" s="36">
        <v>99.912674999999993</v>
      </c>
      <c r="M220" s="393">
        <v>181.44013000000001</v>
      </c>
      <c r="N220" s="399">
        <v>75.992444000000006</v>
      </c>
      <c r="O220" s="36">
        <v>30.24344</v>
      </c>
      <c r="P220" s="36">
        <v>39.370294000000001</v>
      </c>
      <c r="Q220" s="393">
        <v>83.755324999999999</v>
      </c>
      <c r="R220" s="399">
        <v>104.98063999999999</v>
      </c>
      <c r="S220" s="36">
        <v>53.078028000000003</v>
      </c>
      <c r="T220" s="36">
        <v>72.633028999999993</v>
      </c>
      <c r="U220" s="393">
        <v>136.18857</v>
      </c>
    </row>
    <row r="221" spans="3:21" s="9" customFormat="1" ht="0.5" customHeight="1">
      <c r="C221" s="9" t="s">
        <v>36</v>
      </c>
      <c r="D221" s="9" t="str">
        <f t="shared" si="37"/>
        <v>Argentina34</v>
      </c>
      <c r="E221" s="398">
        <v>34</v>
      </c>
      <c r="F221" s="399">
        <v>104.13148</v>
      </c>
      <c r="G221" s="36">
        <v>55.623303</v>
      </c>
      <c r="H221" s="36">
        <v>60.788493000000003</v>
      </c>
      <c r="I221" s="393">
        <v>124.63691</v>
      </c>
      <c r="J221" s="399">
        <v>140.09294</v>
      </c>
      <c r="K221" s="36">
        <v>81.123901000000004</v>
      </c>
      <c r="L221" s="36">
        <v>100.81375</v>
      </c>
      <c r="M221" s="393">
        <v>184.11897999999999</v>
      </c>
      <c r="N221" s="399">
        <v>76.054924999999997</v>
      </c>
      <c r="O221" s="36">
        <v>30.308769999999999</v>
      </c>
      <c r="P221" s="36">
        <v>39.584747999999998</v>
      </c>
      <c r="Q221" s="393">
        <v>83.567070000000001</v>
      </c>
      <c r="R221" s="399">
        <v>105.50579999999999</v>
      </c>
      <c r="S221" s="36">
        <v>52.976664999999997</v>
      </c>
      <c r="T221" s="36">
        <v>73.156886</v>
      </c>
      <c r="U221" s="393">
        <v>137.43244999999999</v>
      </c>
    </row>
    <row r="222" spans="3:21" s="9" customFormat="1" ht="0.5" customHeight="1">
      <c r="C222" s="9" t="s">
        <v>36</v>
      </c>
      <c r="D222" s="9" t="str">
        <f t="shared" si="37"/>
        <v>Argentina34.5</v>
      </c>
      <c r="E222" s="398">
        <v>34.5</v>
      </c>
      <c r="F222" s="399">
        <v>104.65868</v>
      </c>
      <c r="G222" s="36">
        <v>55.728597000000001</v>
      </c>
      <c r="H222" s="36">
        <v>61.14096</v>
      </c>
      <c r="I222" s="393">
        <v>125.58418</v>
      </c>
      <c r="J222" s="399">
        <v>141.26902999999999</v>
      </c>
      <c r="K222" s="36">
        <v>81.932987999999995</v>
      </c>
      <c r="L222" s="36">
        <v>101.72251</v>
      </c>
      <c r="M222" s="393">
        <v>186.77019000000001</v>
      </c>
      <c r="N222" s="399">
        <v>76.142025000000004</v>
      </c>
      <c r="O222" s="36">
        <v>30.358170000000001</v>
      </c>
      <c r="P222" s="36">
        <v>39.797624999999996</v>
      </c>
      <c r="Q222" s="393">
        <v>83.390090999999998</v>
      </c>
      <c r="R222" s="399">
        <v>106.03308</v>
      </c>
      <c r="S222" s="36">
        <v>52.88015</v>
      </c>
      <c r="T222" s="36">
        <v>73.683105999999995</v>
      </c>
      <c r="U222" s="393">
        <v>138.91853</v>
      </c>
    </row>
    <row r="223" spans="3:21" s="9" customFormat="1" ht="0.5" customHeight="1">
      <c r="C223" s="9" t="s">
        <v>36</v>
      </c>
      <c r="D223" s="9" t="str">
        <f t="shared" si="37"/>
        <v>Argentina35</v>
      </c>
      <c r="E223" s="398">
        <v>35</v>
      </c>
      <c r="F223" s="399">
        <v>105.18405</v>
      </c>
      <c r="G223" s="36">
        <v>55.845495999999997</v>
      </c>
      <c r="H223" s="36">
        <v>61.497560999999997</v>
      </c>
      <c r="I223" s="393">
        <v>126.52670999999999</v>
      </c>
      <c r="J223" s="399">
        <v>142.44835</v>
      </c>
      <c r="K223" s="36">
        <v>82.698508000000004</v>
      </c>
      <c r="L223" s="36">
        <v>102.58414</v>
      </c>
      <c r="M223" s="393">
        <v>189.35856000000001</v>
      </c>
      <c r="N223" s="399">
        <v>76.234240999999997</v>
      </c>
      <c r="O223" s="36">
        <v>30.404779999999999</v>
      </c>
      <c r="P223" s="36">
        <v>40.004548999999997</v>
      </c>
      <c r="Q223" s="393">
        <v>82.927063000000004</v>
      </c>
      <c r="R223" s="399">
        <v>106.55591</v>
      </c>
      <c r="S223" s="36">
        <v>52.590197000000003</v>
      </c>
      <c r="T223" s="36">
        <v>74.198400000000007</v>
      </c>
      <c r="U223" s="393">
        <v>140.43970999999999</v>
      </c>
    </row>
    <row r="224" spans="3:21" s="9" customFormat="1" ht="0.5" customHeight="1">
      <c r="C224" s="9" t="s">
        <v>36</v>
      </c>
      <c r="D224" s="9" t="str">
        <f t="shared" si="37"/>
        <v>Argentina35.5</v>
      </c>
      <c r="E224" s="398">
        <v>35.5</v>
      </c>
      <c r="F224" s="399">
        <v>105.6901</v>
      </c>
      <c r="G224" s="36">
        <v>56.033704</v>
      </c>
      <c r="H224" s="36">
        <v>61.774644000000002</v>
      </c>
      <c r="I224" s="393">
        <v>127.06824</v>
      </c>
      <c r="J224" s="399">
        <v>143.39518000000001</v>
      </c>
      <c r="K224" s="36">
        <v>83.268207000000004</v>
      </c>
      <c r="L224" s="36">
        <v>103.44889000000001</v>
      </c>
      <c r="M224" s="393">
        <v>191.79442</v>
      </c>
      <c r="N224" s="399">
        <v>76.328907999999998</v>
      </c>
      <c r="O224" s="36">
        <v>30.442101999999998</v>
      </c>
      <c r="P224" s="36">
        <v>40.214060000000003</v>
      </c>
      <c r="Q224" s="393">
        <v>82.407392999999999</v>
      </c>
      <c r="R224" s="399">
        <v>107.06010999999999</v>
      </c>
      <c r="S224" s="36">
        <v>52.300530000000002</v>
      </c>
      <c r="T224" s="36">
        <v>74.752536000000006</v>
      </c>
      <c r="U224" s="393">
        <v>141.65502000000001</v>
      </c>
    </row>
    <row r="225" spans="3:21" s="9" customFormat="1" ht="0.5" customHeight="1">
      <c r="C225" s="9" t="s">
        <v>36</v>
      </c>
      <c r="D225" s="9" t="str">
        <f t="shared" si="37"/>
        <v>Argentina36</v>
      </c>
      <c r="E225" s="398">
        <v>36</v>
      </c>
      <c r="F225" s="399">
        <v>106.19370000000001</v>
      </c>
      <c r="G225" s="36">
        <v>56.223871000000003</v>
      </c>
      <c r="H225" s="36">
        <v>62.067863000000003</v>
      </c>
      <c r="I225" s="393">
        <v>127.60856</v>
      </c>
      <c r="J225" s="399">
        <v>144.35730000000001</v>
      </c>
      <c r="K225" s="36">
        <v>83.78792</v>
      </c>
      <c r="L225" s="36">
        <v>104.23296000000001</v>
      </c>
      <c r="M225" s="393">
        <v>193.95901000000001</v>
      </c>
      <c r="N225" s="399">
        <v>76.407535999999993</v>
      </c>
      <c r="O225" s="36">
        <v>30.479333</v>
      </c>
      <c r="P225" s="36">
        <v>40.414062000000001</v>
      </c>
      <c r="Q225" s="393">
        <v>81.801723999999993</v>
      </c>
      <c r="R225" s="399">
        <v>107.54087</v>
      </c>
      <c r="S225" s="36">
        <v>51.879648000000003</v>
      </c>
      <c r="T225" s="36">
        <v>75.417034000000001</v>
      </c>
      <c r="U225" s="393">
        <v>142.78879000000001</v>
      </c>
    </row>
    <row r="226" spans="3:21" s="9" customFormat="1" ht="0.5" customHeight="1">
      <c r="C226" s="9" t="s">
        <v>36</v>
      </c>
      <c r="D226" s="9" t="str">
        <f t="shared" si="37"/>
        <v>Argentina36.5</v>
      </c>
      <c r="E226" s="398">
        <v>36.5</v>
      </c>
      <c r="F226" s="399">
        <v>106.62435000000001</v>
      </c>
      <c r="G226" s="36">
        <v>56.359805999999999</v>
      </c>
      <c r="H226" s="36">
        <v>62.203688999999997</v>
      </c>
      <c r="I226" s="393">
        <v>127.99149</v>
      </c>
      <c r="J226" s="399">
        <v>145.17057</v>
      </c>
      <c r="K226" s="36">
        <v>84.051900000000003</v>
      </c>
      <c r="L226" s="36">
        <v>105.01354000000001</v>
      </c>
      <c r="M226" s="393">
        <v>195.9727</v>
      </c>
      <c r="N226" s="399">
        <v>76.448091000000005</v>
      </c>
      <c r="O226" s="36">
        <v>30.519431000000001</v>
      </c>
      <c r="P226" s="36">
        <v>40.612186999999999</v>
      </c>
      <c r="Q226" s="393">
        <v>81.298402999999993</v>
      </c>
      <c r="R226" s="399">
        <v>107.98390999999999</v>
      </c>
      <c r="S226" s="36">
        <v>51.458109999999998</v>
      </c>
      <c r="T226" s="36">
        <v>76.076096000000007</v>
      </c>
      <c r="U226" s="393">
        <v>143.97224</v>
      </c>
    </row>
    <row r="227" spans="3:21" s="9" customFormat="1" ht="0.5" customHeight="1">
      <c r="C227" s="9" t="s">
        <v>36</v>
      </c>
      <c r="D227" s="9" t="str">
        <f t="shared" si="37"/>
        <v>Argentina37</v>
      </c>
      <c r="E227" s="398">
        <v>37</v>
      </c>
      <c r="F227" s="399">
        <v>107.04862</v>
      </c>
      <c r="G227" s="36">
        <v>56.483919999999998</v>
      </c>
      <c r="H227" s="36">
        <v>62.34684</v>
      </c>
      <c r="I227" s="393">
        <v>128.33344</v>
      </c>
      <c r="J227" s="399">
        <v>145.98891</v>
      </c>
      <c r="K227" s="36">
        <v>84.329426999999995</v>
      </c>
      <c r="L227" s="36">
        <v>105.7955</v>
      </c>
      <c r="M227" s="393">
        <v>197.79856000000001</v>
      </c>
      <c r="N227" s="399">
        <v>76.418886999999998</v>
      </c>
      <c r="O227" s="36">
        <v>30.558727000000001</v>
      </c>
      <c r="P227" s="36">
        <v>40.815691000000001</v>
      </c>
      <c r="Q227" s="393">
        <v>81.208832000000001</v>
      </c>
      <c r="R227" s="399">
        <v>108.43715</v>
      </c>
      <c r="S227" s="36">
        <v>51.321167000000003</v>
      </c>
      <c r="T227" s="36">
        <v>76.597038999999995</v>
      </c>
      <c r="U227" s="393">
        <v>145.24297999999999</v>
      </c>
    </row>
    <row r="228" spans="3:21" s="9" customFormat="1" ht="0.5" customHeight="1">
      <c r="C228" s="9" t="s">
        <v>36</v>
      </c>
      <c r="D228" s="9" t="str">
        <f t="shared" si="37"/>
        <v>Argentina37.5</v>
      </c>
      <c r="E228" s="398">
        <v>37.5</v>
      </c>
      <c r="F228" s="399">
        <v>107.44774</v>
      </c>
      <c r="G228" s="36">
        <v>56.536552999999998</v>
      </c>
      <c r="H228" s="36">
        <v>62.508730999999997</v>
      </c>
      <c r="I228" s="393">
        <v>128.29418000000001</v>
      </c>
      <c r="J228" s="399">
        <v>146.98175000000001</v>
      </c>
      <c r="K228" s="36">
        <v>84.551661999999993</v>
      </c>
      <c r="L228" s="36">
        <v>106.57232</v>
      </c>
      <c r="M228" s="393">
        <v>199.56387000000001</v>
      </c>
      <c r="N228" s="399">
        <v>76.375084999999999</v>
      </c>
      <c r="O228" s="36">
        <v>30.583313</v>
      </c>
      <c r="P228" s="36">
        <v>41.018917999999999</v>
      </c>
      <c r="Q228" s="393">
        <v>81.364723999999995</v>
      </c>
      <c r="R228" s="399">
        <v>108.97033</v>
      </c>
      <c r="S228" s="36">
        <v>51.186391999999998</v>
      </c>
      <c r="T228" s="36">
        <v>77.105699999999999</v>
      </c>
      <c r="U228" s="393">
        <v>146.58419000000001</v>
      </c>
    </row>
    <row r="229" spans="3:21" s="9" customFormat="1" ht="0.5" customHeight="1">
      <c r="C229" s="9" t="s">
        <v>36</v>
      </c>
      <c r="D229" s="9" t="str">
        <f t="shared" si="37"/>
        <v>Argentina38</v>
      </c>
      <c r="E229" s="398">
        <v>38</v>
      </c>
      <c r="F229" s="399">
        <v>107.85256</v>
      </c>
      <c r="G229" s="36">
        <v>56.592069000000002</v>
      </c>
      <c r="H229" s="36">
        <v>62.669229999999999</v>
      </c>
      <c r="I229" s="393">
        <v>128.27182999999999</v>
      </c>
      <c r="J229" s="399">
        <v>147.95918</v>
      </c>
      <c r="K229" s="36">
        <v>84.768692999999999</v>
      </c>
      <c r="L229" s="36">
        <v>107.23430999999999</v>
      </c>
      <c r="M229" s="393">
        <v>201.21621999999999</v>
      </c>
      <c r="N229" s="399">
        <v>76.318504000000004</v>
      </c>
      <c r="O229" s="36">
        <v>30.611588999999999</v>
      </c>
      <c r="P229" s="36">
        <v>41.223557999999997</v>
      </c>
      <c r="Q229" s="393">
        <v>81.254195999999993</v>
      </c>
      <c r="R229" s="399">
        <v>109.52797</v>
      </c>
      <c r="S229" s="36">
        <v>51.146631999999997</v>
      </c>
      <c r="T229" s="36">
        <v>77.635193999999998</v>
      </c>
      <c r="U229" s="393">
        <v>147.93198000000001</v>
      </c>
    </row>
    <row r="230" spans="3:21" s="9" customFormat="1" ht="0.5" customHeight="1">
      <c r="C230" s="9" t="s">
        <v>36</v>
      </c>
      <c r="D230" s="9" t="str">
        <f t="shared" si="37"/>
        <v>Argentina38.5</v>
      </c>
      <c r="E230" s="398">
        <v>38.5</v>
      </c>
      <c r="F230" s="399">
        <v>108.23181</v>
      </c>
      <c r="G230" s="36">
        <v>56.723618000000002</v>
      </c>
      <c r="H230" s="36">
        <v>62.928908</v>
      </c>
      <c r="I230" s="393">
        <v>128.59192999999999</v>
      </c>
      <c r="J230" s="399">
        <v>148.92032</v>
      </c>
      <c r="K230" s="36">
        <v>85.125635000000003</v>
      </c>
      <c r="L230" s="36">
        <v>107.89836</v>
      </c>
      <c r="M230" s="393">
        <v>202.74435</v>
      </c>
      <c r="N230" s="399">
        <v>76.272712999999996</v>
      </c>
      <c r="O230" s="36">
        <v>30.654015000000001</v>
      </c>
      <c r="P230" s="36">
        <v>41.421824000000001</v>
      </c>
      <c r="Q230" s="393">
        <v>80.901128999999997</v>
      </c>
      <c r="R230" s="399">
        <v>110.16853999999999</v>
      </c>
      <c r="S230" s="36">
        <v>51.097107999999999</v>
      </c>
      <c r="T230" s="36">
        <v>78.088194000000001</v>
      </c>
      <c r="U230" s="393">
        <v>149.13917000000001</v>
      </c>
    </row>
    <row r="231" spans="3:21" s="9" customFormat="1" ht="0.5" customHeight="1">
      <c r="C231" s="9" t="s">
        <v>36</v>
      </c>
      <c r="D231" s="9" t="str">
        <f t="shared" si="37"/>
        <v>Argentina39</v>
      </c>
      <c r="E231" s="398">
        <v>39</v>
      </c>
      <c r="F231" s="399">
        <v>108.60603999999999</v>
      </c>
      <c r="G231" s="36">
        <v>56.860190000000003</v>
      </c>
      <c r="H231" s="36">
        <v>63.183646000000003</v>
      </c>
      <c r="I231" s="393">
        <v>128.89794000000001</v>
      </c>
      <c r="J231" s="399">
        <v>149.86231000000001</v>
      </c>
      <c r="K231" s="36">
        <v>85.511809999999997</v>
      </c>
      <c r="L231" s="36">
        <v>108.69488</v>
      </c>
      <c r="M231" s="393">
        <v>204.16639000000001</v>
      </c>
      <c r="N231" s="399">
        <v>76.245350999999999</v>
      </c>
      <c r="O231" s="36">
        <v>30.689350000000001</v>
      </c>
      <c r="P231" s="36">
        <v>41.599677999999997</v>
      </c>
      <c r="Q231" s="393">
        <v>81.141261</v>
      </c>
      <c r="R231" s="399">
        <v>110.82455</v>
      </c>
      <c r="S231" s="36">
        <v>51.091658000000002</v>
      </c>
      <c r="T231" s="36">
        <v>78.431340000000006</v>
      </c>
      <c r="U231" s="393">
        <v>150.24502000000001</v>
      </c>
    </row>
    <row r="232" spans="3:21" s="9" customFormat="1" ht="0.5" customHeight="1">
      <c r="C232" s="9" t="s">
        <v>36</v>
      </c>
      <c r="D232" s="9" t="str">
        <f t="shared" si="37"/>
        <v>Argentina39.5</v>
      </c>
      <c r="E232" s="398">
        <v>39.5</v>
      </c>
      <c r="F232" s="399">
        <v>108.89435</v>
      </c>
      <c r="G232" s="36">
        <v>56.999276000000002</v>
      </c>
      <c r="H232" s="36">
        <v>63.471603000000002</v>
      </c>
      <c r="I232" s="393">
        <v>129.46563</v>
      </c>
      <c r="J232" s="399">
        <v>150.86742000000001</v>
      </c>
      <c r="K232" s="36">
        <v>85.890514999999994</v>
      </c>
      <c r="L232" s="36">
        <v>109.49502</v>
      </c>
      <c r="M232" s="393">
        <v>205.61966000000001</v>
      </c>
      <c r="N232" s="399">
        <v>76.230969000000002</v>
      </c>
      <c r="O232" s="36">
        <v>30.676241000000001</v>
      </c>
      <c r="P232" s="36">
        <v>41.776578000000001</v>
      </c>
      <c r="Q232" s="393">
        <v>81.501530000000002</v>
      </c>
      <c r="R232" s="399">
        <v>111.47660999999999</v>
      </c>
      <c r="S232" s="36">
        <v>51.084353999999998</v>
      </c>
      <c r="T232" s="36">
        <v>78.688434000000001</v>
      </c>
      <c r="U232" s="393">
        <v>150.99455</v>
      </c>
    </row>
    <row r="233" spans="3:21" s="9" customFormat="1" ht="0.5" customHeight="1">
      <c r="C233" s="9" t="s">
        <v>36</v>
      </c>
      <c r="D233" s="9" t="str">
        <f t="shared" si="37"/>
        <v>Argentina40</v>
      </c>
      <c r="E233" s="398">
        <v>40</v>
      </c>
      <c r="F233" s="399">
        <v>109.18006</v>
      </c>
      <c r="G233" s="36">
        <v>57.140816000000001</v>
      </c>
      <c r="H233" s="36">
        <v>63.738723</v>
      </c>
      <c r="I233" s="393">
        <v>130.09136000000001</v>
      </c>
      <c r="J233" s="399">
        <v>151.86485999999999</v>
      </c>
      <c r="K233" s="36">
        <v>86.250422</v>
      </c>
      <c r="L233" s="36">
        <v>110.01424</v>
      </c>
      <c r="M233" s="393">
        <v>207.09715</v>
      </c>
      <c r="N233" s="399">
        <v>76.241808000000006</v>
      </c>
      <c r="O233" s="36">
        <v>30.656507999999999</v>
      </c>
      <c r="P233" s="36">
        <v>41.947392000000001</v>
      </c>
      <c r="Q233" s="393">
        <v>82.629277999999999</v>
      </c>
      <c r="R233" s="399">
        <v>112.1199</v>
      </c>
      <c r="S233" s="36">
        <v>51.150998999999999</v>
      </c>
      <c r="T233" s="36">
        <v>78.768354000000002</v>
      </c>
      <c r="U233" s="393">
        <v>151.67639</v>
      </c>
    </row>
    <row r="234" spans="3:21" s="9" customFormat="1" ht="0.5" customHeight="1">
      <c r="C234" s="9" t="s">
        <v>36</v>
      </c>
      <c r="D234" s="9" t="str">
        <f t="shared" si="37"/>
        <v>Argentina40.5</v>
      </c>
      <c r="E234" s="398">
        <v>40.5</v>
      </c>
      <c r="F234" s="399">
        <v>109.33542</v>
      </c>
      <c r="G234" s="36">
        <v>57.319327999999999</v>
      </c>
      <c r="H234" s="36">
        <v>64.170786000000007</v>
      </c>
      <c r="I234" s="393">
        <v>130.55922000000001</v>
      </c>
      <c r="J234" s="399">
        <v>152.84657999999999</v>
      </c>
      <c r="K234" s="36">
        <v>86.609041000000005</v>
      </c>
      <c r="L234" s="36">
        <v>110.53846</v>
      </c>
      <c r="M234" s="393">
        <v>208.58070000000001</v>
      </c>
      <c r="N234" s="399">
        <v>76.238899000000004</v>
      </c>
      <c r="O234" s="36">
        <v>30.618938</v>
      </c>
      <c r="P234" s="36">
        <v>42.117280000000001</v>
      </c>
      <c r="Q234" s="393">
        <v>83.875455000000002</v>
      </c>
      <c r="R234" s="399">
        <v>112.71214000000001</v>
      </c>
      <c r="S234" s="36">
        <v>51.219054999999997</v>
      </c>
      <c r="T234" s="36">
        <v>78.844559000000004</v>
      </c>
      <c r="U234" s="393">
        <v>152.10696999999999</v>
      </c>
    </row>
    <row r="235" spans="3:21" s="9" customFormat="1" ht="0.5" customHeight="1">
      <c r="C235" s="9" t="s">
        <v>36</v>
      </c>
      <c r="D235" s="9" t="str">
        <f t="shared" si="37"/>
        <v>Argentina41</v>
      </c>
      <c r="E235" s="398">
        <v>41</v>
      </c>
      <c r="F235" s="399">
        <v>109.48219</v>
      </c>
      <c r="G235" s="36">
        <v>57.494649000000003</v>
      </c>
      <c r="H235" s="36">
        <v>64.598432000000003</v>
      </c>
      <c r="I235" s="393">
        <v>130.98707999999999</v>
      </c>
      <c r="J235" s="399">
        <v>153.85509999999999</v>
      </c>
      <c r="K235" s="36">
        <v>86.940042000000005</v>
      </c>
      <c r="L235" s="36">
        <v>110.97408</v>
      </c>
      <c r="M235" s="393">
        <v>210.03617</v>
      </c>
      <c r="N235" s="399">
        <v>76.162270000000007</v>
      </c>
      <c r="O235" s="36">
        <v>30.583121999999999</v>
      </c>
      <c r="P235" s="36">
        <v>42.282015999999999</v>
      </c>
      <c r="Q235" s="393">
        <v>84.496527</v>
      </c>
      <c r="R235" s="399">
        <v>113.26709</v>
      </c>
      <c r="S235" s="36">
        <v>51.210903999999999</v>
      </c>
      <c r="T235" s="36">
        <v>78.849433000000005</v>
      </c>
      <c r="U235" s="393">
        <v>152.48484999999999</v>
      </c>
    </row>
    <row r="236" spans="3:21" s="9" customFormat="1" ht="0.5" customHeight="1">
      <c r="C236" s="9" t="s">
        <v>36</v>
      </c>
      <c r="D236" s="9" t="str">
        <f t="shared" si="37"/>
        <v>Argentina41.5</v>
      </c>
      <c r="E236" s="398">
        <v>41.5</v>
      </c>
      <c r="F236" s="399">
        <v>109.54831</v>
      </c>
      <c r="G236" s="36">
        <v>57.617100999999998</v>
      </c>
      <c r="H236" s="36">
        <v>64.951926</v>
      </c>
      <c r="I236" s="393">
        <v>131.39151000000001</v>
      </c>
      <c r="J236" s="399">
        <v>154.82812000000001</v>
      </c>
      <c r="K236" s="36">
        <v>87.504707999999994</v>
      </c>
      <c r="L236" s="36">
        <v>111.41464999999999</v>
      </c>
      <c r="M236" s="393">
        <v>211.37409</v>
      </c>
      <c r="N236" s="399">
        <v>76.068929999999995</v>
      </c>
      <c r="O236" s="36">
        <v>30.561404</v>
      </c>
      <c r="P236" s="36">
        <v>42.451326000000002</v>
      </c>
      <c r="Q236" s="393">
        <v>84.970343999999997</v>
      </c>
      <c r="R236" s="399">
        <v>113.72785</v>
      </c>
      <c r="S236" s="36">
        <v>51.208159999999999</v>
      </c>
      <c r="T236" s="36">
        <v>78.817063000000005</v>
      </c>
      <c r="U236" s="393">
        <v>152.70423</v>
      </c>
    </row>
    <row r="237" spans="3:21" s="9" customFormat="1" ht="0.5" customHeight="1">
      <c r="C237" s="9" t="s">
        <v>36</v>
      </c>
      <c r="D237" s="9" t="str">
        <f t="shared" si="37"/>
        <v>Argentina42</v>
      </c>
      <c r="E237" s="398">
        <v>42</v>
      </c>
      <c r="F237" s="399">
        <v>109.61121</v>
      </c>
      <c r="G237" s="36">
        <v>57.737941999999997</v>
      </c>
      <c r="H237" s="36">
        <v>65.311507000000006</v>
      </c>
      <c r="I237" s="393">
        <v>131.80369999999999</v>
      </c>
      <c r="J237" s="399">
        <v>155.82288</v>
      </c>
      <c r="K237" s="36">
        <v>88.092924999999994</v>
      </c>
      <c r="L237" s="36">
        <v>111.96992</v>
      </c>
      <c r="M237" s="393">
        <v>212.46333999999999</v>
      </c>
      <c r="N237" s="399">
        <v>75.979106999999999</v>
      </c>
      <c r="O237" s="36">
        <v>30.537443</v>
      </c>
      <c r="P237" s="36">
        <v>42.623181000000002</v>
      </c>
      <c r="Q237" s="393">
        <v>85.580820000000003</v>
      </c>
      <c r="R237" s="399">
        <v>114.17667</v>
      </c>
      <c r="S237" s="36">
        <v>51.099004000000001</v>
      </c>
      <c r="T237" s="36">
        <v>78.857082000000005</v>
      </c>
      <c r="U237" s="393">
        <v>152.86770000000001</v>
      </c>
    </row>
    <row r="238" spans="3:21" s="9" customFormat="1" ht="0.5" customHeight="1">
      <c r="C238" s="9" t="s">
        <v>36</v>
      </c>
      <c r="D238" s="9" t="str">
        <f t="shared" si="37"/>
        <v>Argentina42.5</v>
      </c>
      <c r="E238" s="398">
        <v>42.5</v>
      </c>
      <c r="F238" s="399">
        <v>109.68380000000001</v>
      </c>
      <c r="G238" s="36">
        <v>57.827913000000002</v>
      </c>
      <c r="H238" s="36">
        <v>65.550331</v>
      </c>
      <c r="I238" s="393">
        <v>132.58974000000001</v>
      </c>
      <c r="J238" s="399">
        <v>156.86652000000001</v>
      </c>
      <c r="K238" s="36">
        <v>88.678910000000002</v>
      </c>
      <c r="L238" s="36">
        <v>112.52195</v>
      </c>
      <c r="M238" s="393">
        <v>213.50633999999999</v>
      </c>
      <c r="N238" s="399">
        <v>75.910293999999993</v>
      </c>
      <c r="O238" s="36">
        <v>30.516145999999999</v>
      </c>
      <c r="P238" s="36">
        <v>42.790962</v>
      </c>
      <c r="Q238" s="393">
        <v>86.121088</v>
      </c>
      <c r="R238" s="399">
        <v>114.6159</v>
      </c>
      <c r="S238" s="36">
        <v>50.992946000000003</v>
      </c>
      <c r="T238" s="36">
        <v>78.928220999999994</v>
      </c>
      <c r="U238" s="393">
        <v>153.17023</v>
      </c>
    </row>
    <row r="239" spans="3:21" s="9" customFormat="1" ht="0.5" customHeight="1">
      <c r="C239" s="9" t="s">
        <v>36</v>
      </c>
      <c r="D239" s="9" t="str">
        <f t="shared" si="37"/>
        <v>Argentina43</v>
      </c>
      <c r="E239" s="398">
        <v>43</v>
      </c>
      <c r="F239" s="399">
        <v>109.76345999999999</v>
      </c>
      <c r="G239" s="36">
        <v>57.916716999999998</v>
      </c>
      <c r="H239" s="36">
        <v>65.809838999999997</v>
      </c>
      <c r="I239" s="393">
        <v>133.38916</v>
      </c>
      <c r="J239" s="399">
        <v>157.90199000000001</v>
      </c>
      <c r="K239" s="36">
        <v>89.300672000000006</v>
      </c>
      <c r="L239" s="36">
        <v>113.07295999999999</v>
      </c>
      <c r="M239" s="393">
        <v>214.57803000000001</v>
      </c>
      <c r="N239" s="399">
        <v>75.904425000000003</v>
      </c>
      <c r="O239" s="36">
        <v>30.502063</v>
      </c>
      <c r="P239" s="36">
        <v>42.931502999999999</v>
      </c>
      <c r="Q239" s="393">
        <v>86.431426999999999</v>
      </c>
      <c r="R239" s="399">
        <v>115.05369</v>
      </c>
      <c r="S239" s="36">
        <v>50.686867999999997</v>
      </c>
      <c r="T239" s="36">
        <v>79.102772000000002</v>
      </c>
      <c r="U239" s="393">
        <v>153.58939000000001</v>
      </c>
    </row>
    <row r="240" spans="3:21" s="9" customFormat="1" ht="0.5" customHeight="1">
      <c r="C240" s="9" t="s">
        <v>36</v>
      </c>
      <c r="D240" s="9" t="str">
        <f t="shared" si="37"/>
        <v>Argentina43.5</v>
      </c>
      <c r="E240" s="398">
        <v>43.5</v>
      </c>
      <c r="F240" s="399">
        <v>109.89608</v>
      </c>
      <c r="G240" s="36">
        <v>57.949384000000002</v>
      </c>
      <c r="H240" s="36">
        <v>65.960521999999997</v>
      </c>
      <c r="I240" s="393">
        <v>133.99313000000001</v>
      </c>
      <c r="J240" s="399">
        <v>158.70062999999999</v>
      </c>
      <c r="K240" s="36">
        <v>89.964295000000007</v>
      </c>
      <c r="L240" s="36">
        <v>113.60654</v>
      </c>
      <c r="M240" s="393">
        <v>215.68695</v>
      </c>
      <c r="N240" s="399">
        <v>75.905525999999995</v>
      </c>
      <c r="O240" s="36">
        <v>30.519919999999999</v>
      </c>
      <c r="P240" s="36">
        <v>43.061965000000001</v>
      </c>
      <c r="Q240" s="393">
        <v>86.680807999999999</v>
      </c>
      <c r="R240" s="399">
        <v>115.4961</v>
      </c>
      <c r="S240" s="36">
        <v>50.381292999999999</v>
      </c>
      <c r="T240" s="36">
        <v>79.330539000000002</v>
      </c>
      <c r="U240" s="393">
        <v>153.93355</v>
      </c>
    </row>
    <row r="241" spans="3:21" s="9" customFormat="1" ht="0.5" customHeight="1">
      <c r="C241" s="9" t="s">
        <v>36</v>
      </c>
      <c r="D241" s="9" t="str">
        <f t="shared" si="37"/>
        <v>Argentina44</v>
      </c>
      <c r="E241" s="398">
        <v>44</v>
      </c>
      <c r="F241" s="399">
        <v>110.02825</v>
      </c>
      <c r="G241" s="36">
        <v>57.971637000000001</v>
      </c>
      <c r="H241" s="36">
        <v>66.127525000000006</v>
      </c>
      <c r="I241" s="393">
        <v>134.59495000000001</v>
      </c>
      <c r="J241" s="399">
        <v>159.48712</v>
      </c>
      <c r="K241" s="36">
        <v>90.627600999999999</v>
      </c>
      <c r="L241" s="36">
        <v>114.11656000000001</v>
      </c>
      <c r="M241" s="393">
        <v>216.85785999999999</v>
      </c>
      <c r="N241" s="399">
        <v>75.907608999999994</v>
      </c>
      <c r="O241" s="36">
        <v>30.541187000000001</v>
      </c>
      <c r="P241" s="36">
        <v>43.173783</v>
      </c>
      <c r="Q241" s="393">
        <v>86.504988999999995</v>
      </c>
      <c r="R241" s="399">
        <v>115.94495000000001</v>
      </c>
      <c r="S241" s="36">
        <v>50.196859000000003</v>
      </c>
      <c r="T241" s="36">
        <v>79.672015000000002</v>
      </c>
      <c r="U241" s="393">
        <v>154.34692000000001</v>
      </c>
    </row>
    <row r="242" spans="3:21" s="9" customFormat="1" ht="0.5" customHeight="1">
      <c r="C242" s="9" t="s">
        <v>36</v>
      </c>
      <c r="D242" s="9" t="str">
        <f t="shared" si="37"/>
        <v>Argentina44.5</v>
      </c>
      <c r="E242" s="398">
        <v>44.5</v>
      </c>
      <c r="F242" s="399">
        <v>110.03876</v>
      </c>
      <c r="G242" s="36">
        <v>57.959384999999997</v>
      </c>
      <c r="H242" s="36">
        <v>66.209581999999997</v>
      </c>
      <c r="I242" s="393">
        <v>135.29665</v>
      </c>
      <c r="J242" s="399">
        <v>160.18581</v>
      </c>
      <c r="K242" s="36">
        <v>91.064577</v>
      </c>
      <c r="L242" s="36">
        <v>114.61466</v>
      </c>
      <c r="M242" s="393">
        <v>218.11471</v>
      </c>
      <c r="N242" s="399">
        <v>75.900577999999996</v>
      </c>
      <c r="O242" s="36">
        <v>30.567105999999999</v>
      </c>
      <c r="P242" s="36">
        <v>43.289569999999998</v>
      </c>
      <c r="Q242" s="393">
        <v>86.378960000000006</v>
      </c>
      <c r="R242" s="399">
        <v>116.32006</v>
      </c>
      <c r="S242" s="36">
        <v>50.010235999999999</v>
      </c>
      <c r="T242" s="36">
        <v>80.129002</v>
      </c>
      <c r="U242" s="393">
        <v>155.16942</v>
      </c>
    </row>
    <row r="243" spans="3:21" s="9" customFormat="1" ht="0.5" customHeight="1">
      <c r="C243" s="9" t="s">
        <v>36</v>
      </c>
      <c r="D243" s="9" t="str">
        <f t="shared" si="37"/>
        <v>Argentina45</v>
      </c>
      <c r="E243" s="398">
        <v>45</v>
      </c>
      <c r="F243" s="399">
        <v>110.03994</v>
      </c>
      <c r="G243" s="36">
        <v>57.945779000000002</v>
      </c>
      <c r="H243" s="36">
        <v>66.294179999999997</v>
      </c>
      <c r="I243" s="393">
        <v>136.03733</v>
      </c>
      <c r="J243" s="399">
        <v>160.86893000000001</v>
      </c>
      <c r="K243" s="36">
        <v>91.418304000000006</v>
      </c>
      <c r="L243" s="36">
        <v>115.18604999999999</v>
      </c>
      <c r="M243" s="393">
        <v>219.38189</v>
      </c>
      <c r="N243" s="399">
        <v>75.886043999999998</v>
      </c>
      <c r="O243" s="36">
        <v>30.593253000000001</v>
      </c>
      <c r="P243" s="36">
        <v>43.378447000000001</v>
      </c>
      <c r="Q243" s="393">
        <v>86.047004999999999</v>
      </c>
      <c r="R243" s="399">
        <v>116.68464</v>
      </c>
      <c r="S243" s="36">
        <v>49.984960000000001</v>
      </c>
      <c r="T243" s="36">
        <v>80.775103000000001</v>
      </c>
      <c r="U243" s="393">
        <v>155.98249000000001</v>
      </c>
    </row>
    <row r="244" spans="3:21" s="9" customFormat="1" ht="0.5" customHeight="1">
      <c r="C244" s="9" t="s">
        <v>36</v>
      </c>
      <c r="D244" s="9" t="str">
        <f t="shared" si="37"/>
        <v>Argentina45.5</v>
      </c>
      <c r="E244" s="398">
        <v>45.5</v>
      </c>
      <c r="F244" s="399">
        <v>110.00434</v>
      </c>
      <c r="G244" s="36">
        <v>57.866655000000002</v>
      </c>
      <c r="H244" s="36">
        <v>66.403976</v>
      </c>
      <c r="I244" s="393">
        <v>136.96190999999999</v>
      </c>
      <c r="J244" s="399">
        <v>161.57635999999999</v>
      </c>
      <c r="K244" s="36">
        <v>91.534981999999999</v>
      </c>
      <c r="L244" s="36">
        <v>115.75431</v>
      </c>
      <c r="M244" s="393">
        <v>220.63425000000001</v>
      </c>
      <c r="N244" s="399">
        <v>75.874796000000003</v>
      </c>
      <c r="O244" s="36">
        <v>30.654533000000001</v>
      </c>
      <c r="P244" s="36">
        <v>43.466569</v>
      </c>
      <c r="Q244" s="393">
        <v>85.863454000000004</v>
      </c>
      <c r="R244" s="399">
        <v>116.93361</v>
      </c>
      <c r="S244" s="36">
        <v>49.958443000000003</v>
      </c>
      <c r="T244" s="36">
        <v>81.444873000000001</v>
      </c>
      <c r="U244" s="393">
        <v>156.62404000000001</v>
      </c>
    </row>
    <row r="245" spans="3:21" s="9" customFormat="1" ht="0.5" customHeight="1">
      <c r="C245" s="9" t="s">
        <v>36</v>
      </c>
      <c r="D245" s="9" t="str">
        <f t="shared" si="37"/>
        <v>Argentina46</v>
      </c>
      <c r="E245" s="398">
        <v>46</v>
      </c>
      <c r="F245" s="399">
        <v>109.96581</v>
      </c>
      <c r="G245" s="36">
        <v>57.786523000000003</v>
      </c>
      <c r="H245" s="36">
        <v>66.498579000000007</v>
      </c>
      <c r="I245" s="393">
        <v>137.86059</v>
      </c>
      <c r="J245" s="399">
        <v>162.28953000000001</v>
      </c>
      <c r="K245" s="36">
        <v>91.672342999999998</v>
      </c>
      <c r="L245" s="36">
        <v>116.23506999999999</v>
      </c>
      <c r="M245" s="393">
        <v>221.67893000000001</v>
      </c>
      <c r="N245" s="399">
        <v>75.841993000000002</v>
      </c>
      <c r="O245" s="36">
        <v>30.722781000000001</v>
      </c>
      <c r="P245" s="36">
        <v>43.499690000000001</v>
      </c>
      <c r="Q245" s="393">
        <v>86.428494000000001</v>
      </c>
      <c r="R245" s="399">
        <v>117.14973000000001</v>
      </c>
      <c r="S245" s="36">
        <v>49.933607000000002</v>
      </c>
      <c r="T245" s="36">
        <v>81.973293999999996</v>
      </c>
      <c r="U245" s="393">
        <v>157.29888</v>
      </c>
    </row>
    <row r="246" spans="3:21" s="9" customFormat="1" ht="0.5" customHeight="1">
      <c r="C246" s="9" t="s">
        <v>36</v>
      </c>
      <c r="D246" s="9" t="str">
        <f t="shared" si="37"/>
        <v>Argentina46.5</v>
      </c>
      <c r="E246" s="398">
        <v>46.5</v>
      </c>
      <c r="F246" s="399">
        <v>109.82219000000001</v>
      </c>
      <c r="G246" s="36">
        <v>57.744337999999999</v>
      </c>
      <c r="H246" s="36">
        <v>66.518347000000006</v>
      </c>
      <c r="I246" s="393">
        <v>138.71512999999999</v>
      </c>
      <c r="J246" s="399">
        <v>162.76677000000001</v>
      </c>
      <c r="K246" s="36">
        <v>91.845916000000003</v>
      </c>
      <c r="L246" s="36">
        <v>116.7306</v>
      </c>
      <c r="M246" s="393">
        <v>222.55013</v>
      </c>
      <c r="N246" s="399">
        <v>75.807905000000005</v>
      </c>
      <c r="O246" s="36">
        <v>30.810482</v>
      </c>
      <c r="P246" s="36">
        <v>43.527563999999998</v>
      </c>
      <c r="Q246" s="393">
        <v>86.665008</v>
      </c>
      <c r="R246" s="399">
        <v>117.3546</v>
      </c>
      <c r="S246" s="36">
        <v>49.903848000000004</v>
      </c>
      <c r="T246" s="36">
        <v>82.431254999999993</v>
      </c>
      <c r="U246" s="393">
        <v>158.25846999999999</v>
      </c>
    </row>
    <row r="247" spans="3:21" s="9" customFormat="1" ht="0.5" customHeight="1">
      <c r="C247" s="9" t="s">
        <v>36</v>
      </c>
      <c r="D247" s="9" t="str">
        <f t="shared" si="37"/>
        <v>Argentina47</v>
      </c>
      <c r="E247" s="398">
        <v>47</v>
      </c>
      <c r="F247" s="399">
        <v>109.67986000000001</v>
      </c>
      <c r="G247" s="36">
        <v>57.700034000000002</v>
      </c>
      <c r="H247" s="36">
        <v>66.528435999999999</v>
      </c>
      <c r="I247" s="393">
        <v>139.56711999999999</v>
      </c>
      <c r="J247" s="399">
        <v>163.26602</v>
      </c>
      <c r="K247" s="36">
        <v>91.982828999999995</v>
      </c>
      <c r="L247" s="36">
        <v>117.08114</v>
      </c>
      <c r="M247" s="393">
        <v>223.37782000000001</v>
      </c>
      <c r="N247" s="399">
        <v>75.863658999999998</v>
      </c>
      <c r="O247" s="36">
        <v>30.899277000000001</v>
      </c>
      <c r="P247" s="36">
        <v>43.55339</v>
      </c>
      <c r="Q247" s="393">
        <v>87.146465000000006</v>
      </c>
      <c r="R247" s="399">
        <v>117.55126</v>
      </c>
      <c r="S247" s="36">
        <v>49.886609</v>
      </c>
      <c r="T247" s="36">
        <v>82.904218999999998</v>
      </c>
      <c r="U247" s="393">
        <v>159.27517</v>
      </c>
    </row>
    <row r="248" spans="3:21" s="9" customFormat="1" ht="0.5" customHeight="1">
      <c r="C248" s="9" t="s">
        <v>36</v>
      </c>
      <c r="D248" s="9" t="str">
        <f t="shared" si="37"/>
        <v>Argentina47.5</v>
      </c>
      <c r="E248" s="398">
        <v>47.5</v>
      </c>
      <c r="F248" s="399">
        <v>109.59784000000001</v>
      </c>
      <c r="G248" s="36">
        <v>57.639037999999999</v>
      </c>
      <c r="H248" s="36">
        <v>66.632110999999995</v>
      </c>
      <c r="I248" s="393">
        <v>140.00512000000001</v>
      </c>
      <c r="J248" s="399">
        <v>163.75574</v>
      </c>
      <c r="K248" s="36">
        <v>91.942142000000004</v>
      </c>
      <c r="L248" s="36">
        <v>117.44337</v>
      </c>
      <c r="M248" s="393">
        <v>224.20551</v>
      </c>
      <c r="N248" s="399">
        <v>75.955295000000007</v>
      </c>
      <c r="O248" s="36">
        <v>30.985226000000001</v>
      </c>
      <c r="P248" s="36">
        <v>43.580801000000001</v>
      </c>
      <c r="Q248" s="393">
        <v>87.619714000000002</v>
      </c>
      <c r="R248" s="399">
        <v>117.85039999999999</v>
      </c>
      <c r="S248" s="36">
        <v>49.873804999999997</v>
      </c>
      <c r="T248" s="36">
        <v>83.403852000000001</v>
      </c>
      <c r="U248" s="393">
        <v>160.17358999999999</v>
      </c>
    </row>
    <row r="249" spans="3:21" s="9" customFormat="1" ht="0.5" customHeight="1">
      <c r="C249" s="9" t="s">
        <v>36</v>
      </c>
      <c r="D249" s="9" t="str">
        <f t="shared" si="37"/>
        <v>Argentina48</v>
      </c>
      <c r="E249" s="398">
        <v>48</v>
      </c>
      <c r="F249" s="399">
        <v>109.51931999999999</v>
      </c>
      <c r="G249" s="36">
        <v>57.578682000000001</v>
      </c>
      <c r="H249" s="36">
        <v>66.734864000000002</v>
      </c>
      <c r="I249" s="393">
        <v>140.36094</v>
      </c>
      <c r="J249" s="399">
        <v>164.24743000000001</v>
      </c>
      <c r="K249" s="36">
        <v>91.906445000000005</v>
      </c>
      <c r="L249" s="36">
        <v>117.96856</v>
      </c>
      <c r="M249" s="393">
        <v>224.84405000000001</v>
      </c>
      <c r="N249" s="399">
        <v>75.980397999999994</v>
      </c>
      <c r="O249" s="36">
        <v>31.070474000000001</v>
      </c>
      <c r="P249" s="36">
        <v>43.602958999999998</v>
      </c>
      <c r="Q249" s="393">
        <v>88.633587000000006</v>
      </c>
      <c r="R249" s="399">
        <v>118.17901000000001</v>
      </c>
      <c r="S249" s="36">
        <v>50.020110000000003</v>
      </c>
      <c r="T249" s="36">
        <v>83.743622000000002</v>
      </c>
      <c r="U249" s="393">
        <v>161.01478</v>
      </c>
    </row>
    <row r="250" spans="3:21" s="9" customFormat="1" ht="0.5" customHeight="1">
      <c r="C250" s="9" t="s">
        <v>36</v>
      </c>
      <c r="D250" s="9" t="str">
        <f t="shared" si="37"/>
        <v>Argentina48.5</v>
      </c>
      <c r="E250" s="398">
        <v>48.5</v>
      </c>
      <c r="F250" s="399">
        <v>109.30580999999999</v>
      </c>
      <c r="G250" s="36">
        <v>57.497650999999998</v>
      </c>
      <c r="H250" s="36">
        <v>66.800245000000004</v>
      </c>
      <c r="I250" s="393">
        <v>140.41015999999999</v>
      </c>
      <c r="J250" s="399">
        <v>164.54477</v>
      </c>
      <c r="K250" s="36">
        <v>91.862662999999998</v>
      </c>
      <c r="L250" s="36">
        <v>118.49514000000001</v>
      </c>
      <c r="M250" s="393">
        <v>225.34206</v>
      </c>
      <c r="N250" s="399">
        <v>75.976646000000002</v>
      </c>
      <c r="O250" s="36">
        <v>31.135624</v>
      </c>
      <c r="P250" s="36">
        <v>43.624372000000001</v>
      </c>
      <c r="Q250" s="393">
        <v>89.799723</v>
      </c>
      <c r="R250" s="399">
        <v>118.51715</v>
      </c>
      <c r="S250" s="36">
        <v>50.170668999999997</v>
      </c>
      <c r="T250" s="36">
        <v>83.958528999999999</v>
      </c>
      <c r="U250" s="393">
        <v>161.50885</v>
      </c>
    </row>
    <row r="251" spans="3:21" s="9" customFormat="1" ht="0.5" customHeight="1">
      <c r="C251" s="9" t="s">
        <v>36</v>
      </c>
      <c r="D251" s="9" t="str">
        <f t="shared" ref="D251:D314" si="38">CONCATENATE(C251,E251)</f>
        <v>Argentina49</v>
      </c>
      <c r="E251" s="398">
        <v>49</v>
      </c>
      <c r="F251" s="399">
        <v>109.07791</v>
      </c>
      <c r="G251" s="36">
        <v>57.411968000000002</v>
      </c>
      <c r="H251" s="36">
        <v>66.875394</v>
      </c>
      <c r="I251" s="393">
        <v>140.49350000000001</v>
      </c>
      <c r="J251" s="399">
        <v>164.83573000000001</v>
      </c>
      <c r="K251" s="36">
        <v>91.839820000000003</v>
      </c>
      <c r="L251" s="36">
        <v>118.57778</v>
      </c>
      <c r="M251" s="393">
        <v>225.845</v>
      </c>
      <c r="N251" s="399">
        <v>75.947723999999994</v>
      </c>
      <c r="O251" s="36">
        <v>31.191989</v>
      </c>
      <c r="P251" s="36">
        <v>43.596418</v>
      </c>
      <c r="Q251" s="393">
        <v>90.998036999999997</v>
      </c>
      <c r="R251" s="399">
        <v>118.85786</v>
      </c>
      <c r="S251" s="36">
        <v>50.487059000000002</v>
      </c>
      <c r="T251" s="36">
        <v>84.057619000000003</v>
      </c>
      <c r="U251" s="393">
        <v>161.85154</v>
      </c>
    </row>
    <row r="252" spans="3:21" s="9" customFormat="1" ht="0.5" customHeight="1">
      <c r="C252" s="9" t="s">
        <v>36</v>
      </c>
      <c r="D252" s="9" t="str">
        <f t="shared" si="38"/>
        <v>Argentina49.5</v>
      </c>
      <c r="E252" s="398">
        <v>49.5</v>
      </c>
      <c r="F252" s="399">
        <v>108.75172000000001</v>
      </c>
      <c r="G252" s="36">
        <v>57.343845999999999</v>
      </c>
      <c r="H252" s="36">
        <v>66.867251999999993</v>
      </c>
      <c r="I252" s="393">
        <v>140.41932</v>
      </c>
      <c r="J252" s="399">
        <v>165.19702000000001</v>
      </c>
      <c r="K252" s="36">
        <v>91.941913</v>
      </c>
      <c r="L252" s="36">
        <v>118.65867</v>
      </c>
      <c r="M252" s="393">
        <v>226.37878000000001</v>
      </c>
      <c r="N252" s="399">
        <v>75.891124000000005</v>
      </c>
      <c r="O252" s="36">
        <v>31.182986</v>
      </c>
      <c r="P252" s="36">
        <v>43.560814999999998</v>
      </c>
      <c r="Q252" s="393">
        <v>92.192030000000003</v>
      </c>
      <c r="R252" s="399">
        <v>119.22878</v>
      </c>
      <c r="S252" s="36">
        <v>50.798395999999997</v>
      </c>
      <c r="T252" s="36">
        <v>84.045880999999994</v>
      </c>
      <c r="U252" s="393">
        <v>161.98616000000001</v>
      </c>
    </row>
    <row r="253" spans="3:21" s="9" customFormat="1" ht="0.5" customHeight="1">
      <c r="C253" s="9" t="s">
        <v>36</v>
      </c>
      <c r="D253" s="9" t="str">
        <f t="shared" si="38"/>
        <v>Argentina50</v>
      </c>
      <c r="E253" s="398">
        <v>50</v>
      </c>
      <c r="F253" s="399">
        <v>108.42381</v>
      </c>
      <c r="G253" s="36">
        <v>57.278395000000003</v>
      </c>
      <c r="H253" s="36">
        <v>66.869786000000005</v>
      </c>
      <c r="I253" s="393">
        <v>140.31299000000001</v>
      </c>
      <c r="J253" s="399">
        <v>165.53478999999999</v>
      </c>
      <c r="K253" s="36">
        <v>92.081885999999997</v>
      </c>
      <c r="L253" s="36">
        <v>118.79405</v>
      </c>
      <c r="M253" s="393">
        <v>226.79193000000001</v>
      </c>
      <c r="N253" s="399">
        <v>75.705689000000007</v>
      </c>
      <c r="O253" s="36">
        <v>31.161897</v>
      </c>
      <c r="P253" s="36">
        <v>43.514131999999996</v>
      </c>
      <c r="Q253" s="393">
        <v>92.859296999999998</v>
      </c>
      <c r="R253" s="399">
        <v>119.62491</v>
      </c>
      <c r="S253" s="36">
        <v>51.107216000000001</v>
      </c>
      <c r="T253" s="36">
        <v>83.739147000000003</v>
      </c>
      <c r="U253" s="393">
        <v>162.03428</v>
      </c>
    </row>
    <row r="254" spans="3:21" s="9" customFormat="1" ht="0.5" customHeight="1">
      <c r="C254" s="9" t="s">
        <v>36</v>
      </c>
      <c r="D254" s="9" t="str">
        <f t="shared" si="38"/>
        <v>Argentina50.5</v>
      </c>
      <c r="E254" s="398">
        <v>50.5</v>
      </c>
      <c r="F254" s="399">
        <v>108.13995</v>
      </c>
      <c r="G254" s="36">
        <v>57.158785000000002</v>
      </c>
      <c r="H254" s="36">
        <v>66.686750000000004</v>
      </c>
      <c r="I254" s="393">
        <v>139.95265000000001</v>
      </c>
      <c r="J254" s="399">
        <v>165.96986000000001</v>
      </c>
      <c r="K254" s="36">
        <v>92.393348000000003</v>
      </c>
      <c r="L254" s="36">
        <v>118.9254</v>
      </c>
      <c r="M254" s="393">
        <v>227.10615000000001</v>
      </c>
      <c r="N254" s="399">
        <v>75.484515000000002</v>
      </c>
      <c r="O254" s="36">
        <v>31.098911999999999</v>
      </c>
      <c r="P254" s="36">
        <v>43.469098000000002</v>
      </c>
      <c r="Q254" s="393">
        <v>93.353262000000001</v>
      </c>
      <c r="R254" s="399">
        <v>120.02023</v>
      </c>
      <c r="S254" s="36">
        <v>51.405723000000002</v>
      </c>
      <c r="T254" s="36">
        <v>83.316417000000001</v>
      </c>
      <c r="U254" s="393">
        <v>161.16058000000001</v>
      </c>
    </row>
    <row r="255" spans="3:21" s="9" customFormat="1" ht="0.5" customHeight="1">
      <c r="C255" s="9" t="s">
        <v>36</v>
      </c>
      <c r="D255" s="9" t="str">
        <f t="shared" si="38"/>
        <v>Argentina51</v>
      </c>
      <c r="E255" s="398">
        <v>51</v>
      </c>
      <c r="F255" s="399">
        <v>107.86717</v>
      </c>
      <c r="G255" s="36">
        <v>57.028771999999996</v>
      </c>
      <c r="H255" s="36">
        <v>66.50797</v>
      </c>
      <c r="I255" s="393">
        <v>139.58488</v>
      </c>
      <c r="J255" s="399">
        <v>166.40692000000001</v>
      </c>
      <c r="K255" s="36">
        <v>92.628431000000006</v>
      </c>
      <c r="L255" s="36">
        <v>119.19276000000001</v>
      </c>
      <c r="M255" s="393">
        <v>227.28448</v>
      </c>
      <c r="N255" s="399">
        <v>75.152174000000002</v>
      </c>
      <c r="O255" s="36">
        <v>31.030135999999999</v>
      </c>
      <c r="P255" s="36">
        <v>43.433895</v>
      </c>
      <c r="Q255" s="393">
        <v>93.643213000000003</v>
      </c>
      <c r="R255" s="399">
        <v>120.42565</v>
      </c>
      <c r="S255" s="36">
        <v>51.505395999999998</v>
      </c>
      <c r="T255" s="36">
        <v>82.818066999999999</v>
      </c>
      <c r="U255" s="393">
        <v>159.95322999999999</v>
      </c>
    </row>
    <row r="256" spans="3:21" s="9" customFormat="1" ht="0.5" customHeight="1">
      <c r="C256" s="9" t="s">
        <v>36</v>
      </c>
      <c r="D256" s="9" t="str">
        <f t="shared" si="38"/>
        <v>Argentina51.5</v>
      </c>
      <c r="E256" s="398">
        <v>51.5</v>
      </c>
      <c r="F256" s="399">
        <v>107.68147999999999</v>
      </c>
      <c r="G256" s="36">
        <v>56.744138</v>
      </c>
      <c r="H256" s="36">
        <v>66.243549999999999</v>
      </c>
      <c r="I256" s="393">
        <v>138.89430999999999</v>
      </c>
      <c r="J256" s="399">
        <v>166.70555999999999</v>
      </c>
      <c r="K256" s="36">
        <v>92.798061000000004</v>
      </c>
      <c r="L256" s="36">
        <v>119.45372</v>
      </c>
      <c r="M256" s="393">
        <v>227.45707999999999</v>
      </c>
      <c r="N256" s="399">
        <v>74.790599</v>
      </c>
      <c r="O256" s="36">
        <v>30.936693000000002</v>
      </c>
      <c r="P256" s="36">
        <v>43.404833000000004</v>
      </c>
      <c r="Q256" s="393">
        <v>93.849738000000002</v>
      </c>
      <c r="R256" s="399">
        <v>120.86072</v>
      </c>
      <c r="S256" s="36">
        <v>51.611573999999997</v>
      </c>
      <c r="T256" s="36">
        <v>82.327089999999998</v>
      </c>
      <c r="U256" s="393">
        <v>158.48375999999999</v>
      </c>
    </row>
    <row r="257" spans="3:21" s="9" customFormat="1" ht="0.5" customHeight="1">
      <c r="C257" s="9" t="s">
        <v>36</v>
      </c>
      <c r="D257" s="9" t="str">
        <f t="shared" si="38"/>
        <v>Argentina52</v>
      </c>
      <c r="E257" s="398">
        <v>52</v>
      </c>
      <c r="F257" s="399">
        <v>107.49383</v>
      </c>
      <c r="G257" s="36">
        <v>56.451411999999998</v>
      </c>
      <c r="H257" s="36">
        <v>65.983051000000003</v>
      </c>
      <c r="I257" s="393">
        <v>138.11365000000001</v>
      </c>
      <c r="J257" s="399">
        <v>167.00949</v>
      </c>
      <c r="K257" s="36">
        <v>93.011650000000003</v>
      </c>
      <c r="L257" s="36">
        <v>119.78993</v>
      </c>
      <c r="M257" s="393">
        <v>227.63022000000001</v>
      </c>
      <c r="N257" s="399">
        <v>74.379693000000003</v>
      </c>
      <c r="O257" s="36">
        <v>30.832111999999999</v>
      </c>
      <c r="P257" s="36">
        <v>43.384276</v>
      </c>
      <c r="Q257" s="393">
        <v>93.595628000000005</v>
      </c>
      <c r="R257" s="399">
        <v>121.27839</v>
      </c>
      <c r="S257" s="36">
        <v>51.763984000000001</v>
      </c>
      <c r="T257" s="36">
        <v>81.758410999999995</v>
      </c>
      <c r="U257" s="393">
        <v>156.99030999999999</v>
      </c>
    </row>
    <row r="258" spans="3:21" s="9" customFormat="1" ht="0.5" customHeight="1">
      <c r="C258" s="9" t="s">
        <v>36</v>
      </c>
      <c r="D258" s="9" t="str">
        <f t="shared" si="38"/>
        <v>Argentina52.5</v>
      </c>
      <c r="E258" s="398">
        <v>52.5</v>
      </c>
      <c r="F258" s="399">
        <v>107.28277</v>
      </c>
      <c r="G258" s="36">
        <v>56.145502</v>
      </c>
      <c r="H258" s="36">
        <v>65.669452000000007</v>
      </c>
      <c r="I258" s="393">
        <v>137.16793000000001</v>
      </c>
      <c r="J258" s="399">
        <v>167.35766000000001</v>
      </c>
      <c r="K258" s="36">
        <v>93.321033</v>
      </c>
      <c r="L258" s="36">
        <v>120.14211</v>
      </c>
      <c r="M258" s="393">
        <v>227.82767000000001</v>
      </c>
      <c r="N258" s="399">
        <v>73.919949000000003</v>
      </c>
      <c r="O258" s="36">
        <v>30.700424000000002</v>
      </c>
      <c r="P258" s="36">
        <v>43.367325000000001</v>
      </c>
      <c r="Q258" s="393">
        <v>92.965087999999994</v>
      </c>
      <c r="R258" s="399">
        <v>121.66433000000001</v>
      </c>
      <c r="S258" s="36">
        <v>51.936922000000003</v>
      </c>
      <c r="T258" s="36">
        <v>81.222369999999998</v>
      </c>
      <c r="U258" s="393">
        <v>155.35269</v>
      </c>
    </row>
    <row r="259" spans="3:21" s="9" customFormat="1" ht="0.5" customHeight="1">
      <c r="C259" s="9" t="s">
        <v>36</v>
      </c>
      <c r="D259" s="9" t="str">
        <f t="shared" si="38"/>
        <v>Argentina53</v>
      </c>
      <c r="E259" s="398">
        <v>53</v>
      </c>
      <c r="F259" s="399">
        <v>107.09359000000001</v>
      </c>
      <c r="G259" s="36">
        <v>55.835115000000002</v>
      </c>
      <c r="H259" s="36">
        <v>65.359756000000004</v>
      </c>
      <c r="I259" s="393">
        <v>136.00998999999999</v>
      </c>
      <c r="J259" s="399">
        <v>167.66482999999999</v>
      </c>
      <c r="K259" s="36">
        <v>93.587351999999996</v>
      </c>
      <c r="L259" s="36">
        <v>120.54139000000001</v>
      </c>
      <c r="M259" s="393">
        <v>228.05873</v>
      </c>
      <c r="N259" s="399">
        <v>73.364420999999993</v>
      </c>
      <c r="O259" s="36">
        <v>30.542349999999999</v>
      </c>
      <c r="P259" s="36">
        <v>43.343556999999997</v>
      </c>
      <c r="Q259" s="393">
        <v>91.716634999999997</v>
      </c>
      <c r="R259" s="399">
        <v>121.90774999999999</v>
      </c>
      <c r="S259" s="36">
        <v>51.855386000000003</v>
      </c>
      <c r="T259" s="36">
        <v>80.755450999999994</v>
      </c>
      <c r="U259" s="393">
        <v>153.18973</v>
      </c>
    </row>
    <row r="260" spans="3:21" s="9" customFormat="1" ht="0.5" customHeight="1">
      <c r="C260" s="9" t="s">
        <v>36</v>
      </c>
      <c r="D260" s="9" t="str">
        <f t="shared" si="38"/>
        <v>Argentina53.5</v>
      </c>
      <c r="E260" s="398">
        <v>53.5</v>
      </c>
      <c r="F260" s="399">
        <v>106.95243000000001</v>
      </c>
      <c r="G260" s="36">
        <v>55.522179999999999</v>
      </c>
      <c r="H260" s="36">
        <v>65.066201000000007</v>
      </c>
      <c r="I260" s="393">
        <v>134.59566000000001</v>
      </c>
      <c r="J260" s="399">
        <v>167.85526999999999</v>
      </c>
      <c r="K260" s="36">
        <v>93.724158000000003</v>
      </c>
      <c r="L260" s="36">
        <v>121.02858000000001</v>
      </c>
      <c r="M260" s="393">
        <v>228.33386999999999</v>
      </c>
      <c r="N260" s="399">
        <v>72.738234000000006</v>
      </c>
      <c r="O260" s="36">
        <v>30.346291000000001</v>
      </c>
      <c r="P260" s="36">
        <v>43.299860000000002</v>
      </c>
      <c r="Q260" s="393">
        <v>90.174436999999998</v>
      </c>
      <c r="R260" s="399">
        <v>121.91779</v>
      </c>
      <c r="S260" s="36">
        <v>51.656010000000002</v>
      </c>
      <c r="T260" s="36">
        <v>80.395848999999998</v>
      </c>
      <c r="U260" s="393">
        <v>150.45366999999999</v>
      </c>
    </row>
    <row r="261" spans="3:21" s="9" customFormat="1" ht="0.5" customHeight="1">
      <c r="C261" s="9" t="s">
        <v>36</v>
      </c>
      <c r="D261" s="9" t="str">
        <f t="shared" si="38"/>
        <v>Argentina54</v>
      </c>
      <c r="E261" s="398">
        <v>54</v>
      </c>
      <c r="F261" s="399">
        <v>106.8476</v>
      </c>
      <c r="G261" s="36">
        <v>55.234515000000002</v>
      </c>
      <c r="H261" s="36">
        <v>64.716328000000004</v>
      </c>
      <c r="I261" s="393">
        <v>133.12294</v>
      </c>
      <c r="J261" s="399">
        <v>167.81682000000001</v>
      </c>
      <c r="K261" s="36">
        <v>93.830619999999996</v>
      </c>
      <c r="L261" s="36">
        <v>121.5552</v>
      </c>
      <c r="M261" s="393">
        <v>228.65273999999999</v>
      </c>
      <c r="N261" s="399">
        <v>72.027084000000002</v>
      </c>
      <c r="O261" s="36">
        <v>30.098212</v>
      </c>
      <c r="P261" s="36">
        <v>43.274507</v>
      </c>
      <c r="Q261" s="393">
        <v>88.738071000000005</v>
      </c>
      <c r="R261" s="399">
        <v>121.72007000000001</v>
      </c>
      <c r="S261" s="36">
        <v>51.213715999999998</v>
      </c>
      <c r="T261" s="36">
        <v>80.079459</v>
      </c>
      <c r="U261" s="393">
        <v>146.95862</v>
      </c>
    </row>
    <row r="262" spans="3:21" s="9" customFormat="1" ht="0.5" customHeight="1">
      <c r="C262" s="9" t="s">
        <v>36</v>
      </c>
      <c r="D262" s="9" t="str">
        <f t="shared" si="38"/>
        <v>Argentina54.5</v>
      </c>
      <c r="E262" s="398">
        <v>54.5</v>
      </c>
      <c r="F262" s="399">
        <v>106.85562</v>
      </c>
      <c r="G262" s="36">
        <v>54.916825000000003</v>
      </c>
      <c r="H262" s="36">
        <v>64.357491999999993</v>
      </c>
      <c r="I262" s="393">
        <v>131.93915999999999</v>
      </c>
      <c r="J262" s="399">
        <v>167.65928</v>
      </c>
      <c r="K262" s="36">
        <v>93.660182000000006</v>
      </c>
      <c r="L262" s="36">
        <v>122.01258</v>
      </c>
      <c r="M262" s="393">
        <v>229.18634</v>
      </c>
      <c r="N262" s="399">
        <v>71.223696000000004</v>
      </c>
      <c r="O262" s="36">
        <v>29.857057000000001</v>
      </c>
      <c r="P262" s="36">
        <v>43.274090999999999</v>
      </c>
      <c r="Q262" s="393">
        <v>88.138079000000005</v>
      </c>
      <c r="R262" s="399">
        <v>121.50837</v>
      </c>
      <c r="S262" s="36">
        <v>50.709409999999998</v>
      </c>
      <c r="T262" s="36">
        <v>79.824150000000003</v>
      </c>
      <c r="U262" s="393">
        <v>142.73308</v>
      </c>
    </row>
    <row r="263" spans="3:21" s="9" customFormat="1" ht="0.5" customHeight="1">
      <c r="C263" s="9" t="s">
        <v>36</v>
      </c>
      <c r="D263" s="9" t="str">
        <f t="shared" si="38"/>
        <v>Argentina55</v>
      </c>
      <c r="E263" s="398">
        <v>55</v>
      </c>
      <c r="F263" s="399">
        <v>107.17812000000001</v>
      </c>
      <c r="G263" s="36">
        <v>54.465975</v>
      </c>
      <c r="H263" s="36">
        <v>64.045750999999996</v>
      </c>
      <c r="I263" s="393">
        <v>131.55356</v>
      </c>
      <c r="J263" s="399">
        <v>167.37192999999999</v>
      </c>
      <c r="K263" s="36">
        <v>92.521137999999993</v>
      </c>
      <c r="L263" s="36">
        <v>122.65886999999999</v>
      </c>
      <c r="M263" s="393">
        <v>230.38938999999999</v>
      </c>
      <c r="N263" s="399">
        <v>70.579982999999999</v>
      </c>
      <c r="O263" s="36">
        <v>29.610571</v>
      </c>
      <c r="P263" s="36">
        <v>43.320763999999997</v>
      </c>
      <c r="Q263" s="393">
        <v>87.296477999999993</v>
      </c>
      <c r="R263" s="399">
        <v>121.34818</v>
      </c>
      <c r="S263" s="36">
        <v>50.340041999999997</v>
      </c>
      <c r="T263" s="36">
        <v>79.988797000000005</v>
      </c>
      <c r="U263" s="393">
        <v>137.09732</v>
      </c>
    </row>
    <row r="264" spans="3:21" s="9" customFormat="1" ht="0.5" customHeight="1">
      <c r="C264" s="9" t="s">
        <v>40</v>
      </c>
      <c r="D264" s="9" t="str">
        <f t="shared" si="38"/>
        <v>Brazil20</v>
      </c>
      <c r="E264" s="398">
        <v>20</v>
      </c>
      <c r="F264" s="399">
        <v>55.052557999999998</v>
      </c>
      <c r="G264" s="36">
        <v>38.490487999999999</v>
      </c>
      <c r="H264" s="36">
        <v>48.368411000000002</v>
      </c>
      <c r="I264" s="393">
        <v>143.91271</v>
      </c>
      <c r="J264" s="399">
        <v>75.076446000000004</v>
      </c>
      <c r="K264" s="36">
        <v>58.839737</v>
      </c>
      <c r="L264" s="36">
        <v>75.725115000000002</v>
      </c>
      <c r="M264" s="393">
        <v>177.86717999999999</v>
      </c>
      <c r="N264" s="399">
        <v>48.462837999999998</v>
      </c>
      <c r="O264" s="36">
        <v>26.601400999999999</v>
      </c>
      <c r="P264" s="36">
        <v>30.326979999999999</v>
      </c>
      <c r="Q264" s="393">
        <v>102.85525</v>
      </c>
      <c r="R264" s="399">
        <v>61.546104999999997</v>
      </c>
      <c r="S264" s="36">
        <v>40.714517000000001</v>
      </c>
      <c r="T264" s="36">
        <v>47.850385000000003</v>
      </c>
      <c r="U264" s="393">
        <v>147.63589999999999</v>
      </c>
    </row>
    <row r="265" spans="3:21" s="9" customFormat="1" ht="0.5" customHeight="1">
      <c r="C265" s="9" t="s">
        <v>40</v>
      </c>
      <c r="D265" s="9" t="str">
        <f t="shared" si="38"/>
        <v>Brazil20.5</v>
      </c>
      <c r="E265" s="398">
        <v>20.5</v>
      </c>
      <c r="F265" s="399">
        <v>56.366504999999997</v>
      </c>
      <c r="G265" s="36">
        <v>39.295650000000002</v>
      </c>
      <c r="H265" s="36">
        <v>49.755025000000003</v>
      </c>
      <c r="I265" s="393">
        <v>143.83959999999999</v>
      </c>
      <c r="J265" s="399">
        <v>78.420483000000004</v>
      </c>
      <c r="K265" s="36">
        <v>60.931255999999998</v>
      </c>
      <c r="L265" s="36">
        <v>79.932492999999994</v>
      </c>
      <c r="M265" s="393">
        <v>188.34780000000001</v>
      </c>
      <c r="N265" s="399">
        <v>48.748787</v>
      </c>
      <c r="O265" s="36">
        <v>27.020133999999999</v>
      </c>
      <c r="P265" s="36">
        <v>30.900243</v>
      </c>
      <c r="Q265" s="393">
        <v>102.96569</v>
      </c>
      <c r="R265" s="399">
        <v>63.809837999999999</v>
      </c>
      <c r="S265" s="36">
        <v>41.807282000000001</v>
      </c>
      <c r="T265" s="36">
        <v>51.558346</v>
      </c>
      <c r="U265" s="393">
        <v>154.44668999999999</v>
      </c>
    </row>
    <row r="266" spans="3:21" s="9" customFormat="1" ht="0.5" customHeight="1">
      <c r="C266" s="9" t="s">
        <v>40</v>
      </c>
      <c r="D266" s="9" t="str">
        <f t="shared" si="38"/>
        <v>Brazil21</v>
      </c>
      <c r="E266" s="398">
        <v>21</v>
      </c>
      <c r="F266" s="399">
        <v>57.654505999999998</v>
      </c>
      <c r="G266" s="36">
        <v>40.076189999999997</v>
      </c>
      <c r="H266" s="36">
        <v>51.302441000000002</v>
      </c>
      <c r="I266" s="393">
        <v>144.62992</v>
      </c>
      <c r="J266" s="399">
        <v>82.003741000000005</v>
      </c>
      <c r="K266" s="36">
        <v>63.345554</v>
      </c>
      <c r="L266" s="36">
        <v>84.449697</v>
      </c>
      <c r="M266" s="393">
        <v>197.78013999999999</v>
      </c>
      <c r="N266" s="399">
        <v>49.067712999999998</v>
      </c>
      <c r="O266" s="36">
        <v>27.388355000000001</v>
      </c>
      <c r="P266" s="36">
        <v>31.387445</v>
      </c>
      <c r="Q266" s="393">
        <v>104.16398</v>
      </c>
      <c r="R266" s="399">
        <v>66.329920999999999</v>
      </c>
      <c r="S266" s="36">
        <v>42.973993</v>
      </c>
      <c r="T266" s="36">
        <v>55.269641999999997</v>
      </c>
      <c r="U266" s="393">
        <v>160.36081999999999</v>
      </c>
    </row>
    <row r="267" spans="3:21" s="9" customFormat="1" ht="0.5" customHeight="1">
      <c r="C267" s="9" t="s">
        <v>40</v>
      </c>
      <c r="D267" s="9" t="str">
        <f t="shared" si="38"/>
        <v>Brazil21.5</v>
      </c>
      <c r="E267" s="398">
        <v>21.5</v>
      </c>
      <c r="F267" s="399">
        <v>58.918675</v>
      </c>
      <c r="G267" s="36">
        <v>40.819116999999999</v>
      </c>
      <c r="H267" s="36">
        <v>52.776411000000003</v>
      </c>
      <c r="I267" s="393">
        <v>145.33149</v>
      </c>
      <c r="J267" s="399">
        <v>85.802773999999999</v>
      </c>
      <c r="K267" s="36">
        <v>65.934490999999994</v>
      </c>
      <c r="L267" s="36">
        <v>88.884832000000003</v>
      </c>
      <c r="M267" s="393">
        <v>206.78031999999999</v>
      </c>
      <c r="N267" s="399">
        <v>49.390631999999997</v>
      </c>
      <c r="O267" s="36">
        <v>27.722541</v>
      </c>
      <c r="P267" s="36">
        <v>31.920933999999999</v>
      </c>
      <c r="Q267" s="393">
        <v>105.61490000000001</v>
      </c>
      <c r="R267" s="399">
        <v>69.043937</v>
      </c>
      <c r="S267" s="36">
        <v>44.296425999999997</v>
      </c>
      <c r="T267" s="36">
        <v>59.411782000000002</v>
      </c>
      <c r="U267" s="393">
        <v>166.19370000000001</v>
      </c>
    </row>
    <row r="268" spans="3:21" s="9" customFormat="1" ht="0.5" customHeight="1">
      <c r="C268" s="9" t="s">
        <v>40</v>
      </c>
      <c r="D268" s="9" t="str">
        <f t="shared" si="38"/>
        <v>Brazil22</v>
      </c>
      <c r="E268" s="398">
        <v>22</v>
      </c>
      <c r="F268" s="399">
        <v>60.150357</v>
      </c>
      <c r="G268" s="36">
        <v>41.495902000000001</v>
      </c>
      <c r="H268" s="36">
        <v>54.142986000000001</v>
      </c>
      <c r="I268" s="393">
        <v>146.66598999999999</v>
      </c>
      <c r="J268" s="399">
        <v>89.764300000000006</v>
      </c>
      <c r="K268" s="36">
        <v>68.691796999999994</v>
      </c>
      <c r="L268" s="36">
        <v>93.278402</v>
      </c>
      <c r="M268" s="393">
        <v>215.15368000000001</v>
      </c>
      <c r="N268" s="399">
        <v>49.704835000000003</v>
      </c>
      <c r="O268" s="36">
        <v>28.020710999999999</v>
      </c>
      <c r="P268" s="36">
        <v>32.487265999999998</v>
      </c>
      <c r="Q268" s="393">
        <v>107.01072000000001</v>
      </c>
      <c r="R268" s="399">
        <v>71.908372</v>
      </c>
      <c r="S268" s="36">
        <v>45.694645000000001</v>
      </c>
      <c r="T268" s="36">
        <v>63.560968000000003</v>
      </c>
      <c r="U268" s="393">
        <v>171.25593000000001</v>
      </c>
    </row>
    <row r="269" spans="3:21" s="9" customFormat="1" ht="0.5" customHeight="1">
      <c r="C269" s="9" t="s">
        <v>40</v>
      </c>
      <c r="D269" s="9" t="str">
        <f t="shared" si="38"/>
        <v>Brazil22.5</v>
      </c>
      <c r="E269" s="398">
        <v>22.5</v>
      </c>
      <c r="F269" s="399">
        <v>61.361832</v>
      </c>
      <c r="G269" s="36">
        <v>42.153525000000002</v>
      </c>
      <c r="H269" s="36">
        <v>55.384514000000003</v>
      </c>
      <c r="I269" s="393">
        <v>148.25632999999999</v>
      </c>
      <c r="J269" s="399">
        <v>93.883938999999998</v>
      </c>
      <c r="K269" s="36">
        <v>71.578883000000005</v>
      </c>
      <c r="L269" s="36">
        <v>97.650631000000004</v>
      </c>
      <c r="M269" s="393">
        <v>223.15387000000001</v>
      </c>
      <c r="N269" s="399">
        <v>49.992724000000003</v>
      </c>
      <c r="O269" s="36">
        <v>28.288634999999999</v>
      </c>
      <c r="P269" s="36">
        <v>33.071454000000003</v>
      </c>
      <c r="Q269" s="393">
        <v>108.32919</v>
      </c>
      <c r="R269" s="399">
        <v>74.940690000000004</v>
      </c>
      <c r="S269" s="36">
        <v>47.120767000000001</v>
      </c>
      <c r="T269" s="36">
        <v>67.637156000000004</v>
      </c>
      <c r="U269" s="393">
        <v>176.11371</v>
      </c>
    </row>
    <row r="270" spans="3:21" s="9" customFormat="1" ht="0.5" customHeight="1">
      <c r="C270" s="9" t="s">
        <v>40</v>
      </c>
      <c r="D270" s="9" t="str">
        <f t="shared" si="38"/>
        <v>Brazil23</v>
      </c>
      <c r="E270" s="398">
        <v>23</v>
      </c>
      <c r="F270" s="399">
        <v>62.533940000000001</v>
      </c>
      <c r="G270" s="36">
        <v>42.737785000000002</v>
      </c>
      <c r="H270" s="36">
        <v>56.601067999999998</v>
      </c>
      <c r="I270" s="393">
        <v>150.01095000000001</v>
      </c>
      <c r="J270" s="399">
        <v>98.102638999999996</v>
      </c>
      <c r="K270" s="36">
        <v>74.519369999999995</v>
      </c>
      <c r="L270" s="36">
        <v>102.20780000000001</v>
      </c>
      <c r="M270" s="393">
        <v>230.98066</v>
      </c>
      <c r="N270" s="399">
        <v>50.268827000000002</v>
      </c>
      <c r="O270" s="36">
        <v>28.521463000000001</v>
      </c>
      <c r="P270" s="36">
        <v>33.649402000000002</v>
      </c>
      <c r="Q270" s="393">
        <v>109.64527</v>
      </c>
      <c r="R270" s="399">
        <v>78.015056000000001</v>
      </c>
      <c r="S270" s="36">
        <v>48.521422000000001</v>
      </c>
      <c r="T270" s="36">
        <v>71.464170999999993</v>
      </c>
      <c r="U270" s="393">
        <v>181.02610000000001</v>
      </c>
    </row>
    <row r="271" spans="3:21" s="9" customFormat="1" ht="0.5" customHeight="1">
      <c r="C271" s="9" t="s">
        <v>40</v>
      </c>
      <c r="D271" s="9" t="str">
        <f t="shared" si="38"/>
        <v>Brazil23.5</v>
      </c>
      <c r="E271" s="398">
        <v>23.5</v>
      </c>
      <c r="F271" s="399">
        <v>63.674112000000001</v>
      </c>
      <c r="G271" s="36">
        <v>43.332531000000003</v>
      </c>
      <c r="H271" s="36">
        <v>57.754316000000003</v>
      </c>
      <c r="I271" s="393">
        <v>151.82905</v>
      </c>
      <c r="J271" s="399">
        <v>102.38988999999999</v>
      </c>
      <c r="K271" s="36">
        <v>77.363067000000001</v>
      </c>
      <c r="L271" s="36">
        <v>106.83056000000001</v>
      </c>
      <c r="M271" s="393">
        <v>238.74779000000001</v>
      </c>
      <c r="N271" s="399">
        <v>50.522024000000002</v>
      </c>
      <c r="O271" s="36">
        <v>28.748066000000001</v>
      </c>
      <c r="P271" s="36">
        <v>34.215975</v>
      </c>
      <c r="Q271" s="393">
        <v>110.80525</v>
      </c>
      <c r="R271" s="399">
        <v>81.244865000000004</v>
      </c>
      <c r="S271" s="36">
        <v>49.923814</v>
      </c>
      <c r="T271" s="36">
        <v>75.264833999999993</v>
      </c>
      <c r="U271" s="393">
        <v>186.07311999999999</v>
      </c>
    </row>
    <row r="272" spans="3:21" s="9" customFormat="1" ht="0.5" customHeight="1">
      <c r="C272" s="9" t="s">
        <v>40</v>
      </c>
      <c r="D272" s="9" t="str">
        <f t="shared" si="38"/>
        <v>Brazil24</v>
      </c>
      <c r="E272" s="398">
        <v>24</v>
      </c>
      <c r="F272" s="399">
        <v>64.794963999999993</v>
      </c>
      <c r="G272" s="36">
        <v>43.818371999999997</v>
      </c>
      <c r="H272" s="36">
        <v>58.821387000000001</v>
      </c>
      <c r="I272" s="393">
        <v>153.84555</v>
      </c>
      <c r="J272" s="399">
        <v>106.69734</v>
      </c>
      <c r="K272" s="36">
        <v>80.205174</v>
      </c>
      <c r="L272" s="36">
        <v>111.56965</v>
      </c>
      <c r="M272" s="393">
        <v>246.43631999999999</v>
      </c>
      <c r="N272" s="399">
        <v>50.776667000000003</v>
      </c>
      <c r="O272" s="36">
        <v>28.937953</v>
      </c>
      <c r="P272" s="36">
        <v>34.75676</v>
      </c>
      <c r="Q272" s="393">
        <v>111.83042</v>
      </c>
      <c r="R272" s="399">
        <v>84.477304000000004</v>
      </c>
      <c r="S272" s="36">
        <v>51.263368</v>
      </c>
      <c r="T272" s="36">
        <v>78.651078999999996</v>
      </c>
      <c r="U272" s="393">
        <v>191.19627</v>
      </c>
    </row>
    <row r="273" spans="3:21" s="9" customFormat="1" ht="0.5" customHeight="1">
      <c r="C273" s="9" t="s">
        <v>40</v>
      </c>
      <c r="D273" s="9" t="str">
        <f t="shared" si="38"/>
        <v>Brazil24.5</v>
      </c>
      <c r="E273" s="398">
        <v>24.5</v>
      </c>
      <c r="F273" s="399">
        <v>65.896195000000006</v>
      </c>
      <c r="G273" s="36">
        <v>44.310384999999997</v>
      </c>
      <c r="H273" s="36">
        <v>59.813395999999997</v>
      </c>
      <c r="I273" s="393">
        <v>155.91936000000001</v>
      </c>
      <c r="J273" s="399">
        <v>111.10509</v>
      </c>
      <c r="K273" s="36">
        <v>83.018636999999998</v>
      </c>
      <c r="L273" s="36">
        <v>116.32472</v>
      </c>
      <c r="M273" s="393">
        <v>254.07541000000001</v>
      </c>
      <c r="N273" s="399">
        <v>51.035369000000003</v>
      </c>
      <c r="O273" s="36">
        <v>29.107140999999999</v>
      </c>
      <c r="P273" s="36">
        <v>35.261394000000003</v>
      </c>
      <c r="Q273" s="393">
        <v>112.89491</v>
      </c>
      <c r="R273" s="399">
        <v>87.710954999999998</v>
      </c>
      <c r="S273" s="36">
        <v>52.613590000000002</v>
      </c>
      <c r="T273" s="36">
        <v>82.002021999999997</v>
      </c>
      <c r="U273" s="393">
        <v>196.39718999999999</v>
      </c>
    </row>
    <row r="274" spans="3:21" s="9" customFormat="1" ht="0.5" customHeight="1">
      <c r="C274" s="9" t="s">
        <v>40</v>
      </c>
      <c r="D274" s="9" t="str">
        <f t="shared" si="38"/>
        <v>Brazil25</v>
      </c>
      <c r="E274" s="398">
        <v>25</v>
      </c>
      <c r="F274" s="399">
        <v>66.971722</v>
      </c>
      <c r="G274" s="36">
        <v>44.732081000000001</v>
      </c>
      <c r="H274" s="36">
        <v>60.814315999999998</v>
      </c>
      <c r="I274" s="393">
        <v>157.97671</v>
      </c>
      <c r="J274" s="399">
        <v>115.57532999999999</v>
      </c>
      <c r="K274" s="36">
        <v>85.831807999999995</v>
      </c>
      <c r="L274" s="36">
        <v>120.98499</v>
      </c>
      <c r="M274" s="393">
        <v>261.70636999999999</v>
      </c>
      <c r="N274" s="399">
        <v>51.290199999999999</v>
      </c>
      <c r="O274" s="36">
        <v>29.255941</v>
      </c>
      <c r="P274" s="36">
        <v>35.703817999999998</v>
      </c>
      <c r="Q274" s="393">
        <v>113.93568</v>
      </c>
      <c r="R274" s="399">
        <v>90.932693</v>
      </c>
      <c r="S274" s="36">
        <v>53.904730999999998</v>
      </c>
      <c r="T274" s="36">
        <v>84.729917</v>
      </c>
      <c r="U274" s="393">
        <v>201.71152000000001</v>
      </c>
    </row>
    <row r="275" spans="3:21" s="9" customFormat="1" ht="0.5" customHeight="1">
      <c r="C275" s="9" t="s">
        <v>40</v>
      </c>
      <c r="D275" s="9" t="str">
        <f t="shared" si="38"/>
        <v>Brazil25.5</v>
      </c>
      <c r="E275" s="398">
        <v>25.5</v>
      </c>
      <c r="F275" s="399">
        <v>67.997777999999997</v>
      </c>
      <c r="G275" s="36">
        <v>45.160663999999997</v>
      </c>
      <c r="H275" s="36">
        <v>61.785654000000001</v>
      </c>
      <c r="I275" s="393">
        <v>159.93016</v>
      </c>
      <c r="J275" s="399">
        <v>120.09272</v>
      </c>
      <c r="K275" s="36">
        <v>88.541408000000004</v>
      </c>
      <c r="L275" s="36">
        <v>125.59756</v>
      </c>
      <c r="M275" s="393">
        <v>269.37642</v>
      </c>
      <c r="N275" s="399">
        <v>51.485968999999997</v>
      </c>
      <c r="O275" s="36">
        <v>29.395382000000001</v>
      </c>
      <c r="P275" s="36">
        <v>36.165469000000002</v>
      </c>
      <c r="Q275" s="393">
        <v>114.83494</v>
      </c>
      <c r="R275" s="399">
        <v>93.927430000000001</v>
      </c>
      <c r="S275" s="36">
        <v>55.206499000000001</v>
      </c>
      <c r="T275" s="36">
        <v>87.454216000000002</v>
      </c>
      <c r="U275" s="393">
        <v>206.85073</v>
      </c>
    </row>
    <row r="276" spans="3:21" s="9" customFormat="1" ht="0.5" customHeight="1">
      <c r="C276" s="9" t="s">
        <v>40</v>
      </c>
      <c r="D276" s="9" t="str">
        <f t="shared" si="38"/>
        <v>Brazil26</v>
      </c>
      <c r="E276" s="398">
        <v>26</v>
      </c>
      <c r="F276" s="399">
        <v>68.980981</v>
      </c>
      <c r="G276" s="36">
        <v>45.539233000000003</v>
      </c>
      <c r="H276" s="36">
        <v>62.704783999999997</v>
      </c>
      <c r="I276" s="393">
        <v>161.83656999999999</v>
      </c>
      <c r="J276" s="399">
        <v>124.65076000000001</v>
      </c>
      <c r="K276" s="36">
        <v>91.234461999999994</v>
      </c>
      <c r="L276" s="36">
        <v>129.86492999999999</v>
      </c>
      <c r="M276" s="393">
        <v>277.14201000000003</v>
      </c>
      <c r="N276" s="399">
        <v>51.677733000000003</v>
      </c>
      <c r="O276" s="36">
        <v>29.542193999999999</v>
      </c>
      <c r="P276" s="36">
        <v>36.650013999999999</v>
      </c>
      <c r="Q276" s="393">
        <v>115.66246</v>
      </c>
      <c r="R276" s="399">
        <v>96.884827000000001</v>
      </c>
      <c r="S276" s="36">
        <v>56.334986999999998</v>
      </c>
      <c r="T276" s="36">
        <v>89.786125999999996</v>
      </c>
      <c r="U276" s="393">
        <v>211.92699999999999</v>
      </c>
    </row>
    <row r="277" spans="3:21" s="9" customFormat="1" ht="0.5" customHeight="1">
      <c r="C277" s="9" t="s">
        <v>40</v>
      </c>
      <c r="D277" s="9" t="str">
        <f t="shared" si="38"/>
        <v>Brazil26.5</v>
      </c>
      <c r="E277" s="398">
        <v>26.5</v>
      </c>
      <c r="F277" s="399">
        <v>69.924386999999996</v>
      </c>
      <c r="G277" s="36">
        <v>45.918112000000001</v>
      </c>
      <c r="H277" s="36">
        <v>63.695020999999997</v>
      </c>
      <c r="I277" s="393">
        <v>163.79299</v>
      </c>
      <c r="J277" s="399">
        <v>129.21405999999999</v>
      </c>
      <c r="K277" s="36">
        <v>93.848719000000003</v>
      </c>
      <c r="L277" s="36">
        <v>134.10541000000001</v>
      </c>
      <c r="M277" s="393">
        <v>284.78008</v>
      </c>
      <c r="N277" s="399">
        <v>51.837569999999999</v>
      </c>
      <c r="O277" s="36">
        <v>29.691378</v>
      </c>
      <c r="P277" s="36">
        <v>37.109217000000001</v>
      </c>
      <c r="Q277" s="393">
        <v>116.50937999999999</v>
      </c>
      <c r="R277" s="399">
        <v>99.551659999999998</v>
      </c>
      <c r="S277" s="36">
        <v>57.473953000000002</v>
      </c>
      <c r="T277" s="36">
        <v>92.127165000000005</v>
      </c>
      <c r="U277" s="393">
        <v>216.83018000000001</v>
      </c>
    </row>
    <row r="278" spans="3:21" s="9" customFormat="1" ht="0.5" customHeight="1">
      <c r="C278" s="9" t="s">
        <v>40</v>
      </c>
      <c r="D278" s="9" t="str">
        <f t="shared" si="38"/>
        <v>Brazil27</v>
      </c>
      <c r="E278" s="398">
        <v>27</v>
      </c>
      <c r="F278" s="399">
        <v>70.812638000000007</v>
      </c>
      <c r="G278" s="36">
        <v>46.242314</v>
      </c>
      <c r="H278" s="36">
        <v>64.682371000000003</v>
      </c>
      <c r="I278" s="393">
        <v>165.71786</v>
      </c>
      <c r="J278" s="399">
        <v>133.78285</v>
      </c>
      <c r="K278" s="36">
        <v>96.455844999999997</v>
      </c>
      <c r="L278" s="36">
        <v>138.07538</v>
      </c>
      <c r="M278" s="393">
        <v>292.10509999999999</v>
      </c>
      <c r="N278" s="399">
        <v>51.987340000000003</v>
      </c>
      <c r="O278" s="36">
        <v>29.832916999999998</v>
      </c>
      <c r="P278" s="36">
        <v>37.527107000000001</v>
      </c>
      <c r="Q278" s="393">
        <v>117.39461</v>
      </c>
      <c r="R278" s="399">
        <v>102.19471</v>
      </c>
      <c r="S278" s="36">
        <v>58.246209</v>
      </c>
      <c r="T278" s="36">
        <v>94.127628000000001</v>
      </c>
      <c r="U278" s="393">
        <v>221.66141999999999</v>
      </c>
    </row>
    <row r="279" spans="3:21" s="9" customFormat="1" ht="0.5" customHeight="1">
      <c r="C279" s="9" t="s">
        <v>40</v>
      </c>
      <c r="D279" s="9" t="str">
        <f t="shared" si="38"/>
        <v>Brazil27.5</v>
      </c>
      <c r="E279" s="398">
        <v>27.5</v>
      </c>
      <c r="F279" s="399">
        <v>71.637521000000007</v>
      </c>
      <c r="G279" s="36">
        <v>46.570028000000001</v>
      </c>
      <c r="H279" s="36">
        <v>65.608535000000003</v>
      </c>
      <c r="I279" s="393">
        <v>167.73487</v>
      </c>
      <c r="J279" s="399">
        <v>138.34764000000001</v>
      </c>
      <c r="K279" s="36">
        <v>98.971868999999998</v>
      </c>
      <c r="L279" s="36">
        <v>141.99769000000001</v>
      </c>
      <c r="M279" s="393">
        <v>299.14593000000002</v>
      </c>
      <c r="N279" s="399">
        <v>52.116810999999998</v>
      </c>
      <c r="O279" s="36">
        <v>29.969923000000001</v>
      </c>
      <c r="P279" s="36">
        <v>37.925409000000002</v>
      </c>
      <c r="Q279" s="393">
        <v>118.22696999999999</v>
      </c>
      <c r="R279" s="399">
        <v>104.68300000000001</v>
      </c>
      <c r="S279" s="36">
        <v>59.039740999999999</v>
      </c>
      <c r="T279" s="36">
        <v>96.121590999999995</v>
      </c>
      <c r="U279" s="393">
        <v>225.87432000000001</v>
      </c>
    </row>
    <row r="280" spans="3:21" s="9" customFormat="1" ht="0.5" customHeight="1">
      <c r="C280" s="9" t="s">
        <v>40</v>
      </c>
      <c r="D280" s="9" t="str">
        <f t="shared" si="38"/>
        <v>Brazil28</v>
      </c>
      <c r="E280" s="398">
        <v>28</v>
      </c>
      <c r="F280" s="399">
        <v>72.394019999999998</v>
      </c>
      <c r="G280" s="36">
        <v>46.899151000000003</v>
      </c>
      <c r="H280" s="36">
        <v>66.516182999999998</v>
      </c>
      <c r="I280" s="393">
        <v>169.76138</v>
      </c>
      <c r="J280" s="399">
        <v>142.84904</v>
      </c>
      <c r="K280" s="36">
        <v>101.48238000000001</v>
      </c>
      <c r="L280" s="36">
        <v>145.31082000000001</v>
      </c>
      <c r="M280" s="393">
        <v>306.12166000000002</v>
      </c>
      <c r="N280" s="399">
        <v>52.247242999999997</v>
      </c>
      <c r="O280" s="36">
        <v>30.117975000000001</v>
      </c>
      <c r="P280" s="36">
        <v>38.309561000000002</v>
      </c>
      <c r="Q280" s="393">
        <v>119.01714</v>
      </c>
      <c r="R280" s="399">
        <v>107.16893</v>
      </c>
      <c r="S280" s="36">
        <v>59.774146000000002</v>
      </c>
      <c r="T280" s="36">
        <v>97.986772000000002</v>
      </c>
      <c r="U280" s="393">
        <v>230.04102</v>
      </c>
    </row>
    <row r="281" spans="3:21" s="9" customFormat="1" ht="0.5" customHeight="1">
      <c r="C281" s="9" t="s">
        <v>40</v>
      </c>
      <c r="D281" s="9" t="str">
        <f t="shared" si="38"/>
        <v>Brazil28.5</v>
      </c>
      <c r="E281" s="398">
        <v>28.5</v>
      </c>
      <c r="F281" s="399">
        <v>73.118179999999995</v>
      </c>
      <c r="G281" s="36">
        <v>47.229675</v>
      </c>
      <c r="H281" s="36">
        <v>67.358518000000004</v>
      </c>
      <c r="I281" s="393">
        <v>171.78258</v>
      </c>
      <c r="J281" s="399">
        <v>147.26373000000001</v>
      </c>
      <c r="K281" s="36">
        <v>103.93113</v>
      </c>
      <c r="L281" s="36">
        <v>148.55759</v>
      </c>
      <c r="M281" s="393">
        <v>312.89314999999999</v>
      </c>
      <c r="N281" s="399">
        <v>52.371217999999999</v>
      </c>
      <c r="O281" s="36">
        <v>30.268118999999999</v>
      </c>
      <c r="P281" s="36">
        <v>38.689883999999999</v>
      </c>
      <c r="Q281" s="393">
        <v>119.78016</v>
      </c>
      <c r="R281" s="399">
        <v>109.50344</v>
      </c>
      <c r="S281" s="36">
        <v>60.518332000000001</v>
      </c>
      <c r="T281" s="36">
        <v>99.854007999999993</v>
      </c>
      <c r="U281" s="393">
        <v>233.43808000000001</v>
      </c>
    </row>
    <row r="282" spans="3:21" s="9" customFormat="1" ht="0.5" customHeight="1">
      <c r="C282" s="9" t="s">
        <v>40</v>
      </c>
      <c r="D282" s="9" t="str">
        <f t="shared" si="38"/>
        <v>Brazil29</v>
      </c>
      <c r="E282" s="398">
        <v>29</v>
      </c>
      <c r="F282" s="399">
        <v>73.823836</v>
      </c>
      <c r="G282" s="36">
        <v>47.505245000000002</v>
      </c>
      <c r="H282" s="36">
        <v>68.151206999999999</v>
      </c>
      <c r="I282" s="393">
        <v>173.78242</v>
      </c>
      <c r="J282" s="399">
        <v>151.63634999999999</v>
      </c>
      <c r="K282" s="36">
        <v>106.37457999999999</v>
      </c>
      <c r="L282" s="36">
        <v>151.10033000000001</v>
      </c>
      <c r="M282" s="393">
        <v>319.59624000000002</v>
      </c>
      <c r="N282" s="399">
        <v>52.493690999999998</v>
      </c>
      <c r="O282" s="36">
        <v>30.418239</v>
      </c>
      <c r="P282" s="36">
        <v>39.036803999999997</v>
      </c>
      <c r="Q282" s="393">
        <v>120.57294</v>
      </c>
      <c r="R282" s="399">
        <v>111.8194</v>
      </c>
      <c r="S282" s="36">
        <v>61.103825999999998</v>
      </c>
      <c r="T282" s="36">
        <v>101.47761</v>
      </c>
      <c r="U282" s="393">
        <v>236.82642000000001</v>
      </c>
    </row>
    <row r="283" spans="3:21" s="9" customFormat="1" ht="0.5" customHeight="1">
      <c r="C283" s="9" t="s">
        <v>40</v>
      </c>
      <c r="D283" s="9" t="str">
        <f t="shared" si="38"/>
        <v>Brazil29.5</v>
      </c>
      <c r="E283" s="398">
        <v>29.5</v>
      </c>
      <c r="F283" s="399">
        <v>74.482264999999998</v>
      </c>
      <c r="G283" s="36">
        <v>47.785201000000001</v>
      </c>
      <c r="H283" s="36">
        <v>68.928933999999998</v>
      </c>
      <c r="I283" s="393">
        <v>175.45410999999999</v>
      </c>
      <c r="J283" s="399">
        <v>155.94757999999999</v>
      </c>
      <c r="K283" s="36">
        <v>108.83608</v>
      </c>
      <c r="L283" s="36">
        <v>153.60441</v>
      </c>
      <c r="M283" s="393">
        <v>326.18489</v>
      </c>
      <c r="N283" s="399">
        <v>52.601064999999998</v>
      </c>
      <c r="O283" s="36">
        <v>30.563116999999998</v>
      </c>
      <c r="P283" s="36">
        <v>39.388170000000002</v>
      </c>
      <c r="Q283" s="393">
        <v>121.31532</v>
      </c>
      <c r="R283" s="399">
        <v>113.94208</v>
      </c>
      <c r="S283" s="36">
        <v>61.70017</v>
      </c>
      <c r="T283" s="36">
        <v>103.10915</v>
      </c>
      <c r="U283" s="393">
        <v>239.13206</v>
      </c>
    </row>
    <row r="284" spans="3:21" s="9" customFormat="1" ht="0.5" customHeight="1">
      <c r="C284" s="9" t="s">
        <v>40</v>
      </c>
      <c r="D284" s="9" t="str">
        <f t="shared" si="38"/>
        <v>Brazil30</v>
      </c>
      <c r="E284" s="398">
        <v>30</v>
      </c>
      <c r="F284" s="399">
        <v>75.111838000000006</v>
      </c>
      <c r="G284" s="36">
        <v>48.059834000000002</v>
      </c>
      <c r="H284" s="36">
        <v>69.689336999999995</v>
      </c>
      <c r="I284" s="393">
        <v>177.11859000000001</v>
      </c>
      <c r="J284" s="399">
        <v>160.23552000000001</v>
      </c>
      <c r="K284" s="36">
        <v>111.30374</v>
      </c>
      <c r="L284" s="36">
        <v>156.21055999999999</v>
      </c>
      <c r="M284" s="393">
        <v>332.70042999999998</v>
      </c>
      <c r="N284" s="399">
        <v>52.708736000000002</v>
      </c>
      <c r="O284" s="36">
        <v>30.686015999999999</v>
      </c>
      <c r="P284" s="36">
        <v>39.771251999999997</v>
      </c>
      <c r="Q284" s="393">
        <v>121.93934</v>
      </c>
      <c r="R284" s="399">
        <v>116.0569</v>
      </c>
      <c r="S284" s="36">
        <v>62.167842999999998</v>
      </c>
      <c r="T284" s="36">
        <v>104.6093</v>
      </c>
      <c r="U284" s="393">
        <v>241.43162000000001</v>
      </c>
    </row>
    <row r="285" spans="3:21" s="9" customFormat="1" ht="0.5" customHeight="1">
      <c r="C285" s="9" t="s">
        <v>40</v>
      </c>
      <c r="D285" s="9" t="str">
        <f t="shared" si="38"/>
        <v>Brazil30.5</v>
      </c>
      <c r="E285" s="398">
        <v>30.5</v>
      </c>
      <c r="F285" s="399">
        <v>75.762201000000005</v>
      </c>
      <c r="G285" s="36">
        <v>48.334859000000002</v>
      </c>
      <c r="H285" s="36">
        <v>70.370079000000004</v>
      </c>
      <c r="I285" s="393">
        <v>178.70926</v>
      </c>
      <c r="J285" s="399">
        <v>164.51856000000001</v>
      </c>
      <c r="K285" s="36">
        <v>113.60469000000001</v>
      </c>
      <c r="L285" s="36">
        <v>158.84488999999999</v>
      </c>
      <c r="M285" s="393">
        <v>339.01934999999997</v>
      </c>
      <c r="N285" s="399">
        <v>52.802788</v>
      </c>
      <c r="O285" s="36">
        <v>30.792342000000001</v>
      </c>
      <c r="P285" s="36">
        <v>40.169020000000003</v>
      </c>
      <c r="Q285" s="393">
        <v>122.59484999999999</v>
      </c>
      <c r="R285" s="399">
        <v>118.03998</v>
      </c>
      <c r="S285" s="36">
        <v>62.643929999999997</v>
      </c>
      <c r="T285" s="36">
        <v>106.12208</v>
      </c>
      <c r="U285" s="393">
        <v>243.23855</v>
      </c>
    </row>
    <row r="286" spans="3:21" s="9" customFormat="1" ht="0.5" customHeight="1">
      <c r="C286" s="9" t="s">
        <v>40</v>
      </c>
      <c r="D286" s="9" t="str">
        <f t="shared" si="38"/>
        <v>Brazil31</v>
      </c>
      <c r="E286" s="398">
        <v>31</v>
      </c>
      <c r="F286" s="399">
        <v>76.436595999999994</v>
      </c>
      <c r="G286" s="36">
        <v>48.603565000000003</v>
      </c>
      <c r="H286" s="36">
        <v>70.997252000000003</v>
      </c>
      <c r="I286" s="393">
        <v>180.30673999999999</v>
      </c>
      <c r="J286" s="399">
        <v>168.77858000000001</v>
      </c>
      <c r="K286" s="36">
        <v>115.89060000000001</v>
      </c>
      <c r="L286" s="36">
        <v>161.66695999999999</v>
      </c>
      <c r="M286" s="393">
        <v>345.23477000000003</v>
      </c>
      <c r="N286" s="399">
        <v>52.888882000000002</v>
      </c>
      <c r="O286" s="36">
        <v>30.873179</v>
      </c>
      <c r="P286" s="36">
        <v>40.578648000000001</v>
      </c>
      <c r="Q286" s="393">
        <v>123.3086</v>
      </c>
      <c r="R286" s="399">
        <v>120.00745000000001</v>
      </c>
      <c r="S286" s="36">
        <v>62.968578999999998</v>
      </c>
      <c r="T286" s="36">
        <v>107.60411000000001</v>
      </c>
      <c r="U286" s="393">
        <v>245.05530999999999</v>
      </c>
    </row>
    <row r="287" spans="3:21" s="9" customFormat="1" ht="0.5" customHeight="1">
      <c r="C287" s="9" t="s">
        <v>40</v>
      </c>
      <c r="D287" s="9" t="str">
        <f t="shared" si="38"/>
        <v>Brazil31.5</v>
      </c>
      <c r="E287" s="398">
        <v>31.5</v>
      </c>
      <c r="F287" s="399">
        <v>77.115679999999998</v>
      </c>
      <c r="G287" s="36">
        <v>48.871870999999999</v>
      </c>
      <c r="H287" s="36">
        <v>71.654477</v>
      </c>
      <c r="I287" s="393">
        <v>182.11375000000001</v>
      </c>
      <c r="J287" s="399">
        <v>172.98969</v>
      </c>
      <c r="K287" s="36">
        <v>118.17203000000001</v>
      </c>
      <c r="L287" s="36">
        <v>164.50582</v>
      </c>
      <c r="M287" s="393">
        <v>351.20625000000001</v>
      </c>
      <c r="N287" s="399">
        <v>52.942084999999999</v>
      </c>
      <c r="O287" s="36">
        <v>30.952774000000002</v>
      </c>
      <c r="P287" s="36">
        <v>40.989330000000002</v>
      </c>
      <c r="Q287" s="393">
        <v>124.09658</v>
      </c>
      <c r="R287" s="399">
        <v>121.80351</v>
      </c>
      <c r="S287" s="36">
        <v>63.292566999999998</v>
      </c>
      <c r="T287" s="36">
        <v>109.0894</v>
      </c>
      <c r="U287" s="393">
        <v>247.05020999999999</v>
      </c>
    </row>
    <row r="288" spans="3:21" s="9" customFormat="1" ht="0.5" customHeight="1">
      <c r="C288" s="9" t="s">
        <v>40</v>
      </c>
      <c r="D288" s="9" t="str">
        <f t="shared" si="38"/>
        <v>Brazil32</v>
      </c>
      <c r="E288" s="398">
        <v>32</v>
      </c>
      <c r="F288" s="399">
        <v>77.813924999999998</v>
      </c>
      <c r="G288" s="36">
        <v>49.126896000000002</v>
      </c>
      <c r="H288" s="36">
        <v>72.310336000000007</v>
      </c>
      <c r="I288" s="393">
        <v>183.9254</v>
      </c>
      <c r="J288" s="399">
        <v>177.16431</v>
      </c>
      <c r="K288" s="36">
        <v>120.46726</v>
      </c>
      <c r="L288" s="36">
        <v>167.00133</v>
      </c>
      <c r="M288" s="393">
        <v>357.00546000000003</v>
      </c>
      <c r="N288" s="399">
        <v>52.987203000000001</v>
      </c>
      <c r="O288" s="36">
        <v>31.029775000000001</v>
      </c>
      <c r="P288" s="36">
        <v>41.403137000000001</v>
      </c>
      <c r="Q288" s="393">
        <v>124.92229</v>
      </c>
      <c r="R288" s="399">
        <v>123.58293999999999</v>
      </c>
      <c r="S288" s="36">
        <v>63.711075000000001</v>
      </c>
      <c r="T288" s="36">
        <v>109.95462999999999</v>
      </c>
      <c r="U288" s="393">
        <v>249.00291000000001</v>
      </c>
    </row>
    <row r="289" spans="3:21" s="9" customFormat="1" ht="0.5" customHeight="1">
      <c r="C289" s="9" t="s">
        <v>40</v>
      </c>
      <c r="D289" s="9" t="str">
        <f t="shared" si="38"/>
        <v>Brazil32.5</v>
      </c>
      <c r="E289" s="398">
        <v>32.5</v>
      </c>
      <c r="F289" s="399">
        <v>78.53349</v>
      </c>
      <c r="G289" s="36">
        <v>49.380361000000001</v>
      </c>
      <c r="H289" s="36">
        <v>72.961301000000006</v>
      </c>
      <c r="I289" s="393">
        <v>185.54697999999999</v>
      </c>
      <c r="J289" s="399">
        <v>181.28345999999999</v>
      </c>
      <c r="K289" s="36">
        <v>122.75543999999999</v>
      </c>
      <c r="L289" s="36">
        <v>169.44694999999999</v>
      </c>
      <c r="M289" s="393">
        <v>362.55511000000001</v>
      </c>
      <c r="N289" s="399">
        <v>53.011746000000002</v>
      </c>
      <c r="O289" s="36">
        <v>31.097387000000001</v>
      </c>
      <c r="P289" s="36">
        <v>41.815157999999997</v>
      </c>
      <c r="Q289" s="393">
        <v>125.79609000000001</v>
      </c>
      <c r="R289" s="399">
        <v>125.20943</v>
      </c>
      <c r="S289" s="36">
        <v>64.125139000000004</v>
      </c>
      <c r="T289" s="36">
        <v>110.82545</v>
      </c>
      <c r="U289" s="393">
        <v>251.44904</v>
      </c>
    </row>
    <row r="290" spans="3:21" s="9" customFormat="1" ht="0.5" customHeight="1">
      <c r="C290" s="9" t="s">
        <v>40</v>
      </c>
      <c r="D290" s="9" t="str">
        <f t="shared" si="38"/>
        <v>Brazil33</v>
      </c>
      <c r="E290" s="398">
        <v>33</v>
      </c>
      <c r="F290" s="399">
        <v>79.262645000000006</v>
      </c>
      <c r="G290" s="36">
        <v>49.616695999999997</v>
      </c>
      <c r="H290" s="36">
        <v>73.575669000000005</v>
      </c>
      <c r="I290" s="393">
        <v>187.16466</v>
      </c>
      <c r="J290" s="399">
        <v>185.26586</v>
      </c>
      <c r="K290" s="36">
        <v>125.0351</v>
      </c>
      <c r="L290" s="36">
        <v>171.69667000000001</v>
      </c>
      <c r="M290" s="393">
        <v>368.01803999999998</v>
      </c>
      <c r="N290" s="399">
        <v>53.043584000000003</v>
      </c>
      <c r="O290" s="36">
        <v>31.155908</v>
      </c>
      <c r="P290" s="36">
        <v>42.181494000000001</v>
      </c>
      <c r="Q290" s="393">
        <v>126.72252</v>
      </c>
      <c r="R290" s="399">
        <v>126.83309</v>
      </c>
      <c r="S290" s="36">
        <v>64.397395000000003</v>
      </c>
      <c r="T290" s="36">
        <v>111.48446</v>
      </c>
      <c r="U290" s="393">
        <v>253.88580999999999</v>
      </c>
    </row>
    <row r="291" spans="3:21" s="9" customFormat="1" ht="0.5" customHeight="1">
      <c r="C291" s="9" t="s">
        <v>40</v>
      </c>
      <c r="D291" s="9" t="str">
        <f t="shared" si="38"/>
        <v>Brazil33.5</v>
      </c>
      <c r="E291" s="398">
        <v>33.5</v>
      </c>
      <c r="F291" s="399">
        <v>79.981780000000001</v>
      </c>
      <c r="G291" s="36">
        <v>49.857391</v>
      </c>
      <c r="H291" s="36">
        <v>74.087048999999993</v>
      </c>
      <c r="I291" s="393">
        <v>189.16848999999999</v>
      </c>
      <c r="J291" s="399">
        <v>189.06263999999999</v>
      </c>
      <c r="K291" s="36">
        <v>126.99439</v>
      </c>
      <c r="L291" s="36">
        <v>173.94978</v>
      </c>
      <c r="M291" s="393">
        <v>373.27042</v>
      </c>
      <c r="N291" s="399">
        <v>53.070296999999997</v>
      </c>
      <c r="O291" s="36">
        <v>31.229738999999999</v>
      </c>
      <c r="P291" s="36">
        <v>42.523698000000003</v>
      </c>
      <c r="Q291" s="393">
        <v>127.60883</v>
      </c>
      <c r="R291" s="399">
        <v>128.35659000000001</v>
      </c>
      <c r="S291" s="36">
        <v>64.694537999999994</v>
      </c>
      <c r="T291" s="36">
        <v>112.16181</v>
      </c>
      <c r="U291" s="393">
        <v>256.29861</v>
      </c>
    </row>
    <row r="292" spans="3:21" s="9" customFormat="1" ht="0.5" customHeight="1">
      <c r="C292" s="9" t="s">
        <v>40</v>
      </c>
      <c r="D292" s="9" t="str">
        <f t="shared" si="38"/>
        <v>Brazil34</v>
      </c>
      <c r="E292" s="398">
        <v>34</v>
      </c>
      <c r="F292" s="399">
        <v>80.709415000000007</v>
      </c>
      <c r="G292" s="36">
        <v>50.055906</v>
      </c>
      <c r="H292" s="36">
        <v>74.556432000000001</v>
      </c>
      <c r="I292" s="393">
        <v>191.17394999999999</v>
      </c>
      <c r="J292" s="399">
        <v>192.75933000000001</v>
      </c>
      <c r="K292" s="36">
        <v>128.93355</v>
      </c>
      <c r="L292" s="36">
        <v>175.60187999999999</v>
      </c>
      <c r="M292" s="393">
        <v>378.47296</v>
      </c>
      <c r="N292" s="399">
        <v>53.095894000000001</v>
      </c>
      <c r="O292" s="36">
        <v>31.333843999999999</v>
      </c>
      <c r="P292" s="36">
        <v>42.838168000000003</v>
      </c>
      <c r="Q292" s="393">
        <v>128.45068000000001</v>
      </c>
      <c r="R292" s="399">
        <v>129.86841000000001</v>
      </c>
      <c r="S292" s="36">
        <v>64.743645999999998</v>
      </c>
      <c r="T292" s="36">
        <v>112.94417</v>
      </c>
      <c r="U292" s="393">
        <v>258.70744000000002</v>
      </c>
    </row>
    <row r="293" spans="3:21" s="9" customFormat="1" ht="0.5" customHeight="1">
      <c r="C293" s="9" t="s">
        <v>40</v>
      </c>
      <c r="D293" s="9" t="str">
        <f t="shared" si="38"/>
        <v>Brazil34.5</v>
      </c>
      <c r="E293" s="398">
        <v>34.5</v>
      </c>
      <c r="F293" s="399">
        <v>81.430919000000003</v>
      </c>
      <c r="G293" s="36">
        <v>50.255961999999997</v>
      </c>
      <c r="H293" s="36">
        <v>75.003567000000004</v>
      </c>
      <c r="I293" s="393">
        <v>193.32553999999999</v>
      </c>
      <c r="J293" s="399">
        <v>196.34469999999999</v>
      </c>
      <c r="K293" s="36">
        <v>130.74009000000001</v>
      </c>
      <c r="L293" s="36">
        <v>177.19539</v>
      </c>
      <c r="M293" s="393">
        <v>383.67342000000002</v>
      </c>
      <c r="N293" s="399">
        <v>53.139715000000002</v>
      </c>
      <c r="O293" s="36">
        <v>31.436852999999999</v>
      </c>
      <c r="P293" s="36">
        <v>43.135128999999999</v>
      </c>
      <c r="Q293" s="393">
        <v>129.29936000000001</v>
      </c>
      <c r="R293" s="399">
        <v>131.33780999999999</v>
      </c>
      <c r="S293" s="36">
        <v>64.799396999999999</v>
      </c>
      <c r="T293" s="36">
        <v>113.73386000000001</v>
      </c>
      <c r="U293" s="393">
        <v>261.21024999999997</v>
      </c>
    </row>
    <row r="294" spans="3:21" s="9" customFormat="1" ht="0.5" customHeight="1">
      <c r="C294" s="9" t="s">
        <v>40</v>
      </c>
      <c r="D294" s="9" t="str">
        <f t="shared" si="38"/>
        <v>Brazil35</v>
      </c>
      <c r="E294" s="398">
        <v>35</v>
      </c>
      <c r="F294" s="399">
        <v>82.089270999999997</v>
      </c>
      <c r="G294" s="36">
        <v>50.417526000000002</v>
      </c>
      <c r="H294" s="36">
        <v>75.390747000000005</v>
      </c>
      <c r="I294" s="393">
        <v>195.46784</v>
      </c>
      <c r="J294" s="399">
        <v>199.84281999999999</v>
      </c>
      <c r="K294" s="36">
        <v>132.54785000000001</v>
      </c>
      <c r="L294" s="36">
        <v>178.29194000000001</v>
      </c>
      <c r="M294" s="393">
        <v>388.87540000000001</v>
      </c>
      <c r="N294" s="399">
        <v>53.189737000000001</v>
      </c>
      <c r="O294" s="36">
        <v>31.546392000000001</v>
      </c>
      <c r="P294" s="36">
        <v>43.397658</v>
      </c>
      <c r="Q294" s="393">
        <v>130.05327</v>
      </c>
      <c r="R294" s="399">
        <v>132.80751000000001</v>
      </c>
      <c r="S294" s="36">
        <v>65.089136999999994</v>
      </c>
      <c r="T294" s="36">
        <v>114.29986</v>
      </c>
      <c r="U294" s="393">
        <v>263.69015999999999</v>
      </c>
    </row>
    <row r="295" spans="3:21" s="9" customFormat="1" ht="0.5" customHeight="1">
      <c r="C295" s="9" t="s">
        <v>40</v>
      </c>
      <c r="D295" s="9" t="str">
        <f t="shared" si="38"/>
        <v>Brazil35.5</v>
      </c>
      <c r="E295" s="398">
        <v>35.5</v>
      </c>
      <c r="F295" s="399">
        <v>82.735016999999999</v>
      </c>
      <c r="G295" s="36">
        <v>50.586413</v>
      </c>
      <c r="H295" s="36">
        <v>75.709230000000005</v>
      </c>
      <c r="I295" s="393">
        <v>197.74180000000001</v>
      </c>
      <c r="J295" s="399">
        <v>203.25089</v>
      </c>
      <c r="K295" s="36">
        <v>134.26749000000001</v>
      </c>
      <c r="L295" s="36">
        <v>179.33053000000001</v>
      </c>
      <c r="M295" s="393">
        <v>394.1703</v>
      </c>
      <c r="N295" s="399">
        <v>53.262014000000001</v>
      </c>
      <c r="O295" s="36">
        <v>31.666367000000001</v>
      </c>
      <c r="P295" s="36">
        <v>43.646355999999997</v>
      </c>
      <c r="Q295" s="393">
        <v>130.62642</v>
      </c>
      <c r="R295" s="399">
        <v>134.18870999999999</v>
      </c>
      <c r="S295" s="36">
        <v>65.365476000000001</v>
      </c>
      <c r="T295" s="36">
        <v>114.86660999999999</v>
      </c>
      <c r="U295" s="393">
        <v>265.75083000000001</v>
      </c>
    </row>
    <row r="296" spans="3:21" s="9" customFormat="1" ht="0.5" customHeight="1">
      <c r="C296" s="9" t="s">
        <v>40</v>
      </c>
      <c r="D296" s="9" t="str">
        <f t="shared" si="38"/>
        <v>Brazil36</v>
      </c>
      <c r="E296" s="398">
        <v>36</v>
      </c>
      <c r="F296" s="399">
        <v>83.408880999999994</v>
      </c>
      <c r="G296" s="36">
        <v>50.716501999999998</v>
      </c>
      <c r="H296" s="36">
        <v>76.035258999999996</v>
      </c>
      <c r="I296" s="393">
        <v>200.01223999999999</v>
      </c>
      <c r="J296" s="399">
        <v>206.62491</v>
      </c>
      <c r="K296" s="36">
        <v>135.99019000000001</v>
      </c>
      <c r="L296" s="36">
        <v>180.15393</v>
      </c>
      <c r="M296" s="393">
        <v>399.54732000000001</v>
      </c>
      <c r="N296" s="399">
        <v>53.327424999999998</v>
      </c>
      <c r="O296" s="36">
        <v>31.805983999999999</v>
      </c>
      <c r="P296" s="36">
        <v>43.885525000000001</v>
      </c>
      <c r="Q296" s="393">
        <v>131.08189999999999</v>
      </c>
      <c r="R296" s="399">
        <v>135.56036</v>
      </c>
      <c r="S296" s="36">
        <v>65.485663000000002</v>
      </c>
      <c r="T296" s="36">
        <v>115.4541</v>
      </c>
      <c r="U296" s="393">
        <v>267.85676000000001</v>
      </c>
    </row>
    <row r="297" spans="3:21" s="9" customFormat="1" ht="0.5" customHeight="1">
      <c r="C297" s="9" t="s">
        <v>40</v>
      </c>
      <c r="D297" s="9" t="str">
        <f t="shared" si="38"/>
        <v>Brazil36.5</v>
      </c>
      <c r="E297" s="398">
        <v>36.5</v>
      </c>
      <c r="F297" s="399">
        <v>84.058222999999998</v>
      </c>
      <c r="G297" s="36">
        <v>50.845945999999998</v>
      </c>
      <c r="H297" s="36">
        <v>76.381731000000002</v>
      </c>
      <c r="I297" s="393">
        <v>202.01373000000001</v>
      </c>
      <c r="J297" s="399">
        <v>209.88415000000001</v>
      </c>
      <c r="K297" s="36">
        <v>137.72557</v>
      </c>
      <c r="L297" s="36">
        <v>180.99647999999999</v>
      </c>
      <c r="M297" s="393">
        <v>404.87912999999998</v>
      </c>
      <c r="N297" s="399">
        <v>53.399382000000003</v>
      </c>
      <c r="O297" s="36">
        <v>31.942736</v>
      </c>
      <c r="P297" s="36">
        <v>44.135089000000001</v>
      </c>
      <c r="Q297" s="393">
        <v>131.58190999999999</v>
      </c>
      <c r="R297" s="399">
        <v>136.82849999999999</v>
      </c>
      <c r="S297" s="36">
        <v>65.610459000000006</v>
      </c>
      <c r="T297" s="36">
        <v>116.02463</v>
      </c>
      <c r="U297" s="393">
        <v>269.19605999999999</v>
      </c>
    </row>
    <row r="298" spans="3:21" s="9" customFormat="1" ht="0.5" customHeight="1">
      <c r="C298" s="9" t="s">
        <v>40</v>
      </c>
      <c r="D298" s="9" t="str">
        <f t="shared" si="38"/>
        <v>Brazil37</v>
      </c>
      <c r="E298" s="398">
        <v>37</v>
      </c>
      <c r="F298" s="399">
        <v>84.667023</v>
      </c>
      <c r="G298" s="36">
        <v>50.954946</v>
      </c>
      <c r="H298" s="36">
        <v>76.692958000000004</v>
      </c>
      <c r="I298" s="393">
        <v>204.01819</v>
      </c>
      <c r="J298" s="399">
        <v>213.10039</v>
      </c>
      <c r="K298" s="36">
        <v>139.47551999999999</v>
      </c>
      <c r="L298" s="36">
        <v>181.93301</v>
      </c>
      <c r="M298" s="393">
        <v>410.26395000000002</v>
      </c>
      <c r="N298" s="399">
        <v>53.478504999999998</v>
      </c>
      <c r="O298" s="36">
        <v>32.064149999999998</v>
      </c>
      <c r="P298" s="36">
        <v>44.394905999999999</v>
      </c>
      <c r="Q298" s="393">
        <v>132.15237999999999</v>
      </c>
      <c r="R298" s="399">
        <v>138.09018</v>
      </c>
      <c r="S298" s="36">
        <v>65.806743999999995</v>
      </c>
      <c r="T298" s="36">
        <v>116.70846</v>
      </c>
      <c r="U298" s="393">
        <v>270.59935000000002</v>
      </c>
    </row>
    <row r="299" spans="3:21" s="9" customFormat="1" ht="0.5" customHeight="1">
      <c r="C299" s="9" t="s">
        <v>40</v>
      </c>
      <c r="D299" s="9" t="str">
        <f t="shared" si="38"/>
        <v>Brazil37.5</v>
      </c>
      <c r="E299" s="398">
        <v>37.5</v>
      </c>
      <c r="F299" s="399">
        <v>85.180622999999997</v>
      </c>
      <c r="G299" s="36">
        <v>51.064373000000003</v>
      </c>
      <c r="H299" s="36">
        <v>76.992750000000001</v>
      </c>
      <c r="I299" s="393">
        <v>206.01599999999999</v>
      </c>
      <c r="J299" s="399">
        <v>216.29734999999999</v>
      </c>
      <c r="K299" s="36">
        <v>141.48840999999999</v>
      </c>
      <c r="L299" s="36">
        <v>182.89147</v>
      </c>
      <c r="M299" s="393">
        <v>415.71348999999998</v>
      </c>
      <c r="N299" s="399">
        <v>53.602024999999998</v>
      </c>
      <c r="O299" s="36">
        <v>32.17597</v>
      </c>
      <c r="P299" s="36">
        <v>44.647562000000001</v>
      </c>
      <c r="Q299" s="393">
        <v>132.57746</v>
      </c>
      <c r="R299" s="399">
        <v>139.29123000000001</v>
      </c>
      <c r="S299" s="36">
        <v>65.995107000000004</v>
      </c>
      <c r="T299" s="36">
        <v>117.37057</v>
      </c>
      <c r="U299" s="393">
        <v>271.49041</v>
      </c>
    </row>
    <row r="300" spans="3:21" s="9" customFormat="1" ht="0.5" customHeight="1">
      <c r="C300" s="9" t="s">
        <v>40</v>
      </c>
      <c r="D300" s="9" t="str">
        <f t="shared" si="38"/>
        <v>Brazil38</v>
      </c>
      <c r="E300" s="398">
        <v>38</v>
      </c>
      <c r="F300" s="399">
        <v>85.594266000000005</v>
      </c>
      <c r="G300" s="36">
        <v>51.173243999999997</v>
      </c>
      <c r="H300" s="36">
        <v>77.309518999999995</v>
      </c>
      <c r="I300" s="393">
        <v>208.01687999999999</v>
      </c>
      <c r="J300" s="399">
        <v>219.45774</v>
      </c>
      <c r="K300" s="36">
        <v>143.49079</v>
      </c>
      <c r="L300" s="36">
        <v>184.03764000000001</v>
      </c>
      <c r="M300" s="393">
        <v>420.98831000000001</v>
      </c>
      <c r="N300" s="399">
        <v>53.725157000000003</v>
      </c>
      <c r="O300" s="36">
        <v>32.251207000000001</v>
      </c>
      <c r="P300" s="36">
        <v>44.832363999999998</v>
      </c>
      <c r="Q300" s="393">
        <v>132.81888000000001</v>
      </c>
      <c r="R300" s="399">
        <v>140.49290999999999</v>
      </c>
      <c r="S300" s="36">
        <v>66.203747000000007</v>
      </c>
      <c r="T300" s="36">
        <v>118.13538</v>
      </c>
      <c r="U300" s="393">
        <v>272.42538999999999</v>
      </c>
    </row>
    <row r="301" spans="3:21" s="9" customFormat="1" ht="0.5" customHeight="1">
      <c r="C301" s="9" t="s">
        <v>40</v>
      </c>
      <c r="D301" s="9" t="str">
        <f t="shared" si="38"/>
        <v>Brazil38.5</v>
      </c>
      <c r="E301" s="398">
        <v>38.5</v>
      </c>
      <c r="F301" s="399">
        <v>86.022113000000004</v>
      </c>
      <c r="G301" s="36">
        <v>51.281564000000003</v>
      </c>
      <c r="H301" s="36">
        <v>77.649280000000005</v>
      </c>
      <c r="I301" s="393">
        <v>209.99259000000001</v>
      </c>
      <c r="J301" s="399">
        <v>222.64182</v>
      </c>
      <c r="K301" s="36">
        <v>145.27681999999999</v>
      </c>
      <c r="L301" s="36">
        <v>185.15482</v>
      </c>
      <c r="M301" s="393">
        <v>425.59957000000003</v>
      </c>
      <c r="N301" s="399">
        <v>53.869937</v>
      </c>
      <c r="O301" s="36">
        <v>32.316957000000002</v>
      </c>
      <c r="P301" s="36">
        <v>44.996797000000001</v>
      </c>
      <c r="Q301" s="393">
        <v>132.97532000000001</v>
      </c>
      <c r="R301" s="399">
        <v>141.76093</v>
      </c>
      <c r="S301" s="36">
        <v>66.402739999999994</v>
      </c>
      <c r="T301" s="36">
        <v>118.92308</v>
      </c>
      <c r="U301" s="393">
        <v>273.36604</v>
      </c>
    </row>
    <row r="302" spans="3:21" s="9" customFormat="1" ht="0.5" customHeight="1">
      <c r="C302" s="9" t="s">
        <v>40</v>
      </c>
      <c r="D302" s="9" t="str">
        <f t="shared" si="38"/>
        <v>Brazil39</v>
      </c>
      <c r="E302" s="398">
        <v>39</v>
      </c>
      <c r="F302" s="399">
        <v>86.460654000000005</v>
      </c>
      <c r="G302" s="36">
        <v>51.342489999999998</v>
      </c>
      <c r="H302" s="36">
        <v>77.996222000000003</v>
      </c>
      <c r="I302" s="393">
        <v>211.97228999999999</v>
      </c>
      <c r="J302" s="399">
        <v>225.82653999999999</v>
      </c>
      <c r="K302" s="36">
        <v>147.05493999999999</v>
      </c>
      <c r="L302" s="36">
        <v>186.50812999999999</v>
      </c>
      <c r="M302" s="393">
        <v>430.07799999999997</v>
      </c>
      <c r="N302" s="399">
        <v>54.016027000000001</v>
      </c>
      <c r="O302" s="36">
        <v>32.380817</v>
      </c>
      <c r="P302" s="36">
        <v>45.125278999999999</v>
      </c>
      <c r="Q302" s="393">
        <v>133.04389</v>
      </c>
      <c r="R302" s="399">
        <v>143.03252000000001</v>
      </c>
      <c r="S302" s="36">
        <v>66.568580999999995</v>
      </c>
      <c r="T302" s="36">
        <v>119.53019999999999</v>
      </c>
      <c r="U302" s="393">
        <v>274.24101000000002</v>
      </c>
    </row>
    <row r="303" spans="3:21" s="9" customFormat="1" ht="0.5" customHeight="1">
      <c r="C303" s="9" t="s">
        <v>40</v>
      </c>
      <c r="D303" s="9" t="str">
        <f t="shared" si="38"/>
        <v>Brazil39.5</v>
      </c>
      <c r="E303" s="398">
        <v>39.5</v>
      </c>
      <c r="F303" s="399">
        <v>86.890658000000002</v>
      </c>
      <c r="G303" s="36">
        <v>51.408973000000003</v>
      </c>
      <c r="H303" s="36">
        <v>78.314278000000002</v>
      </c>
      <c r="I303" s="393">
        <v>213.83484999999999</v>
      </c>
      <c r="J303" s="399">
        <v>229.04293999999999</v>
      </c>
      <c r="K303" s="36">
        <v>148.37449000000001</v>
      </c>
      <c r="L303" s="36">
        <v>187.92418000000001</v>
      </c>
      <c r="M303" s="393">
        <v>434.54212999999999</v>
      </c>
      <c r="N303" s="399">
        <v>54.130816000000003</v>
      </c>
      <c r="O303" s="36">
        <v>32.440835999999997</v>
      </c>
      <c r="P303" s="36">
        <v>45.232931999999998</v>
      </c>
      <c r="Q303" s="393">
        <v>133.04767000000001</v>
      </c>
      <c r="R303" s="399">
        <v>144.28185999999999</v>
      </c>
      <c r="S303" s="36">
        <v>66.759516000000005</v>
      </c>
      <c r="T303" s="36">
        <v>120.15078</v>
      </c>
      <c r="U303" s="393">
        <v>275.17988000000003</v>
      </c>
    </row>
    <row r="304" spans="3:21" s="9" customFormat="1" ht="0.5" customHeight="1">
      <c r="C304" s="9" t="s">
        <v>40</v>
      </c>
      <c r="D304" s="9" t="str">
        <f t="shared" si="38"/>
        <v>Brazil40</v>
      </c>
      <c r="E304" s="398">
        <v>40</v>
      </c>
      <c r="F304" s="399">
        <v>87.309493000000003</v>
      </c>
      <c r="G304" s="36">
        <v>51.403106999999999</v>
      </c>
      <c r="H304" s="36">
        <v>78.630388999999994</v>
      </c>
      <c r="I304" s="393">
        <v>215.70267000000001</v>
      </c>
      <c r="J304" s="399">
        <v>232.29375999999999</v>
      </c>
      <c r="K304" s="36">
        <v>149.67914999999999</v>
      </c>
      <c r="L304" s="36">
        <v>189.20878999999999</v>
      </c>
      <c r="M304" s="393">
        <v>438.94752999999997</v>
      </c>
      <c r="N304" s="399">
        <v>54.244940999999997</v>
      </c>
      <c r="O304" s="36">
        <v>32.476401000000003</v>
      </c>
      <c r="P304" s="36">
        <v>45.319946999999999</v>
      </c>
      <c r="Q304" s="393">
        <v>132.91548</v>
      </c>
      <c r="R304" s="399">
        <v>145.53693999999999</v>
      </c>
      <c r="S304" s="36">
        <v>66.870016000000007</v>
      </c>
      <c r="T304" s="36">
        <v>120.46069</v>
      </c>
      <c r="U304" s="393">
        <v>276.10966000000002</v>
      </c>
    </row>
    <row r="305" spans="3:21" s="9" customFormat="1" ht="0.5" customHeight="1">
      <c r="C305" s="9" t="s">
        <v>40</v>
      </c>
      <c r="D305" s="9" t="str">
        <f t="shared" si="38"/>
        <v>Brazil40.5</v>
      </c>
      <c r="E305" s="398">
        <v>40.5</v>
      </c>
      <c r="F305" s="399">
        <v>87.709711999999996</v>
      </c>
      <c r="G305" s="36">
        <v>51.401829999999997</v>
      </c>
      <c r="H305" s="36">
        <v>78.995029000000002</v>
      </c>
      <c r="I305" s="393">
        <v>217.14766</v>
      </c>
      <c r="J305" s="399">
        <v>235.64591999999999</v>
      </c>
      <c r="K305" s="36">
        <v>150.73321999999999</v>
      </c>
      <c r="L305" s="36">
        <v>190.44278</v>
      </c>
      <c r="M305" s="393">
        <v>443.02492000000001</v>
      </c>
      <c r="N305" s="399">
        <v>54.316750999999996</v>
      </c>
      <c r="O305" s="36">
        <v>32.48706</v>
      </c>
      <c r="P305" s="36">
        <v>45.405081000000003</v>
      </c>
      <c r="Q305" s="393">
        <v>132.65531999999999</v>
      </c>
      <c r="R305" s="399">
        <v>147.03664000000001</v>
      </c>
      <c r="S305" s="36">
        <v>66.983047999999997</v>
      </c>
      <c r="T305" s="36">
        <v>120.77401</v>
      </c>
      <c r="U305" s="393">
        <v>277.60919000000001</v>
      </c>
    </row>
    <row r="306" spans="3:21" s="9" customFormat="1" ht="0.5" customHeight="1">
      <c r="C306" s="9" t="s">
        <v>40</v>
      </c>
      <c r="D306" s="9" t="str">
        <f t="shared" si="38"/>
        <v>Brazil41</v>
      </c>
      <c r="E306" s="398">
        <v>41</v>
      </c>
      <c r="F306" s="399">
        <v>88.166858000000005</v>
      </c>
      <c r="G306" s="36">
        <v>51.397103999999999</v>
      </c>
      <c r="H306" s="36">
        <v>79.400603000000004</v>
      </c>
      <c r="I306" s="393">
        <v>218.60353000000001</v>
      </c>
      <c r="J306" s="399">
        <v>239.00932</v>
      </c>
      <c r="K306" s="36">
        <v>151.78700000000001</v>
      </c>
      <c r="L306" s="36">
        <v>191.47425999999999</v>
      </c>
      <c r="M306" s="393">
        <v>446.96805999999998</v>
      </c>
      <c r="N306" s="399">
        <v>54.382286000000001</v>
      </c>
      <c r="O306" s="36">
        <v>32.495742999999997</v>
      </c>
      <c r="P306" s="36">
        <v>45.492491999999999</v>
      </c>
      <c r="Q306" s="393">
        <v>132.36021</v>
      </c>
      <c r="R306" s="399">
        <v>148.56289000000001</v>
      </c>
      <c r="S306" s="36">
        <v>67.059557999999996</v>
      </c>
      <c r="T306" s="36">
        <v>120.81728</v>
      </c>
      <c r="U306" s="393">
        <v>279.06274000000002</v>
      </c>
    </row>
    <row r="307" spans="3:21" s="9" customFormat="1" ht="0.5" customHeight="1">
      <c r="C307" s="9" t="s">
        <v>40</v>
      </c>
      <c r="D307" s="9" t="str">
        <f t="shared" si="38"/>
        <v>Brazil41.5</v>
      </c>
      <c r="E307" s="398">
        <v>41.5</v>
      </c>
      <c r="F307" s="399">
        <v>88.648668999999998</v>
      </c>
      <c r="G307" s="36">
        <v>51.395074000000001</v>
      </c>
      <c r="H307" s="36">
        <v>79.798550000000006</v>
      </c>
      <c r="I307" s="393">
        <v>219.90826000000001</v>
      </c>
      <c r="J307" s="399">
        <v>242.26322999999999</v>
      </c>
      <c r="K307" s="36">
        <v>152.53143</v>
      </c>
      <c r="L307" s="36">
        <v>192.50212999999999</v>
      </c>
      <c r="M307" s="393">
        <v>450.78473000000002</v>
      </c>
      <c r="N307" s="399">
        <v>54.442050999999999</v>
      </c>
      <c r="O307" s="36">
        <v>32.509169999999997</v>
      </c>
      <c r="P307" s="36">
        <v>45.565603000000003</v>
      </c>
      <c r="Q307" s="393">
        <v>132.12620000000001</v>
      </c>
      <c r="R307" s="399">
        <v>150.07886999999999</v>
      </c>
      <c r="S307" s="36">
        <v>67.116641999999999</v>
      </c>
      <c r="T307" s="36">
        <v>120.8908</v>
      </c>
      <c r="U307" s="393">
        <v>280.69123999999999</v>
      </c>
    </row>
    <row r="308" spans="3:21" s="9" customFormat="1" ht="0.5" customHeight="1">
      <c r="C308" s="9" t="s">
        <v>40</v>
      </c>
      <c r="D308" s="9" t="str">
        <f t="shared" si="38"/>
        <v>Brazil42</v>
      </c>
      <c r="E308" s="398">
        <v>42</v>
      </c>
      <c r="F308" s="399">
        <v>89.137991</v>
      </c>
      <c r="G308" s="36">
        <v>51.360069000000003</v>
      </c>
      <c r="H308" s="36">
        <v>80.139797999999999</v>
      </c>
      <c r="I308" s="393">
        <v>221.21937</v>
      </c>
      <c r="J308" s="399">
        <v>245.53179</v>
      </c>
      <c r="K308" s="36">
        <v>153.28793999999999</v>
      </c>
      <c r="L308" s="36">
        <v>193.40976000000001</v>
      </c>
      <c r="M308" s="393">
        <v>454.53062999999997</v>
      </c>
      <c r="N308" s="399">
        <v>54.506230000000002</v>
      </c>
      <c r="O308" s="36">
        <v>32.508263999999997</v>
      </c>
      <c r="P308" s="36">
        <v>45.565435000000001</v>
      </c>
      <c r="Q308" s="393">
        <v>132.01580000000001</v>
      </c>
      <c r="R308" s="399">
        <v>151.58313000000001</v>
      </c>
      <c r="S308" s="36">
        <v>67.425134</v>
      </c>
      <c r="T308" s="36">
        <v>120.68004999999999</v>
      </c>
      <c r="U308" s="393">
        <v>282.30158</v>
      </c>
    </row>
    <row r="309" spans="3:21" s="9" customFormat="1" ht="0.5" customHeight="1">
      <c r="C309" s="9" t="s">
        <v>40</v>
      </c>
      <c r="D309" s="9" t="str">
        <f t="shared" si="38"/>
        <v>Brazil42.5</v>
      </c>
      <c r="E309" s="398">
        <v>42.5</v>
      </c>
      <c r="F309" s="399">
        <v>89.559365999999997</v>
      </c>
      <c r="G309" s="36">
        <v>51.322218999999997</v>
      </c>
      <c r="H309" s="36">
        <v>80.477767</v>
      </c>
      <c r="I309" s="393">
        <v>222.58482000000001</v>
      </c>
      <c r="J309" s="399">
        <v>248.84871000000001</v>
      </c>
      <c r="K309" s="36">
        <v>154.08125000000001</v>
      </c>
      <c r="L309" s="36">
        <v>194.34371999999999</v>
      </c>
      <c r="M309" s="393">
        <v>458.38368000000003</v>
      </c>
      <c r="N309" s="399">
        <v>54.586638999999998</v>
      </c>
      <c r="O309" s="36">
        <v>32.498083999999999</v>
      </c>
      <c r="P309" s="36">
        <v>45.538148999999997</v>
      </c>
      <c r="Q309" s="393">
        <v>131.92907</v>
      </c>
      <c r="R309" s="399">
        <v>153.10673</v>
      </c>
      <c r="S309" s="36">
        <v>67.732605000000007</v>
      </c>
      <c r="T309" s="36">
        <v>120.4769</v>
      </c>
      <c r="U309" s="393">
        <v>284.83476000000002</v>
      </c>
    </row>
    <row r="310" spans="3:21" s="9" customFormat="1" ht="0.5" customHeight="1">
      <c r="C310" s="9" t="s">
        <v>40</v>
      </c>
      <c r="D310" s="9" t="str">
        <f t="shared" si="38"/>
        <v>Brazil43</v>
      </c>
      <c r="E310" s="398">
        <v>43</v>
      </c>
      <c r="F310" s="399">
        <v>89.783066000000005</v>
      </c>
      <c r="G310" s="36">
        <v>51.286738</v>
      </c>
      <c r="H310" s="36">
        <v>80.818869000000007</v>
      </c>
      <c r="I310" s="393">
        <v>223.95101</v>
      </c>
      <c r="J310" s="399">
        <v>252.18770000000001</v>
      </c>
      <c r="K310" s="36">
        <v>154.87844000000001</v>
      </c>
      <c r="L310" s="36">
        <v>195.64073999999999</v>
      </c>
      <c r="M310" s="393">
        <v>462.28613000000001</v>
      </c>
      <c r="N310" s="399">
        <v>54.670121000000002</v>
      </c>
      <c r="O310" s="36">
        <v>32.493130999999998</v>
      </c>
      <c r="P310" s="36">
        <v>45.442625</v>
      </c>
      <c r="Q310" s="393">
        <v>131.78725</v>
      </c>
      <c r="R310" s="399">
        <v>154.62902</v>
      </c>
      <c r="S310" s="36">
        <v>68.204443999999995</v>
      </c>
      <c r="T310" s="36">
        <v>120.15946</v>
      </c>
      <c r="U310" s="393">
        <v>287.36182000000002</v>
      </c>
    </row>
    <row r="311" spans="3:21" s="9" customFormat="1" ht="0.5" customHeight="1">
      <c r="C311" s="9" t="s">
        <v>40</v>
      </c>
      <c r="D311" s="9" t="str">
        <f t="shared" si="38"/>
        <v>Brazil43.5</v>
      </c>
      <c r="E311" s="398">
        <v>43.5</v>
      </c>
      <c r="F311" s="399">
        <v>89.915842999999995</v>
      </c>
      <c r="G311" s="36">
        <v>51.250284000000001</v>
      </c>
      <c r="H311" s="36">
        <v>81.095690000000005</v>
      </c>
      <c r="I311" s="393">
        <v>225.11222000000001</v>
      </c>
      <c r="J311" s="399">
        <v>255.53394</v>
      </c>
      <c r="K311" s="36">
        <v>155.62392</v>
      </c>
      <c r="L311" s="36">
        <v>196.96741</v>
      </c>
      <c r="M311" s="393">
        <v>466.43844000000001</v>
      </c>
      <c r="N311" s="399">
        <v>54.803021999999999</v>
      </c>
      <c r="O311" s="36">
        <v>32.486794000000003</v>
      </c>
      <c r="P311" s="36">
        <v>45.317473</v>
      </c>
      <c r="Q311" s="393">
        <v>131.65942000000001</v>
      </c>
      <c r="R311" s="399">
        <v>156.01617999999999</v>
      </c>
      <c r="S311" s="36">
        <v>68.664793000000003</v>
      </c>
      <c r="T311" s="36">
        <v>119.84505</v>
      </c>
      <c r="U311" s="393">
        <v>289.23667999999998</v>
      </c>
    </row>
    <row r="312" spans="3:21" s="9" customFormat="1" ht="0.5" customHeight="1">
      <c r="C312" s="9" t="s">
        <v>40</v>
      </c>
      <c r="D312" s="9" t="str">
        <f t="shared" si="38"/>
        <v>Brazil44</v>
      </c>
      <c r="E312" s="398">
        <v>44</v>
      </c>
      <c r="F312" s="399">
        <v>90.043470999999997</v>
      </c>
      <c r="G312" s="36">
        <v>51.248297000000001</v>
      </c>
      <c r="H312" s="36">
        <v>81.295382000000004</v>
      </c>
      <c r="I312" s="393">
        <v>226.27180000000001</v>
      </c>
      <c r="J312" s="399">
        <v>258.89157999999998</v>
      </c>
      <c r="K312" s="36">
        <v>156.36733000000001</v>
      </c>
      <c r="L312" s="36">
        <v>197.95606000000001</v>
      </c>
      <c r="M312" s="393">
        <v>470.75724000000002</v>
      </c>
      <c r="N312" s="399">
        <v>54.929357000000003</v>
      </c>
      <c r="O312" s="36">
        <v>32.460988</v>
      </c>
      <c r="P312" s="36">
        <v>45.175868999999999</v>
      </c>
      <c r="Q312" s="393">
        <v>131.52968999999999</v>
      </c>
      <c r="R312" s="399">
        <v>157.39519999999999</v>
      </c>
      <c r="S312" s="36">
        <v>69.451792999999995</v>
      </c>
      <c r="T312" s="36">
        <v>119.72042</v>
      </c>
      <c r="U312" s="393">
        <v>291.13670999999999</v>
      </c>
    </row>
    <row r="313" spans="3:21" s="9" customFormat="1" ht="0.5" customHeight="1">
      <c r="C313" s="9" t="s">
        <v>40</v>
      </c>
      <c r="D313" s="9" t="str">
        <f t="shared" si="38"/>
        <v>Brazil44.5</v>
      </c>
      <c r="E313" s="398">
        <v>44.5</v>
      </c>
      <c r="F313" s="399">
        <v>90.173569999999998</v>
      </c>
      <c r="G313" s="36">
        <v>51.243319</v>
      </c>
      <c r="H313" s="36">
        <v>81.417693</v>
      </c>
      <c r="I313" s="393">
        <v>226.87710000000001</v>
      </c>
      <c r="J313" s="399">
        <v>262.28530000000001</v>
      </c>
      <c r="K313" s="36">
        <v>157.40287000000001</v>
      </c>
      <c r="L313" s="36">
        <v>198.85910000000001</v>
      </c>
      <c r="M313" s="393">
        <v>474.88549999999998</v>
      </c>
      <c r="N313" s="399">
        <v>55.005023999999999</v>
      </c>
      <c r="O313" s="36">
        <v>32.436947000000004</v>
      </c>
      <c r="P313" s="36">
        <v>45.044505000000001</v>
      </c>
      <c r="Q313" s="393">
        <v>131.37071</v>
      </c>
      <c r="R313" s="399">
        <v>158.90441999999999</v>
      </c>
      <c r="S313" s="36">
        <v>70.232832999999999</v>
      </c>
      <c r="T313" s="36">
        <v>119.5899</v>
      </c>
      <c r="U313" s="393">
        <v>292.93236000000002</v>
      </c>
    </row>
    <row r="314" spans="3:21" s="9" customFormat="1" ht="0.5" customHeight="1">
      <c r="C314" s="9" t="s">
        <v>40</v>
      </c>
      <c r="D314" s="9" t="str">
        <f t="shared" si="38"/>
        <v>Brazil45</v>
      </c>
      <c r="E314" s="398">
        <v>45</v>
      </c>
      <c r="F314" s="399">
        <v>90.308859999999996</v>
      </c>
      <c r="G314" s="36">
        <v>51.224885999999998</v>
      </c>
      <c r="H314" s="36">
        <v>81.460783000000006</v>
      </c>
      <c r="I314" s="393">
        <v>227.48562000000001</v>
      </c>
      <c r="J314" s="399">
        <v>265.68450000000001</v>
      </c>
      <c r="K314" s="36">
        <v>158.51373000000001</v>
      </c>
      <c r="L314" s="36">
        <v>199.69202000000001</v>
      </c>
      <c r="M314" s="393">
        <v>478.90235000000001</v>
      </c>
      <c r="N314" s="399">
        <v>55.07958</v>
      </c>
      <c r="O314" s="36">
        <v>32.412374</v>
      </c>
      <c r="P314" s="36">
        <v>44.944947999999997</v>
      </c>
      <c r="Q314" s="393">
        <v>131.19551999999999</v>
      </c>
      <c r="R314" s="399">
        <v>160.41791000000001</v>
      </c>
      <c r="S314" s="36">
        <v>70.862306000000004</v>
      </c>
      <c r="T314" s="36">
        <v>119.99542</v>
      </c>
      <c r="U314" s="393">
        <v>294.72242</v>
      </c>
    </row>
    <row r="315" spans="3:21" s="9" customFormat="1" ht="0.5" customHeight="1">
      <c r="C315" s="9" t="s">
        <v>40</v>
      </c>
      <c r="D315" s="9" t="str">
        <f t="shared" ref="D315:D378" si="39">CONCATENATE(C315,E315)</f>
        <v>Brazil45.5</v>
      </c>
      <c r="E315" s="398">
        <v>45.5</v>
      </c>
      <c r="F315" s="399">
        <v>90.429674000000006</v>
      </c>
      <c r="G315" s="36">
        <v>51.212888999999997</v>
      </c>
      <c r="H315" s="36">
        <v>81.377778000000006</v>
      </c>
      <c r="I315" s="393">
        <v>228.22629000000001</v>
      </c>
      <c r="J315" s="399">
        <v>269.13738000000001</v>
      </c>
      <c r="K315" s="36">
        <v>159.61984000000001</v>
      </c>
      <c r="L315" s="36">
        <v>200.59317999999999</v>
      </c>
      <c r="M315" s="393">
        <v>483.08148</v>
      </c>
      <c r="N315" s="399">
        <v>55.199860000000001</v>
      </c>
      <c r="O315" s="36">
        <v>32.375506999999999</v>
      </c>
      <c r="P315" s="36">
        <v>44.870489999999997</v>
      </c>
      <c r="Q315" s="393">
        <v>131.04138</v>
      </c>
      <c r="R315" s="399">
        <v>162.03921</v>
      </c>
      <c r="S315" s="36">
        <v>71.505573999999996</v>
      </c>
      <c r="T315" s="36">
        <v>120.36797</v>
      </c>
      <c r="U315" s="393">
        <v>296.23473000000001</v>
      </c>
    </row>
    <row r="316" spans="3:21" s="9" customFormat="1" ht="0.5" customHeight="1">
      <c r="C316" s="9" t="s">
        <v>40</v>
      </c>
      <c r="D316" s="9" t="str">
        <f t="shared" si="39"/>
        <v>Brazil46</v>
      </c>
      <c r="E316" s="398">
        <v>46</v>
      </c>
      <c r="F316" s="399">
        <v>90.569182999999995</v>
      </c>
      <c r="G316" s="36">
        <v>51.131298000000001</v>
      </c>
      <c r="H316" s="36">
        <v>81.247611000000006</v>
      </c>
      <c r="I316" s="393">
        <v>228.98240999999999</v>
      </c>
      <c r="J316" s="399">
        <v>272.61583999999999</v>
      </c>
      <c r="K316" s="36">
        <v>160.71266</v>
      </c>
      <c r="L316" s="36">
        <v>202.2774</v>
      </c>
      <c r="M316" s="393">
        <v>487.39073000000002</v>
      </c>
      <c r="N316" s="399">
        <v>55.322465999999999</v>
      </c>
      <c r="O316" s="36">
        <v>32.340138000000003</v>
      </c>
      <c r="P316" s="36">
        <v>44.830928999999998</v>
      </c>
      <c r="Q316" s="393">
        <v>130.8655</v>
      </c>
      <c r="R316" s="399">
        <v>163.69782000000001</v>
      </c>
      <c r="S316" s="36">
        <v>72.033203</v>
      </c>
      <c r="T316" s="36">
        <v>120.89521000000001</v>
      </c>
      <c r="U316" s="393">
        <v>297.72467</v>
      </c>
    </row>
    <row r="317" spans="3:21" s="9" customFormat="1" ht="0.5" customHeight="1">
      <c r="C317" s="9" t="s">
        <v>40</v>
      </c>
      <c r="D317" s="9" t="str">
        <f t="shared" si="39"/>
        <v>Brazil46.5</v>
      </c>
      <c r="E317" s="398">
        <v>46.5</v>
      </c>
      <c r="F317" s="399">
        <v>90.683134999999993</v>
      </c>
      <c r="G317" s="36">
        <v>51.056286999999998</v>
      </c>
      <c r="H317" s="36">
        <v>81.101577000000006</v>
      </c>
      <c r="I317" s="393">
        <v>229.93059</v>
      </c>
      <c r="J317" s="399">
        <v>276.108</v>
      </c>
      <c r="K317" s="36">
        <v>162.06806</v>
      </c>
      <c r="L317" s="36">
        <v>203.98690999999999</v>
      </c>
      <c r="M317" s="393">
        <v>491.47615999999999</v>
      </c>
      <c r="N317" s="399">
        <v>55.427137999999999</v>
      </c>
      <c r="O317" s="36">
        <v>32.316132000000003</v>
      </c>
      <c r="P317" s="36">
        <v>44.785353999999998</v>
      </c>
      <c r="Q317" s="393">
        <v>130.68575000000001</v>
      </c>
      <c r="R317" s="399">
        <v>165.28700000000001</v>
      </c>
      <c r="S317" s="36">
        <v>72.571216000000007</v>
      </c>
      <c r="T317" s="36">
        <v>121.40062</v>
      </c>
      <c r="U317" s="393">
        <v>298.48664000000002</v>
      </c>
    </row>
    <row r="318" spans="3:21" s="9" customFormat="1" ht="0.5" customHeight="1">
      <c r="C318" s="9" t="s">
        <v>40</v>
      </c>
      <c r="D318" s="9" t="str">
        <f t="shared" si="39"/>
        <v>Brazil47</v>
      </c>
      <c r="E318" s="398">
        <v>47</v>
      </c>
      <c r="F318" s="399">
        <v>90.788088000000002</v>
      </c>
      <c r="G318" s="36">
        <v>50.904040999999999</v>
      </c>
      <c r="H318" s="36">
        <v>80.883623999999998</v>
      </c>
      <c r="I318" s="393">
        <v>230.88697999999999</v>
      </c>
      <c r="J318" s="399">
        <v>279.50355000000002</v>
      </c>
      <c r="K318" s="36">
        <v>163.43709999999999</v>
      </c>
      <c r="L318" s="36">
        <v>205.59279000000001</v>
      </c>
      <c r="M318" s="393">
        <v>495.52206000000001</v>
      </c>
      <c r="N318" s="399">
        <v>55.525967999999999</v>
      </c>
      <c r="O318" s="36">
        <v>32.314106000000002</v>
      </c>
      <c r="P318" s="36">
        <v>44.711967000000001</v>
      </c>
      <c r="Q318" s="393">
        <v>130.63989000000001</v>
      </c>
      <c r="R318" s="399">
        <v>166.83448000000001</v>
      </c>
      <c r="S318" s="36">
        <v>72.879962000000006</v>
      </c>
      <c r="T318" s="36">
        <v>122.56295</v>
      </c>
      <c r="U318" s="393">
        <v>299.30732999999998</v>
      </c>
    </row>
    <row r="319" spans="3:21" s="9" customFormat="1" ht="0.5" customHeight="1">
      <c r="C319" s="9" t="s">
        <v>40</v>
      </c>
      <c r="D319" s="9" t="str">
        <f t="shared" si="39"/>
        <v>Brazil47.5</v>
      </c>
      <c r="E319" s="398">
        <v>47.5</v>
      </c>
      <c r="F319" s="399">
        <v>90.896305999999996</v>
      </c>
      <c r="G319" s="36">
        <v>50.756892000000001</v>
      </c>
      <c r="H319" s="36">
        <v>80.624466999999996</v>
      </c>
      <c r="I319" s="393">
        <v>231.64258000000001</v>
      </c>
      <c r="J319" s="399">
        <v>282.73181</v>
      </c>
      <c r="K319" s="36">
        <v>164.03868</v>
      </c>
      <c r="L319" s="36">
        <v>207.19989000000001</v>
      </c>
      <c r="M319" s="393">
        <v>499.69065000000001</v>
      </c>
      <c r="N319" s="399">
        <v>55.547061999999997</v>
      </c>
      <c r="O319" s="36">
        <v>32.311647000000001</v>
      </c>
      <c r="P319" s="36">
        <v>44.624612999999997</v>
      </c>
      <c r="Q319" s="393">
        <v>130.62519</v>
      </c>
      <c r="R319" s="399">
        <v>168.05878999999999</v>
      </c>
      <c r="S319" s="36">
        <v>73.210137000000003</v>
      </c>
      <c r="T319" s="36">
        <v>123.71343</v>
      </c>
      <c r="U319" s="393">
        <v>298.9393</v>
      </c>
    </row>
    <row r="320" spans="3:21" s="9" customFormat="1" ht="0.5" customHeight="1">
      <c r="C320" s="9" t="s">
        <v>40</v>
      </c>
      <c r="D320" s="9" t="str">
        <f t="shared" si="39"/>
        <v>Brazil48</v>
      </c>
      <c r="E320" s="398">
        <v>48</v>
      </c>
      <c r="F320" s="399">
        <v>90.907820000000001</v>
      </c>
      <c r="G320" s="36">
        <v>50.604728000000001</v>
      </c>
      <c r="H320" s="36">
        <v>80.417232999999996</v>
      </c>
      <c r="I320" s="393">
        <v>232.40115</v>
      </c>
      <c r="J320" s="399">
        <v>285.97361999999998</v>
      </c>
      <c r="K320" s="36">
        <v>164.57372000000001</v>
      </c>
      <c r="L320" s="36">
        <v>209.36610999999999</v>
      </c>
      <c r="M320" s="393">
        <v>503.85422</v>
      </c>
      <c r="N320" s="399">
        <v>55.561748999999999</v>
      </c>
      <c r="O320" s="36">
        <v>32.290443000000003</v>
      </c>
      <c r="P320" s="36">
        <v>44.488131000000003</v>
      </c>
      <c r="Q320" s="393">
        <v>130.41734</v>
      </c>
      <c r="R320" s="399">
        <v>169.26208</v>
      </c>
      <c r="S320" s="36">
        <v>73.495603000000003</v>
      </c>
      <c r="T320" s="36">
        <v>124.76049</v>
      </c>
      <c r="U320" s="393">
        <v>298.60471999999999</v>
      </c>
    </row>
    <row r="321" spans="3:21" s="9" customFormat="1" ht="0.5" customHeight="1">
      <c r="C321" s="9" t="s">
        <v>40</v>
      </c>
      <c r="D321" s="9" t="str">
        <f t="shared" si="39"/>
        <v>Brazil48.5</v>
      </c>
      <c r="E321" s="398">
        <v>48.5</v>
      </c>
      <c r="F321" s="399">
        <v>90.821449999999999</v>
      </c>
      <c r="G321" s="36">
        <v>50.453074000000001</v>
      </c>
      <c r="H321" s="36">
        <v>80.255636999999993</v>
      </c>
      <c r="I321" s="393">
        <v>232.71713</v>
      </c>
      <c r="J321" s="399">
        <v>289.24391000000003</v>
      </c>
      <c r="K321" s="36">
        <v>164.35365999999999</v>
      </c>
      <c r="L321" s="36">
        <v>211.57136</v>
      </c>
      <c r="M321" s="393">
        <v>508.14078999999998</v>
      </c>
      <c r="N321" s="399">
        <v>55.531941000000003</v>
      </c>
      <c r="O321" s="36">
        <v>32.254973999999997</v>
      </c>
      <c r="P321" s="36">
        <v>44.339171</v>
      </c>
      <c r="Q321" s="393">
        <v>130.08699999999999</v>
      </c>
      <c r="R321" s="399">
        <v>170.24163999999999</v>
      </c>
      <c r="S321" s="36">
        <v>73.780601000000004</v>
      </c>
      <c r="T321" s="36">
        <v>125.80880999999999</v>
      </c>
      <c r="U321" s="393">
        <v>298.28978999999998</v>
      </c>
    </row>
    <row r="322" spans="3:21" s="9" customFormat="1" ht="0.5" customHeight="1">
      <c r="C322" s="9" t="s">
        <v>40</v>
      </c>
      <c r="D322" s="9" t="str">
        <f t="shared" si="39"/>
        <v>Brazil49</v>
      </c>
      <c r="E322" s="398">
        <v>49</v>
      </c>
      <c r="F322" s="399">
        <v>90.674032999999994</v>
      </c>
      <c r="G322" s="36">
        <v>50.294868999999998</v>
      </c>
      <c r="H322" s="36">
        <v>80.095203999999995</v>
      </c>
      <c r="I322" s="393">
        <v>233.03452999999999</v>
      </c>
      <c r="J322" s="399">
        <v>292.53482000000002</v>
      </c>
      <c r="K322" s="36">
        <v>164.10285999999999</v>
      </c>
      <c r="L322" s="36">
        <v>213.67017999999999</v>
      </c>
      <c r="M322" s="393">
        <v>512.48699999999997</v>
      </c>
      <c r="N322" s="399">
        <v>55.508276000000002</v>
      </c>
      <c r="O322" s="36">
        <v>32.203769000000001</v>
      </c>
      <c r="P322" s="36">
        <v>44.215049999999998</v>
      </c>
      <c r="Q322" s="393">
        <v>129.85459</v>
      </c>
      <c r="R322" s="399">
        <v>171.16764000000001</v>
      </c>
      <c r="S322" s="36">
        <v>74.087717999999995</v>
      </c>
      <c r="T322" s="36">
        <v>126.75044</v>
      </c>
      <c r="U322" s="393">
        <v>297.99561</v>
      </c>
    </row>
    <row r="323" spans="3:21" s="9" customFormat="1" ht="0.5" customHeight="1">
      <c r="C323" s="9" t="s">
        <v>40</v>
      </c>
      <c r="D323" s="9" t="str">
        <f t="shared" si="39"/>
        <v>Brazil49.5</v>
      </c>
      <c r="E323" s="398">
        <v>49.5</v>
      </c>
      <c r="F323" s="399">
        <v>90.463876999999997</v>
      </c>
      <c r="G323" s="36">
        <v>50.135129999999997</v>
      </c>
      <c r="H323" s="36">
        <v>79.976962999999998</v>
      </c>
      <c r="I323" s="393">
        <v>233.47710000000001</v>
      </c>
      <c r="J323" s="399">
        <v>295.75141000000002</v>
      </c>
      <c r="K323" s="36">
        <v>163.30277000000001</v>
      </c>
      <c r="L323" s="36">
        <v>215.77896999999999</v>
      </c>
      <c r="M323" s="393">
        <v>516.7604</v>
      </c>
      <c r="N323" s="399">
        <v>55.504092999999997</v>
      </c>
      <c r="O323" s="36">
        <v>32.156942000000001</v>
      </c>
      <c r="P323" s="36">
        <v>44.117148</v>
      </c>
      <c r="Q323" s="393">
        <v>129.74780000000001</v>
      </c>
      <c r="R323" s="399">
        <v>172.04616999999999</v>
      </c>
      <c r="S323" s="36">
        <v>74.360500000000002</v>
      </c>
      <c r="T323" s="36">
        <v>127.71083</v>
      </c>
      <c r="U323" s="393">
        <v>297.04142999999999</v>
      </c>
    </row>
    <row r="324" spans="3:21" s="9" customFormat="1" ht="0.5" customHeight="1">
      <c r="C324" s="9" t="s">
        <v>40</v>
      </c>
      <c r="D324" s="9" t="str">
        <f t="shared" si="39"/>
        <v>Brazil50</v>
      </c>
      <c r="E324" s="398">
        <v>50</v>
      </c>
      <c r="F324" s="399">
        <v>90.204009999999997</v>
      </c>
      <c r="G324" s="36">
        <v>49.977823000000001</v>
      </c>
      <c r="H324" s="36">
        <v>79.889329000000004</v>
      </c>
      <c r="I324" s="393">
        <v>233.92505</v>
      </c>
      <c r="J324" s="399">
        <v>298.75983000000002</v>
      </c>
      <c r="K324" s="36">
        <v>162.49930000000001</v>
      </c>
      <c r="L324" s="36">
        <v>217.86951999999999</v>
      </c>
      <c r="M324" s="393">
        <v>520.84295999999995</v>
      </c>
      <c r="N324" s="399">
        <v>55.495100000000001</v>
      </c>
      <c r="O324" s="36">
        <v>32.114721000000003</v>
      </c>
      <c r="P324" s="36">
        <v>43.996051999999999</v>
      </c>
      <c r="Q324" s="393">
        <v>129.67722000000001</v>
      </c>
      <c r="R324" s="399">
        <v>172.95632000000001</v>
      </c>
      <c r="S324" s="36">
        <v>75.289711999999994</v>
      </c>
      <c r="T324" s="36">
        <v>128.26759999999999</v>
      </c>
      <c r="U324" s="393">
        <v>296.07699000000002</v>
      </c>
    </row>
    <row r="325" spans="3:21" s="9" customFormat="1" ht="0.5" customHeight="1">
      <c r="C325" s="9" t="s">
        <v>40</v>
      </c>
      <c r="D325" s="9" t="str">
        <f t="shared" si="39"/>
        <v>Brazil50.5</v>
      </c>
      <c r="E325" s="398">
        <v>50.5</v>
      </c>
      <c r="F325" s="399">
        <v>89.964619999999996</v>
      </c>
      <c r="G325" s="36">
        <v>49.814917000000001</v>
      </c>
      <c r="H325" s="36">
        <v>79.828638999999995</v>
      </c>
      <c r="I325" s="393">
        <v>234.42491000000001</v>
      </c>
      <c r="J325" s="399">
        <v>301.57864999999998</v>
      </c>
      <c r="K325" s="36">
        <v>161.99973</v>
      </c>
      <c r="L325" s="36">
        <v>219.90289999999999</v>
      </c>
      <c r="M325" s="393">
        <v>524.55852000000004</v>
      </c>
      <c r="N325" s="399">
        <v>55.508479000000001</v>
      </c>
      <c r="O325" s="36">
        <v>32.059466</v>
      </c>
      <c r="P325" s="36">
        <v>43.844594999999998</v>
      </c>
      <c r="Q325" s="393">
        <v>129.60726</v>
      </c>
      <c r="R325" s="399">
        <v>173.58494999999999</v>
      </c>
      <c r="S325" s="36">
        <v>76.155450999999999</v>
      </c>
      <c r="T325" s="36">
        <v>128.83895000000001</v>
      </c>
      <c r="U325" s="393">
        <v>295.39157</v>
      </c>
    </row>
    <row r="326" spans="3:21" s="9" customFormat="1" ht="0.5" customHeight="1">
      <c r="C326" s="9" t="s">
        <v>40</v>
      </c>
      <c r="D326" s="9" t="str">
        <f t="shared" si="39"/>
        <v>Brazil51</v>
      </c>
      <c r="E326" s="398">
        <v>51</v>
      </c>
      <c r="F326" s="399">
        <v>89.775621999999998</v>
      </c>
      <c r="G326" s="36">
        <v>49.713808999999998</v>
      </c>
      <c r="H326" s="36">
        <v>79.713817000000006</v>
      </c>
      <c r="I326" s="393">
        <v>234.88679999999999</v>
      </c>
      <c r="J326" s="399">
        <v>304.44373000000002</v>
      </c>
      <c r="K326" s="36">
        <v>161.51684</v>
      </c>
      <c r="L326" s="36">
        <v>221.38986</v>
      </c>
      <c r="M326" s="393">
        <v>528.14293999999995</v>
      </c>
      <c r="N326" s="399">
        <v>55.522523999999997</v>
      </c>
      <c r="O326" s="36">
        <v>31.970728000000001</v>
      </c>
      <c r="P326" s="36">
        <v>43.622821999999999</v>
      </c>
      <c r="Q326" s="393">
        <v>129.53006999999999</v>
      </c>
      <c r="R326" s="399">
        <v>174.20024000000001</v>
      </c>
      <c r="S326" s="36">
        <v>77.027585999999999</v>
      </c>
      <c r="T326" s="36">
        <v>128.82281</v>
      </c>
      <c r="U326" s="393">
        <v>294.70528000000002</v>
      </c>
    </row>
    <row r="327" spans="3:21" s="9" customFormat="1" ht="0.5" customHeight="1">
      <c r="C327" s="9" t="s">
        <v>40</v>
      </c>
      <c r="D327" s="9" t="str">
        <f t="shared" si="39"/>
        <v>Brazil51.5</v>
      </c>
      <c r="E327" s="398">
        <v>51.5</v>
      </c>
      <c r="F327" s="399">
        <v>89.572073000000003</v>
      </c>
      <c r="G327" s="36">
        <v>49.612099000000001</v>
      </c>
      <c r="H327" s="36">
        <v>79.480818999999997</v>
      </c>
      <c r="I327" s="393">
        <v>235.16876999999999</v>
      </c>
      <c r="J327" s="399">
        <v>307.38646</v>
      </c>
      <c r="K327" s="36">
        <v>161.01656</v>
      </c>
      <c r="L327" s="36">
        <v>222.84950000000001</v>
      </c>
      <c r="M327" s="393">
        <v>531.45028000000002</v>
      </c>
      <c r="N327" s="399">
        <v>55.579676999999997</v>
      </c>
      <c r="O327" s="36">
        <v>31.860461000000001</v>
      </c>
      <c r="P327" s="36">
        <v>43.353966999999997</v>
      </c>
      <c r="Q327" s="393">
        <v>129.42778999999999</v>
      </c>
      <c r="R327" s="399">
        <v>174.91775999999999</v>
      </c>
      <c r="S327" s="36">
        <v>77.915406000000004</v>
      </c>
      <c r="T327" s="36">
        <v>128.82040000000001</v>
      </c>
      <c r="U327" s="393">
        <v>293.16964000000002</v>
      </c>
    </row>
    <row r="328" spans="3:21" s="9" customFormat="1" ht="0.5" customHeight="1">
      <c r="C328" s="9" t="s">
        <v>40</v>
      </c>
      <c r="D328" s="9" t="str">
        <f t="shared" si="39"/>
        <v>Brazil52</v>
      </c>
      <c r="E328" s="398">
        <v>52</v>
      </c>
      <c r="F328" s="399">
        <v>89.332971000000001</v>
      </c>
      <c r="G328" s="36">
        <v>49.558480000000003</v>
      </c>
      <c r="H328" s="36">
        <v>79.162071999999995</v>
      </c>
      <c r="I328" s="393">
        <v>235.39886999999999</v>
      </c>
      <c r="J328" s="399">
        <v>310.31587999999999</v>
      </c>
      <c r="K328" s="36">
        <v>160.54109</v>
      </c>
      <c r="L328" s="36">
        <v>223.63649000000001</v>
      </c>
      <c r="M328" s="393">
        <v>534.38549999999998</v>
      </c>
      <c r="N328" s="399">
        <v>55.643630999999999</v>
      </c>
      <c r="O328" s="36">
        <v>31.734548</v>
      </c>
      <c r="P328" s="36">
        <v>43.019131999999999</v>
      </c>
      <c r="Q328" s="393">
        <v>129.27686</v>
      </c>
      <c r="R328" s="399">
        <v>175.62513000000001</v>
      </c>
      <c r="S328" s="36">
        <v>78.541156999999998</v>
      </c>
      <c r="T328" s="36">
        <v>128.91967</v>
      </c>
      <c r="U328" s="393">
        <v>291.62110999999999</v>
      </c>
    </row>
    <row r="329" spans="3:21" s="9" customFormat="1" ht="0.5" customHeight="1">
      <c r="C329" s="9" t="s">
        <v>40</v>
      </c>
      <c r="D329" s="9" t="str">
        <f t="shared" si="39"/>
        <v>Brazil52.5</v>
      </c>
      <c r="E329" s="398">
        <v>52.5</v>
      </c>
      <c r="F329" s="399">
        <v>89.095344999999995</v>
      </c>
      <c r="G329" s="36">
        <v>49.502132000000003</v>
      </c>
      <c r="H329" s="36">
        <v>78.778717</v>
      </c>
      <c r="I329" s="393">
        <v>235.55991</v>
      </c>
      <c r="J329" s="399">
        <v>313.27379000000002</v>
      </c>
      <c r="K329" s="36">
        <v>160.33498</v>
      </c>
      <c r="L329" s="36">
        <v>224.39107000000001</v>
      </c>
      <c r="M329" s="393">
        <v>536.96285999999998</v>
      </c>
      <c r="N329" s="399">
        <v>55.703546000000003</v>
      </c>
      <c r="O329" s="36">
        <v>31.607313999999999</v>
      </c>
      <c r="P329" s="36">
        <v>42.655693999999997</v>
      </c>
      <c r="Q329" s="393">
        <v>129.03997000000001</v>
      </c>
      <c r="R329" s="399">
        <v>176.34368000000001</v>
      </c>
      <c r="S329" s="36">
        <v>79.188587999999996</v>
      </c>
      <c r="T329" s="36">
        <v>129.02148</v>
      </c>
      <c r="U329" s="393">
        <v>290.49480999999997</v>
      </c>
    </row>
    <row r="330" spans="3:21" s="9" customFormat="1" ht="0.5" customHeight="1">
      <c r="C330" s="9" t="s">
        <v>40</v>
      </c>
      <c r="D330" s="9" t="str">
        <f t="shared" si="39"/>
        <v>Brazil53</v>
      </c>
      <c r="E330" s="398">
        <v>53</v>
      </c>
      <c r="F330" s="399">
        <v>88.894290999999996</v>
      </c>
      <c r="G330" s="36">
        <v>49.453271000000001</v>
      </c>
      <c r="H330" s="36">
        <v>78.373345</v>
      </c>
      <c r="I330" s="393">
        <v>235.83955</v>
      </c>
      <c r="J330" s="399">
        <v>316.27224000000001</v>
      </c>
      <c r="K330" s="36">
        <v>160.08629999999999</v>
      </c>
      <c r="L330" s="36">
        <v>225.11158</v>
      </c>
      <c r="M330" s="393">
        <v>539.40499</v>
      </c>
      <c r="N330" s="399">
        <v>55.785809</v>
      </c>
      <c r="O330" s="36">
        <v>31.456969000000001</v>
      </c>
      <c r="P330" s="36">
        <v>42.248100999999998</v>
      </c>
      <c r="Q330" s="393">
        <v>128.82714999999999</v>
      </c>
      <c r="R330" s="399">
        <v>177.06209000000001</v>
      </c>
      <c r="S330" s="36">
        <v>79.900543999999996</v>
      </c>
      <c r="T330" s="36">
        <v>128.61045999999999</v>
      </c>
      <c r="U330" s="393">
        <v>289.45253000000002</v>
      </c>
    </row>
    <row r="331" spans="3:21" s="9" customFormat="1" ht="0.5" customHeight="1">
      <c r="C331" s="9" t="s">
        <v>40</v>
      </c>
      <c r="D331" s="9" t="str">
        <f t="shared" si="39"/>
        <v>Brazil53.5</v>
      </c>
      <c r="E331" s="398">
        <v>53.5</v>
      </c>
      <c r="F331" s="399">
        <v>88.717039</v>
      </c>
      <c r="G331" s="36">
        <v>49.409483999999999</v>
      </c>
      <c r="H331" s="36">
        <v>77.778773999999999</v>
      </c>
      <c r="I331" s="393">
        <v>236.26344</v>
      </c>
      <c r="J331" s="399">
        <v>319.33391999999998</v>
      </c>
      <c r="K331" s="36">
        <v>159.89322999999999</v>
      </c>
      <c r="L331" s="36">
        <v>225.65342999999999</v>
      </c>
      <c r="M331" s="393">
        <v>542.13756999999998</v>
      </c>
      <c r="N331" s="399">
        <v>55.925227</v>
      </c>
      <c r="O331" s="36">
        <v>31.295185</v>
      </c>
      <c r="P331" s="36">
        <v>41.813068999999999</v>
      </c>
      <c r="Q331" s="393">
        <v>128.74336</v>
      </c>
      <c r="R331" s="399">
        <v>177.62984</v>
      </c>
      <c r="S331" s="36">
        <v>80.441636000000003</v>
      </c>
      <c r="T331" s="36">
        <v>128.27358000000001</v>
      </c>
      <c r="U331" s="393">
        <v>288.48388999999997</v>
      </c>
    </row>
    <row r="332" spans="3:21" s="9" customFormat="1" ht="0.5" customHeight="1">
      <c r="C332" s="9" t="s">
        <v>40</v>
      </c>
      <c r="D332" s="9" t="str">
        <f t="shared" si="39"/>
        <v>Brazil54</v>
      </c>
      <c r="E332" s="398">
        <v>54</v>
      </c>
      <c r="F332" s="399">
        <v>88.537474000000003</v>
      </c>
      <c r="G332" s="36">
        <v>49.381867</v>
      </c>
      <c r="H332" s="36">
        <v>77.045252000000005</v>
      </c>
      <c r="I332" s="393">
        <v>236.98555999999999</v>
      </c>
      <c r="J332" s="399">
        <v>322.45756</v>
      </c>
      <c r="K332" s="36">
        <v>160.47801999999999</v>
      </c>
      <c r="L332" s="36">
        <v>226.01168000000001</v>
      </c>
      <c r="M332" s="393">
        <v>545.46316000000002</v>
      </c>
      <c r="N332" s="399">
        <v>56.089765</v>
      </c>
      <c r="O332" s="36">
        <v>31.126643000000001</v>
      </c>
      <c r="P332" s="36">
        <v>41.340286999999996</v>
      </c>
      <c r="Q332" s="393">
        <v>128.91703000000001</v>
      </c>
      <c r="R332" s="399">
        <v>178.19988000000001</v>
      </c>
      <c r="S332" s="36">
        <v>80.607799</v>
      </c>
      <c r="T332" s="36">
        <v>128.04789</v>
      </c>
      <c r="U332" s="393">
        <v>286.90591000000001</v>
      </c>
    </row>
    <row r="333" spans="3:21" s="9" customFormat="1" ht="0.5" customHeight="1">
      <c r="C333" s="9" t="s">
        <v>40</v>
      </c>
      <c r="D333" s="9" t="str">
        <f t="shared" si="39"/>
        <v>Brazil54.5</v>
      </c>
      <c r="E333" s="398">
        <v>54.5</v>
      </c>
      <c r="F333" s="399">
        <v>88.315173000000001</v>
      </c>
      <c r="G333" s="36">
        <v>49.401887000000002</v>
      </c>
      <c r="H333" s="36">
        <v>76.226833999999997</v>
      </c>
      <c r="I333" s="393">
        <v>237.35039</v>
      </c>
      <c r="J333" s="399">
        <v>325.53699</v>
      </c>
      <c r="K333" s="36">
        <v>161.24936</v>
      </c>
      <c r="L333" s="36">
        <v>226.58969999999999</v>
      </c>
      <c r="M333" s="393">
        <v>549.57951000000003</v>
      </c>
      <c r="N333" s="399">
        <v>56.231513999999997</v>
      </c>
      <c r="O333" s="36">
        <v>30.919757000000001</v>
      </c>
      <c r="P333" s="36">
        <v>40.799083000000003</v>
      </c>
      <c r="Q333" s="393">
        <v>129.32982999999999</v>
      </c>
      <c r="R333" s="399">
        <v>179.02839</v>
      </c>
      <c r="S333" s="36">
        <v>80.305193000000003</v>
      </c>
      <c r="T333" s="36">
        <v>127.82185</v>
      </c>
      <c r="U333" s="393">
        <v>284.80658</v>
      </c>
    </row>
    <row r="334" spans="3:21" s="9" customFormat="1" ht="0.5" customHeight="1">
      <c r="C334" s="9" t="s">
        <v>40</v>
      </c>
      <c r="D334" s="9" t="str">
        <f t="shared" si="39"/>
        <v>Brazil55</v>
      </c>
      <c r="E334" s="398">
        <v>55</v>
      </c>
      <c r="F334" s="399">
        <v>88.019383000000005</v>
      </c>
      <c r="G334" s="36">
        <v>49.442501999999998</v>
      </c>
      <c r="H334" s="36">
        <v>75.308852000000002</v>
      </c>
      <c r="I334" s="393">
        <v>237.34902</v>
      </c>
      <c r="J334" s="399">
        <v>328.13569999999999</v>
      </c>
      <c r="K334" s="36">
        <v>162.2003</v>
      </c>
      <c r="L334" s="36">
        <v>226.73383000000001</v>
      </c>
      <c r="M334" s="393">
        <v>554.81838000000005</v>
      </c>
      <c r="N334" s="399">
        <v>56.246398999999997</v>
      </c>
      <c r="O334" s="36">
        <v>30.648758000000001</v>
      </c>
      <c r="P334" s="36">
        <v>40.173515999999999</v>
      </c>
      <c r="Q334" s="393">
        <v>129.75460000000001</v>
      </c>
      <c r="R334" s="399">
        <v>181.11783</v>
      </c>
      <c r="S334" s="36">
        <v>79.775296999999995</v>
      </c>
      <c r="T334" s="36">
        <v>127.68966</v>
      </c>
      <c r="U334" s="393">
        <v>281.08994000000001</v>
      </c>
    </row>
    <row r="335" spans="3:21" s="9" customFormat="1" ht="0.5" customHeight="1">
      <c r="C335" s="9" t="s">
        <v>41</v>
      </c>
      <c r="D335" s="9" t="str">
        <f t="shared" si="39"/>
        <v>Chile20</v>
      </c>
      <c r="E335" s="398">
        <v>20</v>
      </c>
      <c r="F335" s="399">
        <v>61.557969</v>
      </c>
      <c r="G335" s="36">
        <v>46.499949000000001</v>
      </c>
      <c r="H335" s="36">
        <v>72.866815000000003</v>
      </c>
      <c r="I335" s="393">
        <v>146.23191</v>
      </c>
      <c r="J335" s="399">
        <v>77.291747999999998</v>
      </c>
      <c r="K335" s="36">
        <v>59.572690000000001</v>
      </c>
      <c r="L335" s="36">
        <v>107.99096</v>
      </c>
      <c r="M335" s="393">
        <v>211.74940000000001</v>
      </c>
      <c r="N335" s="399">
        <v>55.963405999999999</v>
      </c>
      <c r="O335" s="36">
        <v>40.090223000000002</v>
      </c>
      <c r="P335" s="36">
        <v>57.804729999999999</v>
      </c>
      <c r="Q335" s="393">
        <v>144.40880999999999</v>
      </c>
      <c r="R335" s="399">
        <v>67.863973999999999</v>
      </c>
      <c r="S335" s="36">
        <v>49.571421000000001</v>
      </c>
      <c r="T335" s="36">
        <v>72.554558</v>
      </c>
      <c r="U335" s="393">
        <v>137.28412</v>
      </c>
    </row>
    <row r="336" spans="3:21" s="9" customFormat="1" ht="0.5" customHeight="1">
      <c r="C336" s="9" t="s">
        <v>41</v>
      </c>
      <c r="D336" s="9" t="str">
        <f t="shared" si="39"/>
        <v>Chile20.5</v>
      </c>
      <c r="E336" s="398">
        <v>20.5</v>
      </c>
      <c r="F336" s="399">
        <v>62.188862</v>
      </c>
      <c r="G336" s="36">
        <v>47.036507</v>
      </c>
      <c r="H336" s="36">
        <v>75.016643999999999</v>
      </c>
      <c r="I336" s="393">
        <v>150.32866999999999</v>
      </c>
      <c r="J336" s="399">
        <v>79.283225000000002</v>
      </c>
      <c r="K336" s="36">
        <v>60.643476999999997</v>
      </c>
      <c r="L336" s="36">
        <v>111.53156</v>
      </c>
      <c r="M336" s="393">
        <v>223.20636999999999</v>
      </c>
      <c r="N336" s="399">
        <v>56.151462000000002</v>
      </c>
      <c r="O336" s="36">
        <v>39.969518000000001</v>
      </c>
      <c r="P336" s="36">
        <v>58.282843999999997</v>
      </c>
      <c r="Q336" s="393">
        <v>136.32436000000001</v>
      </c>
      <c r="R336" s="399">
        <v>69.790746999999996</v>
      </c>
      <c r="S336" s="36">
        <v>51.179692000000003</v>
      </c>
      <c r="T336" s="36">
        <v>77.717326</v>
      </c>
      <c r="U336" s="393">
        <v>162.81342000000001</v>
      </c>
    </row>
    <row r="337" spans="3:21" s="9" customFormat="1" ht="0.5" customHeight="1">
      <c r="C337" s="9" t="s">
        <v>41</v>
      </c>
      <c r="D337" s="9" t="str">
        <f t="shared" si="39"/>
        <v>Chile21</v>
      </c>
      <c r="E337" s="398">
        <v>21</v>
      </c>
      <c r="F337" s="399">
        <v>62.757984999999998</v>
      </c>
      <c r="G337" s="36">
        <v>47.514527999999999</v>
      </c>
      <c r="H337" s="36">
        <v>76.841128999999995</v>
      </c>
      <c r="I337" s="393">
        <v>154.68691999999999</v>
      </c>
      <c r="J337" s="399">
        <v>81.414638999999994</v>
      </c>
      <c r="K337" s="36">
        <v>62.121963999999998</v>
      </c>
      <c r="L337" s="36">
        <v>115.87597</v>
      </c>
      <c r="M337" s="393">
        <v>232.43556000000001</v>
      </c>
      <c r="N337" s="399">
        <v>56.265562000000003</v>
      </c>
      <c r="O337" s="36">
        <v>39.898761</v>
      </c>
      <c r="P337" s="36">
        <v>58.806387999999998</v>
      </c>
      <c r="Q337" s="393">
        <v>133.40407999999999</v>
      </c>
      <c r="R337" s="399">
        <v>71.920000999999999</v>
      </c>
      <c r="S337" s="36">
        <v>52.876570000000001</v>
      </c>
      <c r="T337" s="36">
        <v>81.977547000000001</v>
      </c>
      <c r="U337" s="393">
        <v>188.83878000000001</v>
      </c>
    </row>
    <row r="338" spans="3:21" s="9" customFormat="1" ht="0.5" customHeight="1">
      <c r="C338" s="9" t="s">
        <v>41</v>
      </c>
      <c r="D338" s="9" t="str">
        <f t="shared" si="39"/>
        <v>Chile21.5</v>
      </c>
      <c r="E338" s="398">
        <v>21.5</v>
      </c>
      <c r="F338" s="399">
        <v>63.314062</v>
      </c>
      <c r="G338" s="36">
        <v>47.944234999999999</v>
      </c>
      <c r="H338" s="36">
        <v>78.421501000000006</v>
      </c>
      <c r="I338" s="393">
        <v>158.17574999999999</v>
      </c>
      <c r="J338" s="399">
        <v>84.005465999999998</v>
      </c>
      <c r="K338" s="36">
        <v>63.900691999999999</v>
      </c>
      <c r="L338" s="36">
        <v>120.49959</v>
      </c>
      <c r="M338" s="393">
        <v>252.90885</v>
      </c>
      <c r="N338" s="399">
        <v>56.347248999999998</v>
      </c>
      <c r="O338" s="36">
        <v>39.853293000000001</v>
      </c>
      <c r="P338" s="36">
        <v>59.269938000000003</v>
      </c>
      <c r="Q338" s="393">
        <v>132.41056</v>
      </c>
      <c r="R338" s="399">
        <v>74.269561999999993</v>
      </c>
      <c r="S338" s="36">
        <v>54.653449999999999</v>
      </c>
      <c r="T338" s="36">
        <v>86.509986999999995</v>
      </c>
      <c r="U338" s="393">
        <v>214.69284999999999</v>
      </c>
    </row>
    <row r="339" spans="3:21" s="9" customFormat="1" ht="0.5" customHeight="1">
      <c r="C339" s="9" t="s">
        <v>41</v>
      </c>
      <c r="D339" s="9" t="str">
        <f t="shared" si="39"/>
        <v>Chile22</v>
      </c>
      <c r="E339" s="398">
        <v>22</v>
      </c>
      <c r="F339" s="399">
        <v>63.879537999999997</v>
      </c>
      <c r="G339" s="36">
        <v>48.324289</v>
      </c>
      <c r="H339" s="36">
        <v>79.812139999999999</v>
      </c>
      <c r="I339" s="393">
        <v>162.64275000000001</v>
      </c>
      <c r="J339" s="399">
        <v>86.918587000000002</v>
      </c>
      <c r="K339" s="36">
        <v>66.037851000000003</v>
      </c>
      <c r="L339" s="36">
        <v>125.37314000000001</v>
      </c>
      <c r="M339" s="393">
        <v>277.57348999999999</v>
      </c>
      <c r="N339" s="399">
        <v>56.399009</v>
      </c>
      <c r="O339" s="36">
        <v>39.823785999999998</v>
      </c>
      <c r="P339" s="36">
        <v>59.867659000000003</v>
      </c>
      <c r="Q339" s="393">
        <v>131.79817</v>
      </c>
      <c r="R339" s="399">
        <v>77.089669999999998</v>
      </c>
      <c r="S339" s="36">
        <v>56.558411</v>
      </c>
      <c r="T339" s="36">
        <v>91.481583000000001</v>
      </c>
      <c r="U339" s="393">
        <v>242.53394</v>
      </c>
    </row>
    <row r="340" spans="3:21" s="9" customFormat="1" ht="0.5" customHeight="1">
      <c r="C340" s="9" t="s">
        <v>41</v>
      </c>
      <c r="D340" s="9" t="str">
        <f t="shared" si="39"/>
        <v>Chile22.5</v>
      </c>
      <c r="E340" s="398">
        <v>22.5</v>
      </c>
      <c r="F340" s="399">
        <v>64.470349999999996</v>
      </c>
      <c r="G340" s="36">
        <v>48.676856000000001</v>
      </c>
      <c r="H340" s="36">
        <v>81.057084000000003</v>
      </c>
      <c r="I340" s="393">
        <v>170.24869000000001</v>
      </c>
      <c r="J340" s="399">
        <v>90.036242000000001</v>
      </c>
      <c r="K340" s="36">
        <v>68.348242999999997</v>
      </c>
      <c r="L340" s="36">
        <v>130.29023000000001</v>
      </c>
      <c r="M340" s="393">
        <v>304.27888999999999</v>
      </c>
      <c r="N340" s="399">
        <v>56.437153000000002</v>
      </c>
      <c r="O340" s="36">
        <v>39.787621999999999</v>
      </c>
      <c r="P340" s="36">
        <v>60.538608000000004</v>
      </c>
      <c r="Q340" s="393">
        <v>132.06021000000001</v>
      </c>
      <c r="R340" s="399">
        <v>79.991883999999999</v>
      </c>
      <c r="S340" s="36">
        <v>58.537182000000001</v>
      </c>
      <c r="T340" s="36">
        <v>96.531086999999999</v>
      </c>
      <c r="U340" s="393">
        <v>263.67027999999999</v>
      </c>
    </row>
    <row r="341" spans="3:21" s="9" customFormat="1" ht="0.5" customHeight="1">
      <c r="C341" s="9" t="s">
        <v>41</v>
      </c>
      <c r="D341" s="9" t="str">
        <f t="shared" si="39"/>
        <v>Chile23</v>
      </c>
      <c r="E341" s="398">
        <v>23</v>
      </c>
      <c r="F341" s="399">
        <v>65.072635000000005</v>
      </c>
      <c r="G341" s="36">
        <v>49.017916999999997</v>
      </c>
      <c r="H341" s="36">
        <v>82.135895000000005</v>
      </c>
      <c r="I341" s="393">
        <v>176.31986000000001</v>
      </c>
      <c r="J341" s="399">
        <v>93.387568999999999</v>
      </c>
      <c r="K341" s="36">
        <v>70.728527</v>
      </c>
      <c r="L341" s="36">
        <v>135.04379</v>
      </c>
      <c r="M341" s="393">
        <v>330.33091000000002</v>
      </c>
      <c r="N341" s="399">
        <v>56.487085999999998</v>
      </c>
      <c r="O341" s="36">
        <v>39.741917000000001</v>
      </c>
      <c r="P341" s="36">
        <v>61.171605</v>
      </c>
      <c r="Q341" s="393">
        <v>132.10995</v>
      </c>
      <c r="R341" s="399">
        <v>83.533195000000006</v>
      </c>
      <c r="S341" s="36">
        <v>60.541474000000001</v>
      </c>
      <c r="T341" s="36">
        <v>101.5335</v>
      </c>
      <c r="U341" s="393">
        <v>281.81056999999998</v>
      </c>
    </row>
    <row r="342" spans="3:21" s="9" customFormat="1" ht="0.5" customHeight="1">
      <c r="C342" s="9" t="s">
        <v>41</v>
      </c>
      <c r="D342" s="9" t="str">
        <f t="shared" si="39"/>
        <v>Chile23.5</v>
      </c>
      <c r="E342" s="398">
        <v>23.5</v>
      </c>
      <c r="F342" s="399">
        <v>65.670587999999995</v>
      </c>
      <c r="G342" s="36">
        <v>49.312826000000001</v>
      </c>
      <c r="H342" s="36">
        <v>83.141245999999995</v>
      </c>
      <c r="I342" s="393">
        <v>180.93476999999999</v>
      </c>
      <c r="J342" s="399">
        <v>96.851253999999997</v>
      </c>
      <c r="K342" s="36">
        <v>73.203834000000001</v>
      </c>
      <c r="L342" s="36">
        <v>139.79204999999999</v>
      </c>
      <c r="M342" s="393">
        <v>354.11973</v>
      </c>
      <c r="N342" s="399">
        <v>56.548507999999998</v>
      </c>
      <c r="O342" s="36">
        <v>39.696770999999998</v>
      </c>
      <c r="P342" s="36">
        <v>61.825508999999997</v>
      </c>
      <c r="Q342" s="393">
        <v>133.27409</v>
      </c>
      <c r="R342" s="399">
        <v>87.115217000000001</v>
      </c>
      <c r="S342" s="36">
        <v>62.560760000000002</v>
      </c>
      <c r="T342" s="36">
        <v>106.40895</v>
      </c>
      <c r="U342" s="393">
        <v>298.08715000000001</v>
      </c>
    </row>
    <row r="343" spans="3:21" s="9" customFormat="1" ht="0.5" customHeight="1">
      <c r="C343" s="9" t="s">
        <v>41</v>
      </c>
      <c r="D343" s="9" t="str">
        <f t="shared" si="39"/>
        <v>Chile24</v>
      </c>
      <c r="E343" s="398">
        <v>24</v>
      </c>
      <c r="F343" s="399">
        <v>66.182687999999999</v>
      </c>
      <c r="G343" s="36">
        <v>49.570805</v>
      </c>
      <c r="H343" s="36">
        <v>84.131885999999994</v>
      </c>
      <c r="I343" s="393">
        <v>185.13761</v>
      </c>
      <c r="J343" s="399">
        <v>100.67677</v>
      </c>
      <c r="K343" s="36">
        <v>75.878471000000005</v>
      </c>
      <c r="L343" s="36">
        <v>144.55694</v>
      </c>
      <c r="M343" s="393">
        <v>376.12317000000002</v>
      </c>
      <c r="N343" s="399">
        <v>56.618020999999999</v>
      </c>
      <c r="O343" s="36">
        <v>39.646771000000001</v>
      </c>
      <c r="P343" s="36">
        <v>62.530245000000001</v>
      </c>
      <c r="Q343" s="393">
        <v>135.57688999999999</v>
      </c>
      <c r="R343" s="399">
        <v>90.774372999999997</v>
      </c>
      <c r="S343" s="36">
        <v>64.535852000000006</v>
      </c>
      <c r="T343" s="36">
        <v>111.2282</v>
      </c>
      <c r="U343" s="393">
        <v>312.59361999999999</v>
      </c>
    </row>
    <row r="344" spans="3:21" s="9" customFormat="1" ht="0.5" customHeight="1">
      <c r="C344" s="9" t="s">
        <v>41</v>
      </c>
      <c r="D344" s="9" t="str">
        <f t="shared" si="39"/>
        <v>Chile24.5</v>
      </c>
      <c r="E344" s="398">
        <v>24.5</v>
      </c>
      <c r="F344" s="399">
        <v>66.693811999999994</v>
      </c>
      <c r="G344" s="36">
        <v>49.827494999999999</v>
      </c>
      <c r="H344" s="36">
        <v>85.139588000000003</v>
      </c>
      <c r="I344" s="393">
        <v>189.29002</v>
      </c>
      <c r="J344" s="399">
        <v>104.56398</v>
      </c>
      <c r="K344" s="36">
        <v>78.544574999999995</v>
      </c>
      <c r="L344" s="36">
        <v>149.21281999999999</v>
      </c>
      <c r="M344" s="393">
        <v>396.81833</v>
      </c>
      <c r="N344" s="399">
        <v>56.686287</v>
      </c>
      <c r="O344" s="36">
        <v>39.584716</v>
      </c>
      <c r="P344" s="36">
        <v>63.331048000000003</v>
      </c>
      <c r="Q344" s="393">
        <v>137.64454000000001</v>
      </c>
      <c r="R344" s="399">
        <v>94.439903000000001</v>
      </c>
      <c r="S344" s="36">
        <v>66.486992000000001</v>
      </c>
      <c r="T344" s="36">
        <v>116.01773</v>
      </c>
      <c r="U344" s="393">
        <v>325.66194000000002</v>
      </c>
    </row>
    <row r="345" spans="3:21" s="9" customFormat="1" ht="0.5" customHeight="1">
      <c r="C345" s="9" t="s">
        <v>41</v>
      </c>
      <c r="D345" s="9" t="str">
        <f t="shared" si="39"/>
        <v>Chile25</v>
      </c>
      <c r="E345" s="398">
        <v>25</v>
      </c>
      <c r="F345" s="399">
        <v>67.160382999999996</v>
      </c>
      <c r="G345" s="36">
        <v>50.068921000000003</v>
      </c>
      <c r="H345" s="36">
        <v>86.088308999999995</v>
      </c>
      <c r="I345" s="393">
        <v>193.20948000000001</v>
      </c>
      <c r="J345" s="399">
        <v>108.55611</v>
      </c>
      <c r="K345" s="36">
        <v>81.122620999999995</v>
      </c>
      <c r="L345" s="36">
        <v>153.86122</v>
      </c>
      <c r="M345" s="393">
        <v>415.72437000000002</v>
      </c>
      <c r="N345" s="399">
        <v>56.752046999999997</v>
      </c>
      <c r="O345" s="36">
        <v>39.518762000000002</v>
      </c>
      <c r="P345" s="36">
        <v>64.164738</v>
      </c>
      <c r="Q345" s="393">
        <v>139.59827999999999</v>
      </c>
      <c r="R345" s="399">
        <v>97.843942999999996</v>
      </c>
      <c r="S345" s="36">
        <v>68.160701000000003</v>
      </c>
      <c r="T345" s="36">
        <v>120.68702999999999</v>
      </c>
      <c r="U345" s="393">
        <v>333.88080000000002</v>
      </c>
    </row>
    <row r="346" spans="3:21" s="9" customFormat="1" ht="0.5" customHeight="1">
      <c r="C346" s="9" t="s">
        <v>41</v>
      </c>
      <c r="D346" s="9" t="str">
        <f t="shared" si="39"/>
        <v>Chile25.5</v>
      </c>
      <c r="E346" s="398">
        <v>25.5</v>
      </c>
      <c r="F346" s="399">
        <v>67.616304999999997</v>
      </c>
      <c r="G346" s="36">
        <v>50.246211000000002</v>
      </c>
      <c r="H346" s="36">
        <v>86.874506999999994</v>
      </c>
      <c r="I346" s="393">
        <v>196.85722999999999</v>
      </c>
      <c r="J346" s="399">
        <v>112.53176999999999</v>
      </c>
      <c r="K346" s="36">
        <v>83.594267000000002</v>
      </c>
      <c r="L346" s="36">
        <v>158.30598000000001</v>
      </c>
      <c r="M346" s="393">
        <v>433.75555000000003</v>
      </c>
      <c r="N346" s="399">
        <v>56.797305999999999</v>
      </c>
      <c r="O346" s="36">
        <v>39.446494000000001</v>
      </c>
      <c r="P346" s="36">
        <v>65.023968999999994</v>
      </c>
      <c r="Q346" s="393">
        <v>141.25889000000001</v>
      </c>
      <c r="R346" s="399">
        <v>101.12153000000001</v>
      </c>
      <c r="S346" s="36">
        <v>69.788876000000002</v>
      </c>
      <c r="T346" s="36">
        <v>125.0226</v>
      </c>
      <c r="U346" s="393">
        <v>340.57979999999998</v>
      </c>
    </row>
    <row r="347" spans="3:21" s="9" customFormat="1" ht="0.5" customHeight="1">
      <c r="C347" s="9" t="s">
        <v>41</v>
      </c>
      <c r="D347" s="9" t="str">
        <f t="shared" si="39"/>
        <v>Chile26</v>
      </c>
      <c r="E347" s="398">
        <v>26</v>
      </c>
      <c r="F347" s="399">
        <v>67.967170999999993</v>
      </c>
      <c r="G347" s="36">
        <v>50.404015000000001</v>
      </c>
      <c r="H347" s="36">
        <v>87.592851999999993</v>
      </c>
      <c r="I347" s="393">
        <v>200.75954999999999</v>
      </c>
      <c r="J347" s="399">
        <v>116.37429</v>
      </c>
      <c r="K347" s="36">
        <v>85.835660000000004</v>
      </c>
      <c r="L347" s="36">
        <v>162.69373999999999</v>
      </c>
      <c r="M347" s="393">
        <v>452.21823999999998</v>
      </c>
      <c r="N347" s="399">
        <v>56.840873999999999</v>
      </c>
      <c r="O347" s="36">
        <v>39.382675999999996</v>
      </c>
      <c r="P347" s="36">
        <v>65.884080999999995</v>
      </c>
      <c r="Q347" s="393">
        <v>142.76911000000001</v>
      </c>
      <c r="R347" s="399">
        <v>103.41583</v>
      </c>
      <c r="S347" s="36">
        <v>71.198289000000003</v>
      </c>
      <c r="T347" s="36">
        <v>128.80341000000001</v>
      </c>
      <c r="U347" s="393">
        <v>345.61565000000002</v>
      </c>
    </row>
    <row r="348" spans="3:21" s="9" customFormat="1" ht="0.5" customHeight="1">
      <c r="C348" s="9" t="s">
        <v>41</v>
      </c>
      <c r="D348" s="9" t="str">
        <f t="shared" si="39"/>
        <v>Chile26.5</v>
      </c>
      <c r="E348" s="398">
        <v>26.5</v>
      </c>
      <c r="F348" s="399">
        <v>68.329969000000006</v>
      </c>
      <c r="G348" s="36">
        <v>50.550128000000001</v>
      </c>
      <c r="H348" s="36">
        <v>88.325173000000007</v>
      </c>
      <c r="I348" s="393">
        <v>204.86427</v>
      </c>
      <c r="J348" s="399">
        <v>120.16942</v>
      </c>
      <c r="K348" s="36">
        <v>87.718326000000005</v>
      </c>
      <c r="L348" s="36">
        <v>166.87564</v>
      </c>
      <c r="M348" s="393">
        <v>470.22242</v>
      </c>
      <c r="N348" s="399">
        <v>56.887953000000003</v>
      </c>
      <c r="O348" s="36">
        <v>39.319988000000002</v>
      </c>
      <c r="P348" s="36">
        <v>66.610285000000005</v>
      </c>
      <c r="Q348" s="393">
        <v>144.25432000000001</v>
      </c>
      <c r="R348" s="399">
        <v>105.64308</v>
      </c>
      <c r="S348" s="36">
        <v>72.566006999999999</v>
      </c>
      <c r="T348" s="36">
        <v>131.97179</v>
      </c>
      <c r="U348" s="393">
        <v>351.13693000000001</v>
      </c>
    </row>
    <row r="349" spans="3:21" s="9" customFormat="1" ht="0.5" customHeight="1">
      <c r="C349" s="9" t="s">
        <v>41</v>
      </c>
      <c r="D349" s="9" t="str">
        <f t="shared" si="39"/>
        <v>Chile27</v>
      </c>
      <c r="E349" s="398">
        <v>27</v>
      </c>
      <c r="F349" s="399">
        <v>68.659850000000006</v>
      </c>
      <c r="G349" s="36">
        <v>50.671062999999997</v>
      </c>
      <c r="H349" s="36">
        <v>89.036610999999994</v>
      </c>
      <c r="I349" s="393">
        <v>208.99360999999999</v>
      </c>
      <c r="J349" s="399">
        <v>123.83316000000001</v>
      </c>
      <c r="K349" s="36">
        <v>89.331121999999993</v>
      </c>
      <c r="L349" s="36">
        <v>171.04033000000001</v>
      </c>
      <c r="M349" s="393">
        <v>484.10588000000001</v>
      </c>
      <c r="N349" s="399">
        <v>56.934249000000001</v>
      </c>
      <c r="O349" s="36">
        <v>39.251826999999999</v>
      </c>
      <c r="P349" s="36">
        <v>67.325074000000001</v>
      </c>
      <c r="Q349" s="393">
        <v>145.77877000000001</v>
      </c>
      <c r="R349" s="399">
        <v>107.60141</v>
      </c>
      <c r="S349" s="36">
        <v>73.489748000000006</v>
      </c>
      <c r="T349" s="36">
        <v>134.99218999999999</v>
      </c>
      <c r="U349" s="393">
        <v>353.63632999999999</v>
      </c>
    </row>
    <row r="350" spans="3:21" s="9" customFormat="1" ht="0.5" customHeight="1">
      <c r="C350" s="9" t="s">
        <v>41</v>
      </c>
      <c r="D350" s="9" t="str">
        <f t="shared" si="39"/>
        <v>Chile27.5</v>
      </c>
      <c r="E350" s="398">
        <v>27.5</v>
      </c>
      <c r="F350" s="399">
        <v>68.994585000000001</v>
      </c>
      <c r="G350" s="36">
        <v>50.741748999999999</v>
      </c>
      <c r="H350" s="36">
        <v>89.661635000000004</v>
      </c>
      <c r="I350" s="393">
        <v>213.20265000000001</v>
      </c>
      <c r="J350" s="399">
        <v>127.49139</v>
      </c>
      <c r="K350" s="36">
        <v>91.018135999999998</v>
      </c>
      <c r="L350" s="36">
        <v>175.06502</v>
      </c>
      <c r="M350" s="393">
        <v>496.55844999999999</v>
      </c>
      <c r="N350" s="399">
        <v>56.982920999999997</v>
      </c>
      <c r="O350" s="36">
        <v>39.196081999999997</v>
      </c>
      <c r="P350" s="36">
        <v>68.050396000000006</v>
      </c>
      <c r="Q350" s="393">
        <v>147.38588999999999</v>
      </c>
      <c r="R350" s="399">
        <v>109.44726</v>
      </c>
      <c r="S350" s="36">
        <v>74.365058000000005</v>
      </c>
      <c r="T350" s="36">
        <v>137.52526</v>
      </c>
      <c r="U350" s="393">
        <v>355.53161</v>
      </c>
    </row>
    <row r="351" spans="3:21" s="9" customFormat="1" ht="0.5" customHeight="1">
      <c r="C351" s="9" t="s">
        <v>41</v>
      </c>
      <c r="D351" s="9" t="str">
        <f t="shared" si="39"/>
        <v>Chile28</v>
      </c>
      <c r="E351" s="398">
        <v>28</v>
      </c>
      <c r="F351" s="399">
        <v>69.312516000000002</v>
      </c>
      <c r="G351" s="36">
        <v>50.797930999999998</v>
      </c>
      <c r="H351" s="36">
        <v>90.271111000000005</v>
      </c>
      <c r="I351" s="393">
        <v>217.61190999999999</v>
      </c>
      <c r="J351" s="399">
        <v>131.19483</v>
      </c>
      <c r="K351" s="36">
        <v>92.757847999999996</v>
      </c>
      <c r="L351" s="36">
        <v>179.07408000000001</v>
      </c>
      <c r="M351" s="393">
        <v>508.19087000000002</v>
      </c>
      <c r="N351" s="399">
        <v>57.034157</v>
      </c>
      <c r="O351" s="36">
        <v>39.142795</v>
      </c>
      <c r="P351" s="36">
        <v>68.771944000000005</v>
      </c>
      <c r="Q351" s="393">
        <v>149.06268</v>
      </c>
      <c r="R351" s="399">
        <v>111.03337000000001</v>
      </c>
      <c r="S351" s="36">
        <v>74.946768000000006</v>
      </c>
      <c r="T351" s="36">
        <v>139.72748000000001</v>
      </c>
      <c r="U351" s="393">
        <v>355.34791000000001</v>
      </c>
    </row>
    <row r="352" spans="3:21" s="9" customFormat="1" ht="0.5" customHeight="1">
      <c r="C352" s="9" t="s">
        <v>41</v>
      </c>
      <c r="D352" s="9" t="str">
        <f t="shared" si="39"/>
        <v>Chile28.5</v>
      </c>
      <c r="E352" s="398">
        <v>28.5</v>
      </c>
      <c r="F352" s="399">
        <v>69.631828999999996</v>
      </c>
      <c r="G352" s="36">
        <v>50.866695999999997</v>
      </c>
      <c r="H352" s="36">
        <v>90.960986000000005</v>
      </c>
      <c r="I352" s="393">
        <v>221.91314</v>
      </c>
      <c r="J352" s="399">
        <v>134.91876999999999</v>
      </c>
      <c r="K352" s="36">
        <v>94.201030000000003</v>
      </c>
      <c r="L352" s="36">
        <v>182.86458999999999</v>
      </c>
      <c r="M352" s="393">
        <v>519.14359000000002</v>
      </c>
      <c r="N352" s="399">
        <v>57.079034999999998</v>
      </c>
      <c r="O352" s="36">
        <v>39.099187999999998</v>
      </c>
      <c r="P352" s="36">
        <v>69.574808000000004</v>
      </c>
      <c r="Q352" s="393">
        <v>150.94209000000001</v>
      </c>
      <c r="R352" s="399">
        <v>112.60522</v>
      </c>
      <c r="S352" s="36">
        <v>75.510631000000004</v>
      </c>
      <c r="T352" s="36">
        <v>141.44195999999999</v>
      </c>
      <c r="U352" s="393">
        <v>355.09147000000002</v>
      </c>
    </row>
    <row r="353" spans="3:21" s="9" customFormat="1" ht="0.5" customHeight="1">
      <c r="C353" s="9" t="s">
        <v>41</v>
      </c>
      <c r="D353" s="9" t="str">
        <f t="shared" si="39"/>
        <v>Chile29</v>
      </c>
      <c r="E353" s="398">
        <v>29</v>
      </c>
      <c r="F353" s="399">
        <v>69.912627000000001</v>
      </c>
      <c r="G353" s="36">
        <v>50.955485000000003</v>
      </c>
      <c r="H353" s="36">
        <v>91.737392999999997</v>
      </c>
      <c r="I353" s="393">
        <v>226.15280000000001</v>
      </c>
      <c r="J353" s="399">
        <v>138.25171</v>
      </c>
      <c r="K353" s="36">
        <v>95.491776999999999</v>
      </c>
      <c r="L353" s="36">
        <v>186.64151000000001</v>
      </c>
      <c r="M353" s="393">
        <v>526.02140999999995</v>
      </c>
      <c r="N353" s="399">
        <v>57.121797000000001</v>
      </c>
      <c r="O353" s="36">
        <v>39.066451999999998</v>
      </c>
      <c r="P353" s="36">
        <v>70.377170000000007</v>
      </c>
      <c r="Q353" s="393">
        <v>153.99331000000001</v>
      </c>
      <c r="R353" s="399">
        <v>114.01885</v>
      </c>
      <c r="S353" s="36">
        <v>75.617025999999996</v>
      </c>
      <c r="T353" s="36">
        <v>142.62565000000001</v>
      </c>
      <c r="U353" s="393">
        <v>355.01098999999999</v>
      </c>
    </row>
    <row r="354" spans="3:21" s="9" customFormat="1" ht="0.5" customHeight="1">
      <c r="C354" s="9" t="s">
        <v>41</v>
      </c>
      <c r="D354" s="9" t="str">
        <f t="shared" si="39"/>
        <v>Chile29.5</v>
      </c>
      <c r="E354" s="398">
        <v>29.5</v>
      </c>
      <c r="F354" s="399">
        <v>70.188334999999995</v>
      </c>
      <c r="G354" s="36">
        <v>51.056190000000001</v>
      </c>
      <c r="H354" s="36">
        <v>92.589005</v>
      </c>
      <c r="I354" s="393">
        <v>230.25545</v>
      </c>
      <c r="J354" s="399">
        <v>141.50127000000001</v>
      </c>
      <c r="K354" s="36">
        <v>96.558283000000003</v>
      </c>
      <c r="L354" s="36">
        <v>190.20053999999999</v>
      </c>
      <c r="M354" s="393">
        <v>531.74851000000001</v>
      </c>
      <c r="N354" s="399">
        <v>57.147891000000001</v>
      </c>
      <c r="O354" s="36">
        <v>39.046384000000003</v>
      </c>
      <c r="P354" s="36">
        <v>71.028802999999996</v>
      </c>
      <c r="Q354" s="393">
        <v>157.06602000000001</v>
      </c>
      <c r="R354" s="399">
        <v>115.36434</v>
      </c>
      <c r="S354" s="36">
        <v>75.664321999999999</v>
      </c>
      <c r="T354" s="36">
        <v>143.39520999999999</v>
      </c>
      <c r="U354" s="393">
        <v>355.06342999999998</v>
      </c>
    </row>
    <row r="355" spans="3:21" s="9" customFormat="1" ht="0.5" customHeight="1">
      <c r="C355" s="9" t="s">
        <v>41</v>
      </c>
      <c r="D355" s="9" t="str">
        <f t="shared" si="39"/>
        <v>Chile30</v>
      </c>
      <c r="E355" s="398">
        <v>30</v>
      </c>
      <c r="F355" s="399">
        <v>70.485972000000004</v>
      </c>
      <c r="G355" s="36">
        <v>51.152811</v>
      </c>
      <c r="H355" s="36">
        <v>93.468670000000003</v>
      </c>
      <c r="I355" s="393">
        <v>234.21178</v>
      </c>
      <c r="J355" s="399">
        <v>144.43020000000001</v>
      </c>
      <c r="K355" s="36">
        <v>97.329896000000005</v>
      </c>
      <c r="L355" s="36">
        <v>193.74742000000001</v>
      </c>
      <c r="M355" s="393">
        <v>538.53900999999996</v>
      </c>
      <c r="N355" s="399">
        <v>57.170416000000003</v>
      </c>
      <c r="O355" s="36">
        <v>39.034022</v>
      </c>
      <c r="P355" s="36">
        <v>71.674621999999999</v>
      </c>
      <c r="Q355" s="393">
        <v>159.88457</v>
      </c>
      <c r="R355" s="399">
        <v>116.63106000000001</v>
      </c>
      <c r="S355" s="36">
        <v>75.443909000000005</v>
      </c>
      <c r="T355" s="36">
        <v>144.13097999999999</v>
      </c>
      <c r="U355" s="393">
        <v>356.71219000000002</v>
      </c>
    </row>
    <row r="356" spans="3:21" s="9" customFormat="1" ht="0.5" customHeight="1">
      <c r="C356" s="9" t="s">
        <v>41</v>
      </c>
      <c r="D356" s="9" t="str">
        <f t="shared" si="39"/>
        <v>Chile30.5</v>
      </c>
      <c r="E356" s="398">
        <v>30.5</v>
      </c>
      <c r="F356" s="399">
        <v>70.777638999999994</v>
      </c>
      <c r="G356" s="36">
        <v>51.236193999999998</v>
      </c>
      <c r="H356" s="36">
        <v>94.265693999999996</v>
      </c>
      <c r="I356" s="393">
        <v>238.41264000000001</v>
      </c>
      <c r="J356" s="399">
        <v>147.31303</v>
      </c>
      <c r="K356" s="36">
        <v>97.995508999999998</v>
      </c>
      <c r="L356" s="36">
        <v>197.04638</v>
      </c>
      <c r="M356" s="393">
        <v>545.93570999999997</v>
      </c>
      <c r="N356" s="399">
        <v>57.165709999999997</v>
      </c>
      <c r="O356" s="36">
        <v>39.035350000000001</v>
      </c>
      <c r="P356" s="36">
        <v>72.356547000000006</v>
      </c>
      <c r="Q356" s="393">
        <v>162.60666000000001</v>
      </c>
      <c r="R356" s="399">
        <v>117.91513999999999</v>
      </c>
      <c r="S356" s="36">
        <v>75.225139999999996</v>
      </c>
      <c r="T356" s="36">
        <v>144.72812999999999</v>
      </c>
      <c r="U356" s="393">
        <v>358.30421999999999</v>
      </c>
    </row>
    <row r="357" spans="3:21" s="9" customFormat="1" ht="0.5" customHeight="1">
      <c r="C357" s="9" t="s">
        <v>41</v>
      </c>
      <c r="D357" s="9" t="str">
        <f t="shared" si="39"/>
        <v>Chile31</v>
      </c>
      <c r="E357" s="398">
        <v>31</v>
      </c>
      <c r="F357" s="399">
        <v>71.090969000000001</v>
      </c>
      <c r="G357" s="36">
        <v>51.314467999999998</v>
      </c>
      <c r="H357" s="36">
        <v>94.998238000000001</v>
      </c>
      <c r="I357" s="393">
        <v>242.43804</v>
      </c>
      <c r="J357" s="399">
        <v>150.15513000000001</v>
      </c>
      <c r="K357" s="36">
        <v>98.721800000000002</v>
      </c>
      <c r="L357" s="36">
        <v>200.33762999999999</v>
      </c>
      <c r="M357" s="393">
        <v>554.13475000000005</v>
      </c>
      <c r="N357" s="399">
        <v>57.161909999999999</v>
      </c>
      <c r="O357" s="36">
        <v>39.038853000000003</v>
      </c>
      <c r="P357" s="36">
        <v>73.029687999999993</v>
      </c>
      <c r="Q357" s="393">
        <v>164.76168000000001</v>
      </c>
      <c r="R357" s="399">
        <v>118.70489000000001</v>
      </c>
      <c r="S357" s="36">
        <v>74.862435000000005</v>
      </c>
      <c r="T357" s="36">
        <v>145.25484</v>
      </c>
      <c r="U357" s="393">
        <v>359.36703999999997</v>
      </c>
    </row>
    <row r="358" spans="3:21" s="9" customFormat="1" ht="0.5" customHeight="1">
      <c r="C358" s="9" t="s">
        <v>41</v>
      </c>
      <c r="D358" s="9" t="str">
        <f t="shared" si="39"/>
        <v>Chile31.5</v>
      </c>
      <c r="E358" s="398">
        <v>31.5</v>
      </c>
      <c r="F358" s="399">
        <v>71.408390999999995</v>
      </c>
      <c r="G358" s="36">
        <v>51.404178999999999</v>
      </c>
      <c r="H358" s="36">
        <v>95.684640999999999</v>
      </c>
      <c r="I358" s="393">
        <v>246.08204000000001</v>
      </c>
      <c r="J358" s="399">
        <v>152.99322000000001</v>
      </c>
      <c r="K358" s="36">
        <v>99.439749000000006</v>
      </c>
      <c r="L358" s="36">
        <v>203.46417</v>
      </c>
      <c r="M358" s="393">
        <v>562.96654000000001</v>
      </c>
      <c r="N358" s="399">
        <v>57.171269000000002</v>
      </c>
      <c r="O358" s="36">
        <v>39.042644000000003</v>
      </c>
      <c r="P358" s="36">
        <v>73.528907000000004</v>
      </c>
      <c r="Q358" s="393">
        <v>166.67658</v>
      </c>
      <c r="R358" s="399">
        <v>119.36511</v>
      </c>
      <c r="S358" s="36">
        <v>74.475857000000005</v>
      </c>
      <c r="T358" s="36">
        <v>145.79191</v>
      </c>
      <c r="U358" s="393">
        <v>360.45112999999998</v>
      </c>
    </row>
    <row r="359" spans="3:21" s="9" customFormat="1" ht="0.5" customHeight="1">
      <c r="C359" s="9" t="s">
        <v>41</v>
      </c>
      <c r="D359" s="9" t="str">
        <f t="shared" si="39"/>
        <v>Chile32</v>
      </c>
      <c r="E359" s="398">
        <v>32</v>
      </c>
      <c r="F359" s="399">
        <v>71.786108999999996</v>
      </c>
      <c r="G359" s="36">
        <v>51.518183999999998</v>
      </c>
      <c r="H359" s="36">
        <v>96.288058000000007</v>
      </c>
      <c r="I359" s="393">
        <v>249.69976</v>
      </c>
      <c r="J359" s="399">
        <v>155.76186999999999</v>
      </c>
      <c r="K359" s="36">
        <v>100.08136</v>
      </c>
      <c r="L359" s="36">
        <v>206.56708</v>
      </c>
      <c r="M359" s="393">
        <v>572.58610999999996</v>
      </c>
      <c r="N359" s="399">
        <v>57.179501000000002</v>
      </c>
      <c r="O359" s="36">
        <v>39.047694</v>
      </c>
      <c r="P359" s="36">
        <v>74.032279000000003</v>
      </c>
      <c r="Q359" s="393">
        <v>168.34616</v>
      </c>
      <c r="R359" s="399">
        <v>119.87312</v>
      </c>
      <c r="S359" s="36">
        <v>74.125504000000006</v>
      </c>
      <c r="T359" s="36">
        <v>146.27866</v>
      </c>
      <c r="U359" s="393">
        <v>363.07965000000002</v>
      </c>
    </row>
    <row r="360" spans="3:21" s="9" customFormat="1" ht="0.5" customHeight="1">
      <c r="C360" s="9" t="s">
        <v>41</v>
      </c>
      <c r="D360" s="9" t="str">
        <f t="shared" si="39"/>
        <v>Chile32.5</v>
      </c>
      <c r="E360" s="398">
        <v>32.5</v>
      </c>
      <c r="F360" s="399">
        <v>72.168280999999993</v>
      </c>
      <c r="G360" s="36">
        <v>51.635970999999998</v>
      </c>
      <c r="H360" s="36">
        <v>96.838789000000006</v>
      </c>
      <c r="I360" s="393">
        <v>252.71781999999999</v>
      </c>
      <c r="J360" s="399">
        <v>158.51208</v>
      </c>
      <c r="K360" s="36">
        <v>100.70335</v>
      </c>
      <c r="L360" s="36">
        <v>209.06541999999999</v>
      </c>
      <c r="M360" s="393">
        <v>581.73041999999998</v>
      </c>
      <c r="N360" s="399">
        <v>57.225341999999998</v>
      </c>
      <c r="O360" s="36">
        <v>39.092768999999997</v>
      </c>
      <c r="P360" s="36">
        <v>74.503787000000003</v>
      </c>
      <c r="Q360" s="393">
        <v>169.93279999999999</v>
      </c>
      <c r="R360" s="399">
        <v>120.42601000000001</v>
      </c>
      <c r="S360" s="36">
        <v>73.794967999999997</v>
      </c>
      <c r="T360" s="36">
        <v>146.94091</v>
      </c>
      <c r="U360" s="393">
        <v>365.68077</v>
      </c>
    </row>
    <row r="361" spans="3:21" s="9" customFormat="1" ht="0.5" customHeight="1">
      <c r="C361" s="9" t="s">
        <v>41</v>
      </c>
      <c r="D361" s="9" t="str">
        <f t="shared" si="39"/>
        <v>Chile33</v>
      </c>
      <c r="E361" s="398">
        <v>33</v>
      </c>
      <c r="F361" s="399">
        <v>72.517140999999995</v>
      </c>
      <c r="G361" s="36">
        <v>51.730946000000003</v>
      </c>
      <c r="H361" s="36">
        <v>97.403946000000005</v>
      </c>
      <c r="I361" s="393">
        <v>255.572</v>
      </c>
      <c r="J361" s="399">
        <v>160.76044999999999</v>
      </c>
      <c r="K361" s="36">
        <v>101.30726</v>
      </c>
      <c r="L361" s="36">
        <v>211.56344000000001</v>
      </c>
      <c r="M361" s="393">
        <v>589.80337999999995</v>
      </c>
      <c r="N361" s="399">
        <v>57.279538000000002</v>
      </c>
      <c r="O361" s="36">
        <v>39.148719</v>
      </c>
      <c r="P361" s="36">
        <v>74.975116</v>
      </c>
      <c r="Q361" s="393">
        <v>171.49651</v>
      </c>
      <c r="R361" s="399">
        <v>120.77739</v>
      </c>
      <c r="S361" s="36">
        <v>73.28443</v>
      </c>
      <c r="T361" s="36">
        <v>147.59331</v>
      </c>
      <c r="U361" s="393">
        <v>367.14638000000002</v>
      </c>
    </row>
    <row r="362" spans="3:21" s="9" customFormat="1" ht="0.5" customHeight="1">
      <c r="C362" s="9" t="s">
        <v>41</v>
      </c>
      <c r="D362" s="9" t="str">
        <f t="shared" si="39"/>
        <v>Chile33.5</v>
      </c>
      <c r="E362" s="398">
        <v>33.5</v>
      </c>
      <c r="F362" s="399">
        <v>72.860568999999998</v>
      </c>
      <c r="G362" s="36">
        <v>51.793933000000003</v>
      </c>
      <c r="H362" s="36">
        <v>97.943565000000007</v>
      </c>
      <c r="I362" s="393">
        <v>258.37664000000001</v>
      </c>
      <c r="J362" s="399">
        <v>162.92527000000001</v>
      </c>
      <c r="K362" s="36">
        <v>101.76523</v>
      </c>
      <c r="L362" s="36">
        <v>213.99355</v>
      </c>
      <c r="M362" s="393">
        <v>597.92142999999999</v>
      </c>
      <c r="N362" s="399">
        <v>57.332222999999999</v>
      </c>
      <c r="O362" s="36">
        <v>39.217568999999997</v>
      </c>
      <c r="P362" s="36">
        <v>75.381484</v>
      </c>
      <c r="Q362" s="393">
        <v>173.05455000000001</v>
      </c>
      <c r="R362" s="399">
        <v>121.13639999999999</v>
      </c>
      <c r="S362" s="36">
        <v>72.726620999999994</v>
      </c>
      <c r="T362" s="36">
        <v>148.19623000000001</v>
      </c>
      <c r="U362" s="393">
        <v>368.36856999999998</v>
      </c>
    </row>
    <row r="363" spans="3:21" s="9" customFormat="1" ht="0.5" customHeight="1">
      <c r="C363" s="9" t="s">
        <v>41</v>
      </c>
      <c r="D363" s="9" t="str">
        <f t="shared" si="39"/>
        <v>Chile34</v>
      </c>
      <c r="E363" s="398">
        <v>34</v>
      </c>
      <c r="F363" s="399">
        <v>73.176996000000003</v>
      </c>
      <c r="G363" s="36">
        <v>51.860379999999999</v>
      </c>
      <c r="H363" s="36">
        <v>98.48151</v>
      </c>
      <c r="I363" s="393">
        <v>260.83586000000003</v>
      </c>
      <c r="J363" s="399">
        <v>164.94431</v>
      </c>
      <c r="K363" s="36">
        <v>101.9319</v>
      </c>
      <c r="L363" s="36">
        <v>216.44</v>
      </c>
      <c r="M363" s="393">
        <v>606.88228000000004</v>
      </c>
      <c r="N363" s="399">
        <v>57.381507999999997</v>
      </c>
      <c r="O363" s="36">
        <v>39.292675000000003</v>
      </c>
      <c r="P363" s="36">
        <v>75.782289000000006</v>
      </c>
      <c r="Q363" s="393">
        <v>174.26312999999999</v>
      </c>
      <c r="R363" s="399">
        <v>121.78719</v>
      </c>
      <c r="S363" s="36">
        <v>72.417575999999997</v>
      </c>
      <c r="T363" s="36">
        <v>148.85078999999999</v>
      </c>
      <c r="U363" s="393">
        <v>368.66446999999999</v>
      </c>
    </row>
    <row r="364" spans="3:21" s="9" customFormat="1" ht="0.5" customHeight="1">
      <c r="C364" s="9" t="s">
        <v>41</v>
      </c>
      <c r="D364" s="9" t="str">
        <f t="shared" si="39"/>
        <v>Chile34.5</v>
      </c>
      <c r="E364" s="398">
        <v>34.5</v>
      </c>
      <c r="F364" s="399">
        <v>73.507553999999999</v>
      </c>
      <c r="G364" s="36">
        <v>51.931767999999998</v>
      </c>
      <c r="H364" s="36">
        <v>99.113192999999995</v>
      </c>
      <c r="I364" s="393">
        <v>262.65629999999999</v>
      </c>
      <c r="J364" s="399">
        <v>167.02051</v>
      </c>
      <c r="K364" s="36">
        <v>101.76071</v>
      </c>
      <c r="L364" s="36">
        <v>218.37127000000001</v>
      </c>
      <c r="M364" s="393">
        <v>615.75698999999997</v>
      </c>
      <c r="N364" s="399">
        <v>57.408301999999999</v>
      </c>
      <c r="O364" s="36">
        <v>39.361865000000002</v>
      </c>
      <c r="P364" s="36">
        <v>76.135194999999996</v>
      </c>
      <c r="Q364" s="393">
        <v>175.30973</v>
      </c>
      <c r="R364" s="399">
        <v>122.37578999999999</v>
      </c>
      <c r="S364" s="36">
        <v>72.199315999999996</v>
      </c>
      <c r="T364" s="36">
        <v>149.2953</v>
      </c>
      <c r="U364" s="393">
        <v>369.18752000000001</v>
      </c>
    </row>
    <row r="365" spans="3:21" s="9" customFormat="1" ht="0.5" customHeight="1">
      <c r="C365" s="9" t="s">
        <v>41</v>
      </c>
      <c r="D365" s="9" t="str">
        <f t="shared" si="39"/>
        <v>Chile35</v>
      </c>
      <c r="E365" s="398">
        <v>35</v>
      </c>
      <c r="F365" s="399">
        <v>73.750679000000005</v>
      </c>
      <c r="G365" s="36">
        <v>51.982871000000003</v>
      </c>
      <c r="H365" s="36">
        <v>99.722397999999998</v>
      </c>
      <c r="I365" s="393">
        <v>264.35363999999998</v>
      </c>
      <c r="J365" s="399">
        <v>168.82263</v>
      </c>
      <c r="K365" s="36">
        <v>101.77307</v>
      </c>
      <c r="L365" s="36">
        <v>220.26324</v>
      </c>
      <c r="M365" s="393">
        <v>625.45894999999996</v>
      </c>
      <c r="N365" s="399">
        <v>57.431333000000002</v>
      </c>
      <c r="O365" s="36">
        <v>39.424300000000002</v>
      </c>
      <c r="P365" s="36">
        <v>76.486067000000006</v>
      </c>
      <c r="Q365" s="393">
        <v>176.12016</v>
      </c>
      <c r="R365" s="399">
        <v>122.81086000000001</v>
      </c>
      <c r="S365" s="36">
        <v>72.224804000000006</v>
      </c>
      <c r="T365" s="36">
        <v>149.67272</v>
      </c>
      <c r="U365" s="393">
        <v>375.16786000000002</v>
      </c>
    </row>
    <row r="366" spans="3:21" s="9" customFormat="1" ht="0.5" customHeight="1">
      <c r="C366" s="9" t="s">
        <v>41</v>
      </c>
      <c r="D366" s="9" t="str">
        <f t="shared" si="39"/>
        <v>Chile35.5</v>
      </c>
      <c r="E366" s="398">
        <v>35.5</v>
      </c>
      <c r="F366" s="399">
        <v>73.984408999999999</v>
      </c>
      <c r="G366" s="36">
        <v>51.999653000000002</v>
      </c>
      <c r="H366" s="36">
        <v>100.20712</v>
      </c>
      <c r="I366" s="393">
        <v>265.94427000000002</v>
      </c>
      <c r="J366" s="399">
        <v>170.52821</v>
      </c>
      <c r="K366" s="36">
        <v>101.96035999999999</v>
      </c>
      <c r="L366" s="36">
        <v>221.72207</v>
      </c>
      <c r="M366" s="393">
        <v>634.70126000000005</v>
      </c>
      <c r="N366" s="399">
        <v>57.448329999999999</v>
      </c>
      <c r="O366" s="36">
        <v>39.486210999999997</v>
      </c>
      <c r="P366" s="36">
        <v>76.843383000000003</v>
      </c>
      <c r="Q366" s="393">
        <v>176.89205000000001</v>
      </c>
      <c r="R366" s="399">
        <v>123.15833000000001</v>
      </c>
      <c r="S366" s="36">
        <v>72.239672999999996</v>
      </c>
      <c r="T366" s="36">
        <v>150.17379</v>
      </c>
      <c r="U366" s="393">
        <v>381.18770000000001</v>
      </c>
    </row>
    <row r="367" spans="3:21" s="9" customFormat="1" ht="0.5" customHeight="1">
      <c r="C367" s="9" t="s">
        <v>41</v>
      </c>
      <c r="D367" s="9" t="str">
        <f t="shared" si="39"/>
        <v>Chile36</v>
      </c>
      <c r="E367" s="398">
        <v>36</v>
      </c>
      <c r="F367" s="399">
        <v>74.158058999999994</v>
      </c>
      <c r="G367" s="36">
        <v>52.004840000000002</v>
      </c>
      <c r="H367" s="36">
        <v>100.67521000000001</v>
      </c>
      <c r="I367" s="393">
        <v>267.55174</v>
      </c>
      <c r="J367" s="399">
        <v>171.77068</v>
      </c>
      <c r="K367" s="36">
        <v>101.98685</v>
      </c>
      <c r="L367" s="36">
        <v>223.1885</v>
      </c>
      <c r="M367" s="393">
        <v>640.40214000000003</v>
      </c>
      <c r="N367" s="399">
        <v>57.464010000000002</v>
      </c>
      <c r="O367" s="36">
        <v>39.551847000000002</v>
      </c>
      <c r="P367" s="36">
        <v>77.198362000000003</v>
      </c>
      <c r="Q367" s="393">
        <v>177.39294000000001</v>
      </c>
      <c r="R367" s="399">
        <v>123.11964</v>
      </c>
      <c r="S367" s="36">
        <v>71.874482</v>
      </c>
      <c r="T367" s="36">
        <v>150.72215</v>
      </c>
      <c r="U367" s="393">
        <v>386.33636000000001</v>
      </c>
    </row>
    <row r="368" spans="3:21" s="9" customFormat="1" ht="0.5" customHeight="1">
      <c r="C368" s="9" t="s">
        <v>41</v>
      </c>
      <c r="D368" s="9" t="str">
        <f t="shared" si="39"/>
        <v>Chile36.5</v>
      </c>
      <c r="E368" s="398">
        <v>36.5</v>
      </c>
      <c r="F368" s="399">
        <v>74.335437999999996</v>
      </c>
      <c r="G368" s="36">
        <v>52.008059000000003</v>
      </c>
      <c r="H368" s="36">
        <v>101.18183000000001</v>
      </c>
      <c r="I368" s="393">
        <v>269.37378999999999</v>
      </c>
      <c r="J368" s="399">
        <v>172.92731000000001</v>
      </c>
      <c r="K368" s="36">
        <v>101.94033</v>
      </c>
      <c r="L368" s="36">
        <v>224.59814</v>
      </c>
      <c r="M368" s="393">
        <v>645.69086000000004</v>
      </c>
      <c r="N368" s="399">
        <v>57.503160999999999</v>
      </c>
      <c r="O368" s="36">
        <v>39.607751999999998</v>
      </c>
      <c r="P368" s="36">
        <v>77.666720999999995</v>
      </c>
      <c r="Q368" s="393">
        <v>177.88491999999999</v>
      </c>
      <c r="R368" s="399">
        <v>123.13405</v>
      </c>
      <c r="S368" s="36">
        <v>71.451160999999999</v>
      </c>
      <c r="T368" s="36">
        <v>151.45332999999999</v>
      </c>
      <c r="U368" s="393">
        <v>391.28707000000003</v>
      </c>
    </row>
    <row r="369" spans="3:21" s="9" customFormat="1" ht="0.5" customHeight="1">
      <c r="C369" s="9" t="s">
        <v>41</v>
      </c>
      <c r="D369" s="9" t="str">
        <f t="shared" si="39"/>
        <v>Chile37</v>
      </c>
      <c r="E369" s="398">
        <v>37</v>
      </c>
      <c r="F369" s="399">
        <v>74.490959000000004</v>
      </c>
      <c r="G369" s="36">
        <v>51.998570000000001</v>
      </c>
      <c r="H369" s="36">
        <v>101.65531</v>
      </c>
      <c r="I369" s="393">
        <v>271.34656000000001</v>
      </c>
      <c r="J369" s="399">
        <v>173.98060000000001</v>
      </c>
      <c r="K369" s="36">
        <v>101.77258999999999</v>
      </c>
      <c r="L369" s="36">
        <v>226.01590999999999</v>
      </c>
      <c r="M369" s="393">
        <v>649.88251000000002</v>
      </c>
      <c r="N369" s="399">
        <v>57.544268000000002</v>
      </c>
      <c r="O369" s="36">
        <v>39.657089999999997</v>
      </c>
      <c r="P369" s="36">
        <v>78.139808000000002</v>
      </c>
      <c r="Q369" s="393">
        <v>178.76112000000001</v>
      </c>
      <c r="R369" s="399">
        <v>122.76681000000001</v>
      </c>
      <c r="S369" s="36">
        <v>71.077329000000006</v>
      </c>
      <c r="T369" s="36">
        <v>152.28196</v>
      </c>
      <c r="U369" s="393">
        <v>396.68115</v>
      </c>
    </row>
    <row r="370" spans="3:21" s="9" customFormat="1" ht="0.5" customHeight="1">
      <c r="C370" s="9" t="s">
        <v>41</v>
      </c>
      <c r="D370" s="9" t="str">
        <f t="shared" si="39"/>
        <v>Chile37.5</v>
      </c>
      <c r="E370" s="398">
        <v>37.5</v>
      </c>
      <c r="F370" s="399">
        <v>74.644120999999998</v>
      </c>
      <c r="G370" s="36">
        <v>51.988289000000002</v>
      </c>
      <c r="H370" s="36">
        <v>102.09905999999999</v>
      </c>
      <c r="I370" s="393">
        <v>273.28528999999997</v>
      </c>
      <c r="J370" s="399">
        <v>175.06289000000001</v>
      </c>
      <c r="K370" s="36">
        <v>101.58762</v>
      </c>
      <c r="L370" s="36">
        <v>227.37535</v>
      </c>
      <c r="M370" s="393">
        <v>654.78290000000004</v>
      </c>
      <c r="N370" s="399">
        <v>57.603698000000001</v>
      </c>
      <c r="O370" s="36">
        <v>39.687378000000002</v>
      </c>
      <c r="P370" s="36">
        <v>78.652927000000005</v>
      </c>
      <c r="Q370" s="393">
        <v>179.64894000000001</v>
      </c>
      <c r="R370" s="399">
        <v>122.47055</v>
      </c>
      <c r="S370" s="36">
        <v>70.724018999999998</v>
      </c>
      <c r="T370" s="36">
        <v>152.79715999999999</v>
      </c>
      <c r="U370" s="393">
        <v>402.00403</v>
      </c>
    </row>
    <row r="371" spans="3:21" s="9" customFormat="1" ht="0.5" customHeight="1">
      <c r="C371" s="9" t="s">
        <v>41</v>
      </c>
      <c r="D371" s="9" t="str">
        <f t="shared" si="39"/>
        <v>Chile38</v>
      </c>
      <c r="E371" s="398">
        <v>38</v>
      </c>
      <c r="F371" s="399">
        <v>74.773332999999994</v>
      </c>
      <c r="G371" s="36">
        <v>52.004631000000003</v>
      </c>
      <c r="H371" s="36">
        <v>102.62714</v>
      </c>
      <c r="I371" s="393">
        <v>274.91417999999999</v>
      </c>
      <c r="J371" s="399">
        <v>176.0205</v>
      </c>
      <c r="K371" s="36">
        <v>101.58678999999999</v>
      </c>
      <c r="L371" s="36">
        <v>228.72897</v>
      </c>
      <c r="M371" s="393">
        <v>659.33821</v>
      </c>
      <c r="N371" s="399">
        <v>57.668934</v>
      </c>
      <c r="O371" s="36">
        <v>39.708038000000002</v>
      </c>
      <c r="P371" s="36">
        <v>79.164108999999996</v>
      </c>
      <c r="Q371" s="393">
        <v>180.19494</v>
      </c>
      <c r="R371" s="399">
        <v>122.47584000000001</v>
      </c>
      <c r="S371" s="36">
        <v>70.442828000000006</v>
      </c>
      <c r="T371" s="36">
        <v>153.51339999999999</v>
      </c>
      <c r="U371" s="393">
        <v>407.18576999999999</v>
      </c>
    </row>
    <row r="372" spans="3:21" s="9" customFormat="1" ht="0.5" customHeight="1">
      <c r="C372" s="9" t="s">
        <v>41</v>
      </c>
      <c r="D372" s="9" t="str">
        <f t="shared" si="39"/>
        <v>Chile38.5</v>
      </c>
      <c r="E372" s="398">
        <v>38.5</v>
      </c>
      <c r="F372" s="399">
        <v>74.903316000000004</v>
      </c>
      <c r="G372" s="36">
        <v>52.034027999999999</v>
      </c>
      <c r="H372" s="36">
        <v>103.21938</v>
      </c>
      <c r="I372" s="393">
        <v>275.58911999999998</v>
      </c>
      <c r="J372" s="399">
        <v>176.98838000000001</v>
      </c>
      <c r="K372" s="36">
        <v>101.73936</v>
      </c>
      <c r="L372" s="36">
        <v>229.74708000000001</v>
      </c>
      <c r="M372" s="393">
        <v>663.31732</v>
      </c>
      <c r="N372" s="399">
        <v>57.753442</v>
      </c>
      <c r="O372" s="36">
        <v>39.717477000000002</v>
      </c>
      <c r="P372" s="36">
        <v>79.462173000000007</v>
      </c>
      <c r="Q372" s="393">
        <v>180.72183999999999</v>
      </c>
      <c r="R372" s="399">
        <v>122.28897000000001</v>
      </c>
      <c r="S372" s="36">
        <v>70.208085999999994</v>
      </c>
      <c r="T372" s="36">
        <v>154.91651999999999</v>
      </c>
      <c r="U372" s="393">
        <v>412.25745000000001</v>
      </c>
    </row>
    <row r="373" spans="3:21" s="9" customFormat="1" ht="0.5" customHeight="1">
      <c r="C373" s="9" t="s">
        <v>41</v>
      </c>
      <c r="D373" s="9" t="str">
        <f t="shared" si="39"/>
        <v>Chile39</v>
      </c>
      <c r="E373" s="398">
        <v>39</v>
      </c>
      <c r="F373" s="399">
        <v>75.061550999999994</v>
      </c>
      <c r="G373" s="36">
        <v>52.065894</v>
      </c>
      <c r="H373" s="36">
        <v>103.86654</v>
      </c>
      <c r="I373" s="393">
        <v>276.25393000000003</v>
      </c>
      <c r="J373" s="399">
        <v>178.08446000000001</v>
      </c>
      <c r="K373" s="36">
        <v>102.01397</v>
      </c>
      <c r="L373" s="36">
        <v>230.72445999999999</v>
      </c>
      <c r="M373" s="393">
        <v>667.43248000000006</v>
      </c>
      <c r="N373" s="399">
        <v>57.841293</v>
      </c>
      <c r="O373" s="36">
        <v>39.734704999999998</v>
      </c>
      <c r="P373" s="36">
        <v>79.746527</v>
      </c>
      <c r="Q373" s="393">
        <v>181.44570999999999</v>
      </c>
      <c r="R373" s="399">
        <v>122.49654</v>
      </c>
      <c r="S373" s="36">
        <v>70.406925000000001</v>
      </c>
      <c r="T373" s="36">
        <v>156.32930999999999</v>
      </c>
      <c r="U373" s="393">
        <v>416.72336999999999</v>
      </c>
    </row>
    <row r="374" spans="3:21" s="9" customFormat="1" ht="0.5" customHeight="1">
      <c r="C374" s="9" t="s">
        <v>41</v>
      </c>
      <c r="D374" s="9" t="str">
        <f t="shared" si="39"/>
        <v>Chile39.5</v>
      </c>
      <c r="E374" s="398">
        <v>39.5</v>
      </c>
      <c r="F374" s="399">
        <v>75.220794999999995</v>
      </c>
      <c r="G374" s="36">
        <v>52.103090999999999</v>
      </c>
      <c r="H374" s="36">
        <v>104.58744</v>
      </c>
      <c r="I374" s="393">
        <v>276.97530999999998</v>
      </c>
      <c r="J374" s="399">
        <v>179.13639000000001</v>
      </c>
      <c r="K374" s="36">
        <v>102.3327</v>
      </c>
      <c r="L374" s="36">
        <v>231.70563000000001</v>
      </c>
      <c r="M374" s="393">
        <v>672.32916</v>
      </c>
      <c r="N374" s="399">
        <v>57.939759000000002</v>
      </c>
      <c r="O374" s="36">
        <v>39.763607999999998</v>
      </c>
      <c r="P374" s="36">
        <v>80.022925999999998</v>
      </c>
      <c r="Q374" s="393">
        <v>182.2525</v>
      </c>
      <c r="R374" s="399">
        <v>122.84054999999999</v>
      </c>
      <c r="S374" s="36">
        <v>70.595538000000005</v>
      </c>
      <c r="T374" s="36">
        <v>157.8639</v>
      </c>
      <c r="U374" s="393">
        <v>421.15654999999998</v>
      </c>
    </row>
    <row r="375" spans="3:21" s="9" customFormat="1" ht="0.5" customHeight="1">
      <c r="C375" s="9" t="s">
        <v>41</v>
      </c>
      <c r="D375" s="9" t="str">
        <f t="shared" si="39"/>
        <v>Chile40</v>
      </c>
      <c r="E375" s="398">
        <v>40</v>
      </c>
      <c r="F375" s="399">
        <v>75.359380999999999</v>
      </c>
      <c r="G375" s="36">
        <v>52.141171</v>
      </c>
      <c r="H375" s="36">
        <v>105.27618</v>
      </c>
      <c r="I375" s="393">
        <v>277.60023999999999</v>
      </c>
      <c r="J375" s="399">
        <v>180.02065999999999</v>
      </c>
      <c r="K375" s="36">
        <v>102.79809</v>
      </c>
      <c r="L375" s="36">
        <v>232.68709999999999</v>
      </c>
      <c r="M375" s="393">
        <v>680.78422999999998</v>
      </c>
      <c r="N375" s="399">
        <v>58.038598</v>
      </c>
      <c r="O375" s="36">
        <v>39.797494999999998</v>
      </c>
      <c r="P375" s="36">
        <v>80.302418000000003</v>
      </c>
      <c r="Q375" s="393">
        <v>183.49682000000001</v>
      </c>
      <c r="R375" s="399">
        <v>123.59451</v>
      </c>
      <c r="S375" s="36">
        <v>70.435046</v>
      </c>
      <c r="T375" s="36">
        <v>159.58009999999999</v>
      </c>
      <c r="U375" s="393">
        <v>426.03406000000001</v>
      </c>
    </row>
    <row r="376" spans="3:21" s="9" customFormat="1" ht="0.5" customHeight="1">
      <c r="C376" s="9" t="s">
        <v>41</v>
      </c>
      <c r="D376" s="9" t="str">
        <f t="shared" si="39"/>
        <v>Chile40.5</v>
      </c>
      <c r="E376" s="398">
        <v>40.5</v>
      </c>
      <c r="F376" s="399">
        <v>75.494857999999994</v>
      </c>
      <c r="G376" s="36">
        <v>52.192408</v>
      </c>
      <c r="H376" s="36">
        <v>105.90703999999999</v>
      </c>
      <c r="I376" s="393">
        <v>278.40336000000002</v>
      </c>
      <c r="J376" s="399">
        <v>180.94649999999999</v>
      </c>
      <c r="K376" s="36">
        <v>103.74</v>
      </c>
      <c r="L376" s="36">
        <v>233.31523000000001</v>
      </c>
      <c r="M376" s="393">
        <v>689.63643999999999</v>
      </c>
      <c r="N376" s="399">
        <v>58.157165999999997</v>
      </c>
      <c r="O376" s="36">
        <v>39.837381999999998</v>
      </c>
      <c r="P376" s="36">
        <v>80.634518999999997</v>
      </c>
      <c r="Q376" s="393">
        <v>184.74186</v>
      </c>
      <c r="R376" s="399">
        <v>124.36518</v>
      </c>
      <c r="S376" s="36">
        <v>70.283429999999996</v>
      </c>
      <c r="T376" s="36">
        <v>161.46779000000001</v>
      </c>
      <c r="U376" s="393">
        <v>430.64875999999998</v>
      </c>
    </row>
    <row r="377" spans="3:21" s="9" customFormat="1" ht="0.5" customHeight="1">
      <c r="C377" s="9" t="s">
        <v>41</v>
      </c>
      <c r="D377" s="9" t="str">
        <f t="shared" si="39"/>
        <v>Chile41</v>
      </c>
      <c r="E377" s="398">
        <v>41</v>
      </c>
      <c r="F377" s="399">
        <v>75.654931000000005</v>
      </c>
      <c r="G377" s="36">
        <v>52.267308999999997</v>
      </c>
      <c r="H377" s="36">
        <v>106.49751000000001</v>
      </c>
      <c r="I377" s="393">
        <v>279.47377</v>
      </c>
      <c r="J377" s="399">
        <v>182.02707000000001</v>
      </c>
      <c r="K377" s="36">
        <v>105.04447999999999</v>
      </c>
      <c r="L377" s="36">
        <v>233.91174000000001</v>
      </c>
      <c r="M377" s="393">
        <v>699.86306000000002</v>
      </c>
      <c r="N377" s="399">
        <v>58.277261000000003</v>
      </c>
      <c r="O377" s="36">
        <v>39.866148000000003</v>
      </c>
      <c r="P377" s="36">
        <v>80.964736000000002</v>
      </c>
      <c r="Q377" s="393">
        <v>185.64350999999999</v>
      </c>
      <c r="R377" s="399">
        <v>124.86358</v>
      </c>
      <c r="S377" s="36">
        <v>70.430273999999997</v>
      </c>
      <c r="T377" s="36">
        <v>163.51241999999999</v>
      </c>
      <c r="U377" s="393">
        <v>435.0059</v>
      </c>
    </row>
    <row r="378" spans="3:21" s="9" customFormat="1" ht="0.5" customHeight="1">
      <c r="C378" s="9" t="s">
        <v>41</v>
      </c>
      <c r="D378" s="9" t="str">
        <f t="shared" si="39"/>
        <v>Chile41.5</v>
      </c>
      <c r="E378" s="398">
        <v>41.5</v>
      </c>
      <c r="F378" s="399">
        <v>75.816635000000005</v>
      </c>
      <c r="G378" s="36">
        <v>52.386947999999997</v>
      </c>
      <c r="H378" s="36">
        <v>107.04549</v>
      </c>
      <c r="I378" s="393">
        <v>280.88218999999998</v>
      </c>
      <c r="J378" s="399">
        <v>183.06017</v>
      </c>
      <c r="K378" s="36">
        <v>106.59698</v>
      </c>
      <c r="L378" s="36">
        <v>234.53719000000001</v>
      </c>
      <c r="M378" s="393">
        <v>710.70983000000001</v>
      </c>
      <c r="N378" s="399">
        <v>58.393189999999997</v>
      </c>
      <c r="O378" s="36">
        <v>39.880920000000003</v>
      </c>
      <c r="P378" s="36">
        <v>81.156687000000005</v>
      </c>
      <c r="Q378" s="393">
        <v>186.54435000000001</v>
      </c>
      <c r="R378" s="399">
        <v>125.30369</v>
      </c>
      <c r="S378" s="36">
        <v>70.633308</v>
      </c>
      <c r="T378" s="36">
        <v>165.57363000000001</v>
      </c>
      <c r="U378" s="393">
        <v>439.24340999999998</v>
      </c>
    </row>
    <row r="379" spans="3:21" s="9" customFormat="1" ht="0.5" customHeight="1">
      <c r="C379" s="9" t="s">
        <v>41</v>
      </c>
      <c r="D379" s="9" t="str">
        <f t="shared" ref="D379:D442" si="40">CONCATENATE(C379,E379)</f>
        <v>Chile42</v>
      </c>
      <c r="E379" s="398">
        <v>42</v>
      </c>
      <c r="F379" s="399">
        <v>75.988667000000007</v>
      </c>
      <c r="G379" s="36">
        <v>52.518991999999997</v>
      </c>
      <c r="H379" s="36">
        <v>107.57993</v>
      </c>
      <c r="I379" s="393">
        <v>282.21973000000003</v>
      </c>
      <c r="J379" s="399">
        <v>184.34089</v>
      </c>
      <c r="K379" s="36">
        <v>108.33086</v>
      </c>
      <c r="L379" s="36">
        <v>235.15575000000001</v>
      </c>
      <c r="M379" s="393">
        <v>721.10468000000003</v>
      </c>
      <c r="N379" s="399">
        <v>58.507219999999997</v>
      </c>
      <c r="O379" s="36">
        <v>39.899256999999999</v>
      </c>
      <c r="P379" s="36">
        <v>81.346429999999998</v>
      </c>
      <c r="Q379" s="393">
        <v>187.38654</v>
      </c>
      <c r="R379" s="399">
        <v>125.39785000000001</v>
      </c>
      <c r="S379" s="36">
        <v>70.736085000000003</v>
      </c>
      <c r="T379" s="36">
        <v>167.36679000000001</v>
      </c>
      <c r="U379" s="393">
        <v>441.80063000000001</v>
      </c>
    </row>
    <row r="380" spans="3:21" s="9" customFormat="1" ht="0.5" customHeight="1">
      <c r="C380" s="9" t="s">
        <v>41</v>
      </c>
      <c r="D380" s="9" t="str">
        <f t="shared" si="40"/>
        <v>Chile42.5</v>
      </c>
      <c r="E380" s="398">
        <v>42.5</v>
      </c>
      <c r="F380" s="399">
        <v>76.160278000000005</v>
      </c>
      <c r="G380" s="36">
        <v>52.640484999999998</v>
      </c>
      <c r="H380" s="36">
        <v>108.10509999999999</v>
      </c>
      <c r="I380" s="393">
        <v>283.19096000000002</v>
      </c>
      <c r="J380" s="399">
        <v>185.68126000000001</v>
      </c>
      <c r="K380" s="36">
        <v>109.90858</v>
      </c>
      <c r="L380" s="36">
        <v>235.88834</v>
      </c>
      <c r="M380" s="393">
        <v>731.93529999999998</v>
      </c>
      <c r="N380" s="399">
        <v>58.617322999999999</v>
      </c>
      <c r="O380" s="36">
        <v>39.932284000000003</v>
      </c>
      <c r="P380" s="36">
        <v>81.549543</v>
      </c>
      <c r="Q380" s="393">
        <v>188.27019000000001</v>
      </c>
      <c r="R380" s="399">
        <v>125.47698</v>
      </c>
      <c r="S380" s="36">
        <v>70.740542000000005</v>
      </c>
      <c r="T380" s="36">
        <v>168.76472999999999</v>
      </c>
      <c r="U380" s="393">
        <v>444.25398000000001</v>
      </c>
    </row>
    <row r="381" spans="3:21" s="9" customFormat="1" ht="0.5" customHeight="1">
      <c r="C381" s="9" t="s">
        <v>41</v>
      </c>
      <c r="D381" s="9" t="str">
        <f t="shared" si="40"/>
        <v>Chile43</v>
      </c>
      <c r="E381" s="398">
        <v>43</v>
      </c>
      <c r="F381" s="399">
        <v>76.304648</v>
      </c>
      <c r="G381" s="36">
        <v>52.75497</v>
      </c>
      <c r="H381" s="36">
        <v>108.58723999999999</v>
      </c>
      <c r="I381" s="393">
        <v>284.31479000000002</v>
      </c>
      <c r="J381" s="399">
        <v>186.97045</v>
      </c>
      <c r="K381" s="36">
        <v>111.20084</v>
      </c>
      <c r="L381" s="36">
        <v>236.65684999999999</v>
      </c>
      <c r="M381" s="393">
        <v>745.62521000000004</v>
      </c>
      <c r="N381" s="399">
        <v>58.733446000000001</v>
      </c>
      <c r="O381" s="36">
        <v>39.965045000000003</v>
      </c>
      <c r="P381" s="36">
        <v>81.755802000000003</v>
      </c>
      <c r="Q381" s="393">
        <v>189.28746000000001</v>
      </c>
      <c r="R381" s="399">
        <v>125.74007</v>
      </c>
      <c r="S381" s="36">
        <v>70.855473000000003</v>
      </c>
      <c r="T381" s="36">
        <v>170.10150999999999</v>
      </c>
      <c r="U381" s="393">
        <v>444.99426999999997</v>
      </c>
    </row>
    <row r="382" spans="3:21" s="9" customFormat="1" ht="0.5" customHeight="1">
      <c r="C382" s="9" t="s">
        <v>41</v>
      </c>
      <c r="D382" s="9" t="str">
        <f t="shared" si="40"/>
        <v>Chile43.5</v>
      </c>
      <c r="E382" s="398">
        <v>43.5</v>
      </c>
      <c r="F382" s="399">
        <v>76.444202000000004</v>
      </c>
      <c r="G382" s="36">
        <v>52.841245999999998</v>
      </c>
      <c r="H382" s="36">
        <v>108.94002999999999</v>
      </c>
      <c r="I382" s="393">
        <v>285.97773000000001</v>
      </c>
      <c r="J382" s="399">
        <v>188.28542999999999</v>
      </c>
      <c r="K382" s="36">
        <v>112.22562000000001</v>
      </c>
      <c r="L382" s="36">
        <v>237.1465</v>
      </c>
      <c r="M382" s="393">
        <v>759.12801000000002</v>
      </c>
      <c r="N382" s="399">
        <v>58.875065999999997</v>
      </c>
      <c r="O382" s="36">
        <v>39.993889000000003</v>
      </c>
      <c r="P382" s="36">
        <v>82.007551000000007</v>
      </c>
      <c r="Q382" s="393">
        <v>190.34908999999999</v>
      </c>
      <c r="R382" s="399">
        <v>126.06147</v>
      </c>
      <c r="S382" s="36">
        <v>71.013098999999997</v>
      </c>
      <c r="T382" s="36">
        <v>171.40700000000001</v>
      </c>
      <c r="U382" s="393">
        <v>445.72568999999999</v>
      </c>
    </row>
    <row r="383" spans="3:21" s="9" customFormat="1" ht="0.5" customHeight="1">
      <c r="C383" s="9" t="s">
        <v>41</v>
      </c>
      <c r="D383" s="9" t="str">
        <f t="shared" si="40"/>
        <v>Chile44</v>
      </c>
      <c r="E383" s="398">
        <v>44</v>
      </c>
      <c r="F383" s="399">
        <v>76.527503999999993</v>
      </c>
      <c r="G383" s="36">
        <v>52.902538999999997</v>
      </c>
      <c r="H383" s="36">
        <v>109.26313</v>
      </c>
      <c r="I383" s="393">
        <v>287.47187000000002</v>
      </c>
      <c r="J383" s="399">
        <v>189.84116</v>
      </c>
      <c r="K383" s="36">
        <v>112.92744</v>
      </c>
      <c r="L383" s="36">
        <v>237.56576000000001</v>
      </c>
      <c r="M383" s="393">
        <v>770.74171999999999</v>
      </c>
      <c r="N383" s="399">
        <v>59.014189999999999</v>
      </c>
      <c r="O383" s="36">
        <v>40.020017000000003</v>
      </c>
      <c r="P383" s="36">
        <v>82.259602999999998</v>
      </c>
      <c r="Q383" s="393">
        <v>191.15083999999999</v>
      </c>
      <c r="R383" s="399">
        <v>126.37268</v>
      </c>
      <c r="S383" s="36">
        <v>70.854628000000005</v>
      </c>
      <c r="T383" s="36">
        <v>172.56798000000001</v>
      </c>
      <c r="U383" s="393">
        <v>449.84071999999998</v>
      </c>
    </row>
    <row r="384" spans="3:21" s="9" customFormat="1" ht="0.5" customHeight="1">
      <c r="C384" s="9" t="s">
        <v>41</v>
      </c>
      <c r="D384" s="9" t="str">
        <f t="shared" si="40"/>
        <v>Chile44.5</v>
      </c>
      <c r="E384" s="398">
        <v>44.5</v>
      </c>
      <c r="F384" s="399">
        <v>76.620828000000003</v>
      </c>
      <c r="G384" s="36">
        <v>52.916798</v>
      </c>
      <c r="H384" s="36">
        <v>109.61405000000001</v>
      </c>
      <c r="I384" s="393">
        <v>288.58156000000002</v>
      </c>
      <c r="J384" s="399">
        <v>191.34857</v>
      </c>
      <c r="K384" s="36">
        <v>113.33611000000001</v>
      </c>
      <c r="L384" s="36">
        <v>238.30667</v>
      </c>
      <c r="M384" s="393">
        <v>782.46380999999997</v>
      </c>
      <c r="N384" s="399">
        <v>59.129634000000003</v>
      </c>
      <c r="O384" s="36">
        <v>40.047145999999998</v>
      </c>
      <c r="P384" s="36">
        <v>82.463228000000001</v>
      </c>
      <c r="Q384" s="393">
        <v>191.88735</v>
      </c>
      <c r="R384" s="399">
        <v>126.62808</v>
      </c>
      <c r="S384" s="36">
        <v>70.628759000000002</v>
      </c>
      <c r="T384" s="36">
        <v>173.25721999999999</v>
      </c>
      <c r="U384" s="393">
        <v>453.75423000000001</v>
      </c>
    </row>
    <row r="385" spans="3:21" s="9" customFormat="1" ht="0.5" customHeight="1">
      <c r="C385" s="9" t="s">
        <v>41</v>
      </c>
      <c r="D385" s="9" t="str">
        <f t="shared" si="40"/>
        <v>Chile45</v>
      </c>
      <c r="E385" s="398">
        <v>45</v>
      </c>
      <c r="F385" s="399">
        <v>76.661492999999993</v>
      </c>
      <c r="G385" s="36">
        <v>52.893427000000003</v>
      </c>
      <c r="H385" s="36">
        <v>109.89131999999999</v>
      </c>
      <c r="I385" s="393">
        <v>289.53302000000002</v>
      </c>
      <c r="J385" s="399">
        <v>192.57643999999999</v>
      </c>
      <c r="K385" s="36">
        <v>113.64713999999999</v>
      </c>
      <c r="L385" s="36">
        <v>239.07038</v>
      </c>
      <c r="M385" s="393">
        <v>791.08128999999997</v>
      </c>
      <c r="N385" s="399">
        <v>59.245750000000001</v>
      </c>
      <c r="O385" s="36">
        <v>40.078645000000002</v>
      </c>
      <c r="P385" s="36">
        <v>82.663247999999996</v>
      </c>
      <c r="Q385" s="393">
        <v>192.47176999999999</v>
      </c>
      <c r="R385" s="399">
        <v>127.45359000000001</v>
      </c>
      <c r="S385" s="36">
        <v>70.501535000000004</v>
      </c>
      <c r="T385" s="36">
        <v>173.66615999999999</v>
      </c>
      <c r="U385" s="393">
        <v>457.74203</v>
      </c>
    </row>
    <row r="386" spans="3:21" s="9" customFormat="1" ht="0.5" customHeight="1">
      <c r="C386" s="9" t="s">
        <v>41</v>
      </c>
      <c r="D386" s="9" t="str">
        <f t="shared" si="40"/>
        <v>Chile45.5</v>
      </c>
      <c r="E386" s="398">
        <v>45.5</v>
      </c>
      <c r="F386" s="399">
        <v>76.703078000000005</v>
      </c>
      <c r="G386" s="36">
        <v>52.828935000000001</v>
      </c>
      <c r="H386" s="36">
        <v>110.02943</v>
      </c>
      <c r="I386" s="393">
        <v>290.27706000000001</v>
      </c>
      <c r="J386" s="399">
        <v>193.79426000000001</v>
      </c>
      <c r="K386" s="36">
        <v>114.17806</v>
      </c>
      <c r="L386" s="36">
        <v>239.66104999999999</v>
      </c>
      <c r="M386" s="393">
        <v>799.69962999999996</v>
      </c>
      <c r="N386" s="399">
        <v>59.392262000000002</v>
      </c>
      <c r="O386" s="36">
        <v>40.108046000000002</v>
      </c>
      <c r="P386" s="36">
        <v>82.783688999999995</v>
      </c>
      <c r="Q386" s="393">
        <v>193.01473999999999</v>
      </c>
      <c r="R386" s="399">
        <v>128.38490999999999</v>
      </c>
      <c r="S386" s="36">
        <v>70.432047999999995</v>
      </c>
      <c r="T386" s="36">
        <v>173.67892000000001</v>
      </c>
      <c r="U386" s="393">
        <v>461.64042999999998</v>
      </c>
    </row>
    <row r="387" spans="3:21" s="9" customFormat="1" ht="0.5" customHeight="1">
      <c r="C387" s="9" t="s">
        <v>41</v>
      </c>
      <c r="D387" s="9" t="str">
        <f t="shared" si="40"/>
        <v>Chile46</v>
      </c>
      <c r="E387" s="398">
        <v>46</v>
      </c>
      <c r="F387" s="399">
        <v>76.767083999999997</v>
      </c>
      <c r="G387" s="36">
        <v>52.760516000000003</v>
      </c>
      <c r="H387" s="36">
        <v>110.13867999999999</v>
      </c>
      <c r="I387" s="393">
        <v>291.21132</v>
      </c>
      <c r="J387" s="399">
        <v>195.12967</v>
      </c>
      <c r="K387" s="36">
        <v>114.79585</v>
      </c>
      <c r="L387" s="36">
        <v>240.21664000000001</v>
      </c>
      <c r="M387" s="393">
        <v>808.65228999999999</v>
      </c>
      <c r="N387" s="399">
        <v>59.539583999999998</v>
      </c>
      <c r="O387" s="36">
        <v>40.131253999999998</v>
      </c>
      <c r="P387" s="36">
        <v>82.902162000000004</v>
      </c>
      <c r="Q387" s="393">
        <v>193.28971999999999</v>
      </c>
      <c r="R387" s="399">
        <v>129.58738</v>
      </c>
      <c r="S387" s="36">
        <v>70.633028999999993</v>
      </c>
      <c r="T387" s="36">
        <v>173.57876999999999</v>
      </c>
      <c r="U387" s="393">
        <v>465.52542999999997</v>
      </c>
    </row>
    <row r="388" spans="3:21" s="9" customFormat="1" ht="0.5" customHeight="1">
      <c r="C388" s="9" t="s">
        <v>41</v>
      </c>
      <c r="D388" s="9" t="str">
        <f t="shared" si="40"/>
        <v>Chile46.5</v>
      </c>
      <c r="E388" s="398">
        <v>46.5</v>
      </c>
      <c r="F388" s="399">
        <v>76.831078000000005</v>
      </c>
      <c r="G388" s="36">
        <v>52.702989000000002</v>
      </c>
      <c r="H388" s="36">
        <v>110.23164</v>
      </c>
      <c r="I388" s="393">
        <v>292.97771999999998</v>
      </c>
      <c r="J388" s="399">
        <v>196.49069</v>
      </c>
      <c r="K388" s="36">
        <v>115.65143</v>
      </c>
      <c r="L388" s="36">
        <v>240.87478999999999</v>
      </c>
      <c r="M388" s="393">
        <v>816.15112999999997</v>
      </c>
      <c r="N388" s="399">
        <v>59.683304</v>
      </c>
      <c r="O388" s="36">
        <v>40.145122999999998</v>
      </c>
      <c r="P388" s="36">
        <v>83.103896000000006</v>
      </c>
      <c r="Q388" s="393">
        <v>193.47728000000001</v>
      </c>
      <c r="R388" s="399">
        <v>130.80907999999999</v>
      </c>
      <c r="S388" s="36">
        <v>70.813753000000005</v>
      </c>
      <c r="T388" s="36">
        <v>173.96028000000001</v>
      </c>
      <c r="U388" s="393">
        <v>469.49506000000002</v>
      </c>
    </row>
    <row r="389" spans="3:21" s="9" customFormat="1" ht="0.5" customHeight="1">
      <c r="C389" s="9" t="s">
        <v>41</v>
      </c>
      <c r="D389" s="9" t="str">
        <f t="shared" si="40"/>
        <v>Chile47</v>
      </c>
      <c r="E389" s="398">
        <v>47</v>
      </c>
      <c r="F389" s="399">
        <v>76.861227999999997</v>
      </c>
      <c r="G389" s="36">
        <v>52.657339999999998</v>
      </c>
      <c r="H389" s="36">
        <v>110.30298999999999</v>
      </c>
      <c r="I389" s="393">
        <v>294.98061000000001</v>
      </c>
      <c r="J389" s="399">
        <v>197.81871000000001</v>
      </c>
      <c r="K389" s="36">
        <v>116.58608</v>
      </c>
      <c r="L389" s="36">
        <v>241.55419000000001</v>
      </c>
      <c r="M389" s="393">
        <v>822.36829999999998</v>
      </c>
      <c r="N389" s="399">
        <v>59.829819000000001</v>
      </c>
      <c r="O389" s="36">
        <v>40.157462000000002</v>
      </c>
      <c r="P389" s="36">
        <v>83.304000000000002</v>
      </c>
      <c r="Q389" s="393">
        <v>193.65903</v>
      </c>
      <c r="R389" s="399">
        <v>131.91283999999999</v>
      </c>
      <c r="S389" s="36">
        <v>70.854945999999998</v>
      </c>
      <c r="T389" s="36">
        <v>174.59318999999999</v>
      </c>
      <c r="U389" s="393">
        <v>472.33933999999999</v>
      </c>
    </row>
    <row r="390" spans="3:21" s="9" customFormat="1" ht="0.5" customHeight="1">
      <c r="C390" s="9" t="s">
        <v>41</v>
      </c>
      <c r="D390" s="9" t="str">
        <f t="shared" si="40"/>
        <v>Chile47.5</v>
      </c>
      <c r="E390" s="398">
        <v>47.5</v>
      </c>
      <c r="F390" s="399">
        <v>76.887439999999998</v>
      </c>
      <c r="G390" s="36">
        <v>52.662847999999997</v>
      </c>
      <c r="H390" s="36">
        <v>110.36682</v>
      </c>
      <c r="I390" s="393">
        <v>297.02066000000002</v>
      </c>
      <c r="J390" s="399">
        <v>199.10629</v>
      </c>
      <c r="K390" s="36">
        <v>117.08437000000001</v>
      </c>
      <c r="L390" s="36">
        <v>242.0795</v>
      </c>
      <c r="M390" s="393">
        <v>828.41339000000005</v>
      </c>
      <c r="N390" s="399">
        <v>60.003762000000002</v>
      </c>
      <c r="O390" s="36">
        <v>40.150739000000002</v>
      </c>
      <c r="P390" s="36">
        <v>83.517661000000004</v>
      </c>
      <c r="Q390" s="393">
        <v>193.80817999999999</v>
      </c>
      <c r="R390" s="399">
        <v>133.13985</v>
      </c>
      <c r="S390" s="36">
        <v>70.909474000000003</v>
      </c>
      <c r="T390" s="36">
        <v>175.03785999999999</v>
      </c>
      <c r="U390" s="393">
        <v>474.87948</v>
      </c>
    </row>
    <row r="391" spans="3:21" s="9" customFormat="1" ht="0.5" customHeight="1">
      <c r="C391" s="9" t="s">
        <v>41</v>
      </c>
      <c r="D391" s="9" t="str">
        <f t="shared" si="40"/>
        <v>Chile48</v>
      </c>
      <c r="E391" s="398">
        <v>48</v>
      </c>
      <c r="F391" s="399">
        <v>76.924752999999995</v>
      </c>
      <c r="G391" s="36">
        <v>52.691541999999998</v>
      </c>
      <c r="H391" s="36">
        <v>110.41155999999999</v>
      </c>
      <c r="I391" s="393">
        <v>298.86907000000002</v>
      </c>
      <c r="J391" s="399">
        <v>200.24352999999999</v>
      </c>
      <c r="K391" s="36">
        <v>117.61096999999999</v>
      </c>
      <c r="L391" s="36">
        <v>242.56049999999999</v>
      </c>
      <c r="M391" s="393">
        <v>832.94326999999998</v>
      </c>
      <c r="N391" s="399">
        <v>60.180945999999999</v>
      </c>
      <c r="O391" s="36">
        <v>40.137442</v>
      </c>
      <c r="P391" s="36">
        <v>83.731780000000001</v>
      </c>
      <c r="Q391" s="393">
        <v>193.54059000000001</v>
      </c>
      <c r="R391" s="399">
        <v>134.86994000000001</v>
      </c>
      <c r="S391" s="36">
        <v>71.342187999999993</v>
      </c>
      <c r="T391" s="36">
        <v>175.14741000000001</v>
      </c>
      <c r="U391" s="393">
        <v>473.55883999999998</v>
      </c>
    </row>
    <row r="392" spans="3:21" s="9" customFormat="1" ht="0.5" customHeight="1">
      <c r="C392" s="9" t="s">
        <v>41</v>
      </c>
      <c r="D392" s="9" t="str">
        <f t="shared" si="40"/>
        <v>Chile48.5</v>
      </c>
      <c r="E392" s="398">
        <v>48.5</v>
      </c>
      <c r="F392" s="399">
        <v>76.959429999999998</v>
      </c>
      <c r="G392" s="36">
        <v>52.687981000000001</v>
      </c>
      <c r="H392" s="36">
        <v>110.36454000000001</v>
      </c>
      <c r="I392" s="393">
        <v>300.34456</v>
      </c>
      <c r="J392" s="399">
        <v>201.44075000000001</v>
      </c>
      <c r="K392" s="36">
        <v>118.01921</v>
      </c>
      <c r="L392" s="36">
        <v>242.62943000000001</v>
      </c>
      <c r="M392" s="393">
        <v>836.14022</v>
      </c>
      <c r="N392" s="399">
        <v>60.362462999999998</v>
      </c>
      <c r="O392" s="36">
        <v>40.112419000000003</v>
      </c>
      <c r="P392" s="36">
        <v>83.900170000000003</v>
      </c>
      <c r="Q392" s="393">
        <v>193.22246999999999</v>
      </c>
      <c r="R392" s="399">
        <v>136.53852000000001</v>
      </c>
      <c r="S392" s="36">
        <v>71.786944000000005</v>
      </c>
      <c r="T392" s="36">
        <v>174.93626</v>
      </c>
      <c r="U392" s="393">
        <v>471.89192000000003</v>
      </c>
    </row>
    <row r="393" spans="3:21" s="9" customFormat="1" ht="0.5" customHeight="1">
      <c r="C393" s="9" t="s">
        <v>41</v>
      </c>
      <c r="D393" s="9" t="str">
        <f t="shared" si="40"/>
        <v>Chile49</v>
      </c>
      <c r="E393" s="398">
        <v>49</v>
      </c>
      <c r="F393" s="399">
        <v>76.971063999999998</v>
      </c>
      <c r="G393" s="36">
        <v>52.662829000000002</v>
      </c>
      <c r="H393" s="36">
        <v>110.26801</v>
      </c>
      <c r="I393" s="393">
        <v>301.75974000000002</v>
      </c>
      <c r="J393" s="399">
        <v>202.53504000000001</v>
      </c>
      <c r="K393" s="36">
        <v>118.41828</v>
      </c>
      <c r="L393" s="36">
        <v>242.71422999999999</v>
      </c>
      <c r="M393" s="393">
        <v>838.64535000000001</v>
      </c>
      <c r="N393" s="399">
        <v>60.542760000000001</v>
      </c>
      <c r="O393" s="36">
        <v>40.082447000000002</v>
      </c>
      <c r="P393" s="36">
        <v>84.068318000000005</v>
      </c>
      <c r="Q393" s="393">
        <v>192.71243999999999</v>
      </c>
      <c r="R393" s="399">
        <v>138.38436999999999</v>
      </c>
      <c r="S393" s="36">
        <v>72.303078999999997</v>
      </c>
      <c r="T393" s="36">
        <v>174.58070000000001</v>
      </c>
      <c r="U393" s="393">
        <v>466.93928</v>
      </c>
    </row>
    <row r="394" spans="3:21" s="9" customFormat="1" ht="0.5" customHeight="1">
      <c r="C394" s="9" t="s">
        <v>41</v>
      </c>
      <c r="D394" s="9" t="str">
        <f t="shared" si="40"/>
        <v>Chile49.5</v>
      </c>
      <c r="E394" s="398">
        <v>49.5</v>
      </c>
      <c r="F394" s="399">
        <v>76.981876</v>
      </c>
      <c r="G394" s="36">
        <v>52.638215000000002</v>
      </c>
      <c r="H394" s="36">
        <v>110.17095999999999</v>
      </c>
      <c r="I394" s="393">
        <v>303.01942000000003</v>
      </c>
      <c r="J394" s="399">
        <v>203.52448000000001</v>
      </c>
      <c r="K394" s="36">
        <v>118.96366999999999</v>
      </c>
      <c r="L394" s="36">
        <v>243.04838000000001</v>
      </c>
      <c r="M394" s="393">
        <v>841.69074999999998</v>
      </c>
      <c r="N394" s="399">
        <v>60.716639000000001</v>
      </c>
      <c r="O394" s="36">
        <v>40.030551000000003</v>
      </c>
      <c r="P394" s="36">
        <v>84.190640000000002</v>
      </c>
      <c r="Q394" s="393">
        <v>192.12268</v>
      </c>
      <c r="R394" s="399">
        <v>140.17415</v>
      </c>
      <c r="S394" s="36">
        <v>72.922769000000002</v>
      </c>
      <c r="T394" s="36">
        <v>174.23677000000001</v>
      </c>
      <c r="U394" s="393">
        <v>461.91786999999999</v>
      </c>
    </row>
    <row r="395" spans="3:21" s="9" customFormat="1" ht="0.5" customHeight="1">
      <c r="C395" s="9" t="s">
        <v>41</v>
      </c>
      <c r="D395" s="9" t="str">
        <f t="shared" si="40"/>
        <v>Chile50</v>
      </c>
      <c r="E395" s="398">
        <v>50</v>
      </c>
      <c r="F395" s="399">
        <v>76.984211000000002</v>
      </c>
      <c r="G395" s="36">
        <v>52.624999000000003</v>
      </c>
      <c r="H395" s="36">
        <v>110.07043</v>
      </c>
      <c r="I395" s="393">
        <v>304.27829000000003</v>
      </c>
      <c r="J395" s="399">
        <v>204.53503000000001</v>
      </c>
      <c r="K395" s="36">
        <v>119.21055</v>
      </c>
      <c r="L395" s="36">
        <v>243.37264999999999</v>
      </c>
      <c r="M395" s="393">
        <v>842.73590000000002</v>
      </c>
      <c r="N395" s="399">
        <v>60.891230999999998</v>
      </c>
      <c r="O395" s="36">
        <v>39.968969999999999</v>
      </c>
      <c r="P395" s="36">
        <v>84.303380000000004</v>
      </c>
      <c r="Q395" s="393">
        <v>191.43684999999999</v>
      </c>
      <c r="R395" s="399">
        <v>141.52785</v>
      </c>
      <c r="S395" s="36">
        <v>74.060861000000003</v>
      </c>
      <c r="T395" s="36">
        <v>174.10126</v>
      </c>
      <c r="U395" s="393">
        <v>455.84586000000002</v>
      </c>
    </row>
    <row r="396" spans="3:21" s="9" customFormat="1" ht="0.5" customHeight="1">
      <c r="C396" s="9" t="s">
        <v>41</v>
      </c>
      <c r="D396" s="9" t="str">
        <f t="shared" si="40"/>
        <v>Chile50.5</v>
      </c>
      <c r="E396" s="398">
        <v>50.5</v>
      </c>
      <c r="F396" s="399">
        <v>76.988273000000007</v>
      </c>
      <c r="G396" s="36">
        <v>52.613866000000002</v>
      </c>
      <c r="H396" s="36">
        <v>109.93547</v>
      </c>
      <c r="I396" s="393">
        <v>305.53471000000002</v>
      </c>
      <c r="J396" s="399">
        <v>205.54783</v>
      </c>
      <c r="K396" s="36">
        <v>119.02788</v>
      </c>
      <c r="L396" s="36">
        <v>243.4725</v>
      </c>
      <c r="M396" s="393">
        <v>843.10625000000005</v>
      </c>
      <c r="N396" s="399">
        <v>61.068449999999999</v>
      </c>
      <c r="O396" s="36">
        <v>39.881183</v>
      </c>
      <c r="P396" s="36">
        <v>84.272486000000001</v>
      </c>
      <c r="Q396" s="393">
        <v>190.48396</v>
      </c>
      <c r="R396" s="399">
        <v>142.94979000000001</v>
      </c>
      <c r="S396" s="36">
        <v>75.156210000000002</v>
      </c>
      <c r="T396" s="36">
        <v>173.92099999999999</v>
      </c>
      <c r="U396" s="393">
        <v>449.63413000000003</v>
      </c>
    </row>
    <row r="397" spans="3:21" s="9" customFormat="1" ht="0.5" customHeight="1">
      <c r="C397" s="9" t="s">
        <v>41</v>
      </c>
      <c r="D397" s="9" t="str">
        <f t="shared" si="40"/>
        <v>Chile51</v>
      </c>
      <c r="E397" s="398">
        <v>51</v>
      </c>
      <c r="F397" s="399">
        <v>77.004974000000004</v>
      </c>
      <c r="G397" s="36">
        <v>52.617654000000002</v>
      </c>
      <c r="H397" s="36">
        <v>109.78561000000001</v>
      </c>
      <c r="I397" s="393">
        <v>306.88702999999998</v>
      </c>
      <c r="J397" s="399">
        <v>206.23229000000001</v>
      </c>
      <c r="K397" s="36">
        <v>118.34971</v>
      </c>
      <c r="L397" s="36">
        <v>243.58338000000001</v>
      </c>
      <c r="M397" s="393">
        <v>842.60260000000005</v>
      </c>
      <c r="N397" s="399">
        <v>61.250565999999999</v>
      </c>
      <c r="O397" s="36">
        <v>39.785981</v>
      </c>
      <c r="P397" s="36">
        <v>84.231415999999996</v>
      </c>
      <c r="Q397" s="393">
        <v>189.00882999999999</v>
      </c>
      <c r="R397" s="399">
        <v>144.52769000000001</v>
      </c>
      <c r="S397" s="36">
        <v>76.020166000000003</v>
      </c>
      <c r="T397" s="36">
        <v>173.97099</v>
      </c>
      <c r="U397" s="393">
        <v>442.75983000000002</v>
      </c>
    </row>
    <row r="398" spans="3:21" s="9" customFormat="1" ht="0.5" customHeight="1">
      <c r="C398" s="9" t="s">
        <v>41</v>
      </c>
      <c r="D398" s="9" t="str">
        <f t="shared" si="40"/>
        <v>Chile51.5</v>
      </c>
      <c r="E398" s="398">
        <v>51.5</v>
      </c>
      <c r="F398" s="399">
        <v>77.023437999999999</v>
      </c>
      <c r="G398" s="36">
        <v>52.659393999999999</v>
      </c>
      <c r="H398" s="36">
        <v>109.63482999999999</v>
      </c>
      <c r="I398" s="393">
        <v>308.38130999999998</v>
      </c>
      <c r="J398" s="399">
        <v>206.80450999999999</v>
      </c>
      <c r="K398" s="36">
        <v>117.36516</v>
      </c>
      <c r="L398" s="36">
        <v>243.69424000000001</v>
      </c>
      <c r="M398" s="393">
        <v>841.60682999999995</v>
      </c>
      <c r="N398" s="399">
        <v>61.439987000000002</v>
      </c>
      <c r="O398" s="36">
        <v>39.700428000000002</v>
      </c>
      <c r="P398" s="36">
        <v>84.167966000000007</v>
      </c>
      <c r="Q398" s="393">
        <v>187.31856999999999</v>
      </c>
      <c r="R398" s="399">
        <v>146.12476000000001</v>
      </c>
      <c r="S398" s="36">
        <v>76.893011000000001</v>
      </c>
      <c r="T398" s="36">
        <v>174.68843000000001</v>
      </c>
      <c r="U398" s="393">
        <v>435.68531000000002</v>
      </c>
    </row>
    <row r="399" spans="3:21" s="9" customFormat="1" ht="0.5" customHeight="1">
      <c r="C399" s="9" t="s">
        <v>41</v>
      </c>
      <c r="D399" s="9" t="str">
        <f t="shared" si="40"/>
        <v>Chile52</v>
      </c>
      <c r="E399" s="398">
        <v>52</v>
      </c>
      <c r="F399" s="399">
        <v>77.032966999999999</v>
      </c>
      <c r="G399" s="36">
        <v>52.709282999999999</v>
      </c>
      <c r="H399" s="36">
        <v>109.49959</v>
      </c>
      <c r="I399" s="393">
        <v>309.99696999999998</v>
      </c>
      <c r="J399" s="399">
        <v>207.68924000000001</v>
      </c>
      <c r="K399" s="36">
        <v>116.10113</v>
      </c>
      <c r="L399" s="36">
        <v>243.89071999999999</v>
      </c>
      <c r="M399" s="393">
        <v>841.11425999999994</v>
      </c>
      <c r="N399" s="399">
        <v>61.649540999999999</v>
      </c>
      <c r="O399" s="36">
        <v>39.621023999999998</v>
      </c>
      <c r="P399" s="36">
        <v>84.073086000000004</v>
      </c>
      <c r="Q399" s="393">
        <v>185.33493999999999</v>
      </c>
      <c r="R399" s="399">
        <v>147.76235</v>
      </c>
      <c r="S399" s="36">
        <v>77.957255000000004</v>
      </c>
      <c r="T399" s="36">
        <v>175.47757999999999</v>
      </c>
      <c r="U399" s="393">
        <v>426.73061000000001</v>
      </c>
    </row>
    <row r="400" spans="3:21" s="9" customFormat="1" ht="0.5" customHeight="1">
      <c r="C400" s="9" t="s">
        <v>41</v>
      </c>
      <c r="D400" s="9" t="str">
        <f t="shared" si="40"/>
        <v>Chile52.5</v>
      </c>
      <c r="E400" s="398">
        <v>52.5</v>
      </c>
      <c r="F400" s="399">
        <v>77.028992000000002</v>
      </c>
      <c r="G400" s="36">
        <v>52.760697</v>
      </c>
      <c r="H400" s="36">
        <v>109.36494999999999</v>
      </c>
      <c r="I400" s="393">
        <v>311.60156999999998</v>
      </c>
      <c r="J400" s="399">
        <v>208.74616</v>
      </c>
      <c r="K400" s="36">
        <v>114.51595</v>
      </c>
      <c r="L400" s="36">
        <v>244.26137</v>
      </c>
      <c r="M400" s="393">
        <v>840.14766999999995</v>
      </c>
      <c r="N400" s="399">
        <v>61.884984000000003</v>
      </c>
      <c r="O400" s="36">
        <v>39.544662000000002</v>
      </c>
      <c r="P400" s="36">
        <v>83.919072999999997</v>
      </c>
      <c r="Q400" s="393">
        <v>183.00334000000001</v>
      </c>
      <c r="R400" s="399">
        <v>149.22498999999999</v>
      </c>
      <c r="S400" s="36">
        <v>79.044875000000005</v>
      </c>
      <c r="T400" s="36">
        <v>176.29548</v>
      </c>
      <c r="U400" s="393">
        <v>418.57384000000002</v>
      </c>
    </row>
    <row r="401" spans="3:21" s="9" customFormat="1" ht="0.5" customHeight="1">
      <c r="C401" s="9" t="s">
        <v>41</v>
      </c>
      <c r="D401" s="9" t="str">
        <f t="shared" si="40"/>
        <v>Chile53</v>
      </c>
      <c r="E401" s="398">
        <v>53</v>
      </c>
      <c r="F401" s="399">
        <v>76.977536999999998</v>
      </c>
      <c r="G401" s="36">
        <v>52.790455999999999</v>
      </c>
      <c r="H401" s="36">
        <v>109.18322000000001</v>
      </c>
      <c r="I401" s="393">
        <v>313.09183999999999</v>
      </c>
      <c r="J401" s="399">
        <v>210.05806999999999</v>
      </c>
      <c r="K401" s="36">
        <v>112.99311</v>
      </c>
      <c r="L401" s="36">
        <v>244.63835</v>
      </c>
      <c r="M401" s="393">
        <v>837.16521999999998</v>
      </c>
      <c r="N401" s="399">
        <v>62.151235</v>
      </c>
      <c r="O401" s="36">
        <v>39.451855999999999</v>
      </c>
      <c r="P401" s="36">
        <v>83.677021999999994</v>
      </c>
      <c r="Q401" s="393">
        <v>180.58215999999999</v>
      </c>
      <c r="R401" s="399">
        <v>151.02081999999999</v>
      </c>
      <c r="S401" s="36">
        <v>80.121134999999995</v>
      </c>
      <c r="T401" s="36">
        <v>177.33271999999999</v>
      </c>
      <c r="U401" s="393">
        <v>412.20076</v>
      </c>
    </row>
    <row r="402" spans="3:21" s="9" customFormat="1" ht="0.5" customHeight="1">
      <c r="C402" s="9" t="s">
        <v>41</v>
      </c>
      <c r="D402" s="9" t="str">
        <f t="shared" si="40"/>
        <v>Chile53.5</v>
      </c>
      <c r="E402" s="398">
        <v>53.5</v>
      </c>
      <c r="F402" s="399">
        <v>76.909481999999997</v>
      </c>
      <c r="G402" s="36">
        <v>52.769179999999999</v>
      </c>
      <c r="H402" s="36">
        <v>108.97598000000001</v>
      </c>
      <c r="I402" s="393">
        <v>314.72422</v>
      </c>
      <c r="J402" s="399">
        <v>211.721</v>
      </c>
      <c r="K402" s="36">
        <v>111.76627000000001</v>
      </c>
      <c r="L402" s="36">
        <v>245.37136000000001</v>
      </c>
      <c r="M402" s="393">
        <v>833.61847</v>
      </c>
      <c r="N402" s="399">
        <v>62.425181000000002</v>
      </c>
      <c r="O402" s="36">
        <v>39.353445000000001</v>
      </c>
      <c r="P402" s="36">
        <v>83.366952999999995</v>
      </c>
      <c r="Q402" s="393">
        <v>177.93915999999999</v>
      </c>
      <c r="R402" s="399">
        <v>152.96597</v>
      </c>
      <c r="S402" s="36">
        <v>81.056635</v>
      </c>
      <c r="T402" s="36">
        <v>178.90401</v>
      </c>
      <c r="U402" s="393">
        <v>407.57035999999999</v>
      </c>
    </row>
    <row r="403" spans="3:21" s="9" customFormat="1" ht="0.5" customHeight="1">
      <c r="C403" s="9" t="s">
        <v>41</v>
      </c>
      <c r="D403" s="9" t="str">
        <f t="shared" si="40"/>
        <v>Chile54</v>
      </c>
      <c r="E403" s="398">
        <v>54</v>
      </c>
      <c r="F403" s="399">
        <v>76.846376000000006</v>
      </c>
      <c r="G403" s="36">
        <v>52.659525000000002</v>
      </c>
      <c r="H403" s="36">
        <v>108.75596</v>
      </c>
      <c r="I403" s="393">
        <v>316.59438</v>
      </c>
      <c r="J403" s="399">
        <v>214.06759</v>
      </c>
      <c r="K403" s="36">
        <v>111.27354</v>
      </c>
      <c r="L403" s="36">
        <v>247.11166</v>
      </c>
      <c r="M403" s="393">
        <v>831.37360000000001</v>
      </c>
      <c r="N403" s="399">
        <v>62.712636000000003</v>
      </c>
      <c r="O403" s="36">
        <v>39.270789999999998</v>
      </c>
      <c r="P403" s="36">
        <v>82.960210000000004</v>
      </c>
      <c r="Q403" s="393">
        <v>175.04866000000001</v>
      </c>
      <c r="R403" s="399">
        <v>155.16956999999999</v>
      </c>
      <c r="S403" s="36">
        <v>81.890022999999999</v>
      </c>
      <c r="T403" s="36">
        <v>181.66489999999999</v>
      </c>
      <c r="U403" s="393">
        <v>405.45575000000002</v>
      </c>
    </row>
    <row r="404" spans="3:21" s="9" customFormat="1" ht="0.5" customHeight="1">
      <c r="C404" s="9" t="s">
        <v>41</v>
      </c>
      <c r="D404" s="9" t="str">
        <f t="shared" si="40"/>
        <v>Chile54.5</v>
      </c>
      <c r="E404" s="398">
        <v>54.5</v>
      </c>
      <c r="F404" s="399">
        <v>76.840316000000001</v>
      </c>
      <c r="G404" s="36">
        <v>52.466146000000002</v>
      </c>
      <c r="H404" s="36">
        <v>108.48258</v>
      </c>
      <c r="I404" s="393">
        <v>319.16593</v>
      </c>
      <c r="J404" s="399">
        <v>217.15866</v>
      </c>
      <c r="K404" s="36">
        <v>110.67950999999999</v>
      </c>
      <c r="L404" s="36">
        <v>248.82122000000001</v>
      </c>
      <c r="M404" s="393">
        <v>836.14183000000003</v>
      </c>
      <c r="N404" s="399">
        <v>62.982399999999998</v>
      </c>
      <c r="O404" s="36">
        <v>39.183348000000002</v>
      </c>
      <c r="P404" s="36">
        <v>82.482328999999993</v>
      </c>
      <c r="Q404" s="393">
        <v>171.79588000000001</v>
      </c>
      <c r="R404" s="399">
        <v>156.90726000000001</v>
      </c>
      <c r="S404" s="36">
        <v>83.074359999999999</v>
      </c>
      <c r="T404" s="36">
        <v>186.39241999999999</v>
      </c>
      <c r="U404" s="393">
        <v>410.38763999999998</v>
      </c>
    </row>
    <row r="405" spans="3:21" s="9" customFormat="1" ht="0.5" customHeight="1">
      <c r="C405" s="9" t="s">
        <v>41</v>
      </c>
      <c r="D405" s="9" t="str">
        <f t="shared" si="40"/>
        <v>Chile55</v>
      </c>
      <c r="E405" s="398">
        <v>55</v>
      </c>
      <c r="F405" s="399">
        <v>76.852115999999995</v>
      </c>
      <c r="G405" s="36">
        <v>52.135379</v>
      </c>
      <c r="H405" s="36">
        <v>108.13903999999999</v>
      </c>
      <c r="I405" s="393">
        <v>322.85216000000003</v>
      </c>
      <c r="J405" s="399">
        <v>220.37194</v>
      </c>
      <c r="K405" s="36">
        <v>109.79841999999999</v>
      </c>
      <c r="L405" s="36">
        <v>251.17392000000001</v>
      </c>
      <c r="M405" s="393">
        <v>844.19556999999998</v>
      </c>
      <c r="N405" s="399">
        <v>63.232354999999998</v>
      </c>
      <c r="O405" s="36">
        <v>39.076560999999998</v>
      </c>
      <c r="P405" s="36">
        <v>81.792252000000005</v>
      </c>
      <c r="Q405" s="393">
        <v>169.76056</v>
      </c>
      <c r="R405" s="399">
        <v>157.90097</v>
      </c>
      <c r="S405" s="36">
        <v>84.430408</v>
      </c>
      <c r="T405" s="36">
        <v>192.78244000000001</v>
      </c>
      <c r="U405" s="393">
        <v>413.13711999999998</v>
      </c>
    </row>
    <row r="406" spans="3:21" s="9" customFormat="1" ht="0.5" customHeight="1">
      <c r="C406" s="9" t="s">
        <v>42</v>
      </c>
      <c r="D406" s="9" t="str">
        <f t="shared" si="40"/>
        <v>Colombia20</v>
      </c>
      <c r="E406" s="398">
        <v>20</v>
      </c>
      <c r="F406" s="399">
        <v>70.179044000000005</v>
      </c>
      <c r="G406" s="36">
        <v>45.605880999999997</v>
      </c>
      <c r="H406" s="36">
        <v>36.984278000000003</v>
      </c>
      <c r="I406" s="393">
        <v>63.700591000000003</v>
      </c>
      <c r="J406" s="399">
        <v>79.922949000000003</v>
      </c>
      <c r="K406" s="36">
        <v>52.189113999999996</v>
      </c>
      <c r="L406" s="36">
        <v>47.556358000000003</v>
      </c>
      <c r="M406" s="393">
        <v>132.40162000000001</v>
      </c>
      <c r="N406" s="399">
        <v>60.456722999999997</v>
      </c>
      <c r="O406" s="36">
        <v>30.181356999999998</v>
      </c>
      <c r="P406" s="36">
        <v>21.469422999999999</v>
      </c>
      <c r="Q406" s="393">
        <v>45.281131000000002</v>
      </c>
      <c r="R406" s="399">
        <v>76.600808999999998</v>
      </c>
      <c r="S406" s="36">
        <v>42.528624000000001</v>
      </c>
      <c r="T406" s="36">
        <v>34.312066000000002</v>
      </c>
      <c r="U406" s="393">
        <v>93.500107</v>
      </c>
    </row>
    <row r="407" spans="3:21" s="9" customFormat="1" ht="0.5" customHeight="1">
      <c r="C407" s="9" t="s">
        <v>42</v>
      </c>
      <c r="D407" s="9" t="str">
        <f t="shared" si="40"/>
        <v>Colombia20.5</v>
      </c>
      <c r="E407" s="398">
        <v>20.5</v>
      </c>
      <c r="F407" s="399">
        <v>71.120795999999999</v>
      </c>
      <c r="G407" s="36">
        <v>46.432628000000001</v>
      </c>
      <c r="H407" s="36">
        <v>38.052348000000002</v>
      </c>
      <c r="I407" s="393">
        <v>67.059605000000005</v>
      </c>
      <c r="J407" s="399">
        <v>82.877464000000003</v>
      </c>
      <c r="K407" s="36">
        <v>53.247866999999999</v>
      </c>
      <c r="L407" s="36">
        <v>49.621378999999997</v>
      </c>
      <c r="M407" s="393">
        <v>133.56043</v>
      </c>
      <c r="N407" s="399">
        <v>60.523736</v>
      </c>
      <c r="O407" s="36">
        <v>30.714649999999999</v>
      </c>
      <c r="P407" s="36">
        <v>21.797940000000001</v>
      </c>
      <c r="Q407" s="393">
        <v>48.879885999999999</v>
      </c>
      <c r="R407" s="399">
        <v>79.137451999999996</v>
      </c>
      <c r="S407" s="36">
        <v>43.546259999999997</v>
      </c>
      <c r="T407" s="36">
        <v>36.477046999999999</v>
      </c>
      <c r="U407" s="393">
        <v>97.918648000000005</v>
      </c>
    </row>
    <row r="408" spans="3:21" s="9" customFormat="1" ht="0.5" customHeight="1">
      <c r="C408" s="9" t="s">
        <v>42</v>
      </c>
      <c r="D408" s="9" t="str">
        <f t="shared" si="40"/>
        <v>Colombia21</v>
      </c>
      <c r="E408" s="398">
        <v>21</v>
      </c>
      <c r="F408" s="399">
        <v>71.925551999999996</v>
      </c>
      <c r="G408" s="36">
        <v>47.179194000000003</v>
      </c>
      <c r="H408" s="36">
        <v>39.089390999999999</v>
      </c>
      <c r="I408" s="393">
        <v>70.127982000000003</v>
      </c>
      <c r="J408" s="399">
        <v>85.920884999999998</v>
      </c>
      <c r="K408" s="36">
        <v>54.402585999999999</v>
      </c>
      <c r="L408" s="36">
        <v>51.850915000000001</v>
      </c>
      <c r="M408" s="393">
        <v>135.50425999999999</v>
      </c>
      <c r="N408" s="399">
        <v>60.678597000000003</v>
      </c>
      <c r="O408" s="36">
        <v>31.1572</v>
      </c>
      <c r="P408" s="36">
        <v>22.163971</v>
      </c>
      <c r="Q408" s="393">
        <v>51.999447000000004</v>
      </c>
      <c r="R408" s="399">
        <v>81.770616000000004</v>
      </c>
      <c r="S408" s="36">
        <v>44.556201999999999</v>
      </c>
      <c r="T408" s="36">
        <v>38.972324999999998</v>
      </c>
      <c r="U408" s="393">
        <v>102.07186</v>
      </c>
    </row>
    <row r="409" spans="3:21" s="9" customFormat="1" ht="0.5" customHeight="1">
      <c r="C409" s="9" t="s">
        <v>42</v>
      </c>
      <c r="D409" s="9" t="str">
        <f t="shared" si="40"/>
        <v>Colombia21.5</v>
      </c>
      <c r="E409" s="398">
        <v>21.5</v>
      </c>
      <c r="F409" s="399">
        <v>72.695012000000006</v>
      </c>
      <c r="G409" s="36">
        <v>47.919331999999997</v>
      </c>
      <c r="H409" s="36">
        <v>39.998896000000002</v>
      </c>
      <c r="I409" s="393">
        <v>73.092275000000001</v>
      </c>
      <c r="J409" s="399">
        <v>88.927577999999997</v>
      </c>
      <c r="K409" s="36">
        <v>55.612803</v>
      </c>
      <c r="L409" s="36">
        <v>54.299149</v>
      </c>
      <c r="M409" s="393">
        <v>139.59702999999999</v>
      </c>
      <c r="N409" s="399">
        <v>60.857073</v>
      </c>
      <c r="O409" s="36">
        <v>31.53754</v>
      </c>
      <c r="P409" s="36">
        <v>22.532912</v>
      </c>
      <c r="Q409" s="393">
        <v>53.835951999999999</v>
      </c>
      <c r="R409" s="399">
        <v>84.574590000000001</v>
      </c>
      <c r="S409" s="36">
        <v>45.451918999999997</v>
      </c>
      <c r="T409" s="36">
        <v>41.671948</v>
      </c>
      <c r="U409" s="393">
        <v>106.75227</v>
      </c>
    </row>
    <row r="410" spans="3:21" s="9" customFormat="1" ht="0.5" customHeight="1">
      <c r="C410" s="9" t="s">
        <v>42</v>
      </c>
      <c r="D410" s="9" t="str">
        <f t="shared" si="40"/>
        <v>Colombia22</v>
      </c>
      <c r="E410" s="398">
        <v>22</v>
      </c>
      <c r="F410" s="399">
        <v>73.391786999999994</v>
      </c>
      <c r="G410" s="36">
        <v>48.620195000000002</v>
      </c>
      <c r="H410" s="36">
        <v>40.842230999999998</v>
      </c>
      <c r="I410" s="393">
        <v>76.421976999999998</v>
      </c>
      <c r="J410" s="399">
        <v>92.270989999999998</v>
      </c>
      <c r="K410" s="36">
        <v>56.888733999999999</v>
      </c>
      <c r="L410" s="36">
        <v>56.880049999999997</v>
      </c>
      <c r="M410" s="393">
        <v>145.65194</v>
      </c>
      <c r="N410" s="399">
        <v>61.107380999999997</v>
      </c>
      <c r="O410" s="36">
        <v>31.884336000000001</v>
      </c>
      <c r="P410" s="36">
        <v>22.906222</v>
      </c>
      <c r="Q410" s="393">
        <v>55.237011000000003</v>
      </c>
      <c r="R410" s="399">
        <v>87.640218000000004</v>
      </c>
      <c r="S410" s="36">
        <v>46.313336999999997</v>
      </c>
      <c r="T410" s="36">
        <v>44.559049000000002</v>
      </c>
      <c r="U410" s="393">
        <v>111.73614000000001</v>
      </c>
    </row>
    <row r="411" spans="3:21" s="9" customFormat="1" ht="0.5" customHeight="1">
      <c r="C411" s="9" t="s">
        <v>42</v>
      </c>
      <c r="D411" s="9" t="str">
        <f t="shared" si="40"/>
        <v>Colombia22.5</v>
      </c>
      <c r="E411" s="398">
        <v>22.5</v>
      </c>
      <c r="F411" s="399">
        <v>74.055311000000003</v>
      </c>
      <c r="G411" s="36">
        <v>49.302821999999999</v>
      </c>
      <c r="H411" s="36">
        <v>41.657265000000002</v>
      </c>
      <c r="I411" s="393">
        <v>79.224947999999998</v>
      </c>
      <c r="J411" s="399">
        <v>95.707350000000005</v>
      </c>
      <c r="K411" s="36">
        <v>58.181854999999999</v>
      </c>
      <c r="L411" s="36">
        <v>59.532271999999999</v>
      </c>
      <c r="M411" s="393">
        <v>151.58467999999999</v>
      </c>
      <c r="N411" s="399">
        <v>61.395916</v>
      </c>
      <c r="O411" s="36">
        <v>32.202786000000003</v>
      </c>
      <c r="P411" s="36">
        <v>23.291499000000002</v>
      </c>
      <c r="Q411" s="393">
        <v>56.751432000000001</v>
      </c>
      <c r="R411" s="399">
        <v>90.842871000000002</v>
      </c>
      <c r="S411" s="36">
        <v>47.098522000000003</v>
      </c>
      <c r="T411" s="36">
        <v>47.498430999999997</v>
      </c>
      <c r="U411" s="393">
        <v>116.16571</v>
      </c>
    </row>
    <row r="412" spans="3:21" s="9" customFormat="1" ht="0.5" customHeight="1">
      <c r="C412" s="9" t="s">
        <v>42</v>
      </c>
      <c r="D412" s="9" t="str">
        <f t="shared" si="40"/>
        <v>Colombia23</v>
      </c>
      <c r="E412" s="398">
        <v>23</v>
      </c>
      <c r="F412" s="399">
        <v>74.678417999999994</v>
      </c>
      <c r="G412" s="36">
        <v>49.949604000000001</v>
      </c>
      <c r="H412" s="36">
        <v>42.433886000000001</v>
      </c>
      <c r="I412" s="393">
        <v>81.699405999999996</v>
      </c>
      <c r="J412" s="399">
        <v>99.159854999999993</v>
      </c>
      <c r="K412" s="36">
        <v>59.480559</v>
      </c>
      <c r="L412" s="36">
        <v>62.300874999999998</v>
      </c>
      <c r="M412" s="393">
        <v>157.2576</v>
      </c>
      <c r="N412" s="399">
        <v>61.698793000000002</v>
      </c>
      <c r="O412" s="36">
        <v>32.473972000000003</v>
      </c>
      <c r="P412" s="36">
        <v>23.664197000000001</v>
      </c>
      <c r="Q412" s="393">
        <v>58.331189999999999</v>
      </c>
      <c r="R412" s="399">
        <v>94.088981000000004</v>
      </c>
      <c r="S412" s="36">
        <v>47.911746999999998</v>
      </c>
      <c r="T412" s="36">
        <v>50.633569000000001</v>
      </c>
      <c r="U412" s="393">
        <v>120.34305999999999</v>
      </c>
    </row>
    <row r="413" spans="3:21" s="9" customFormat="1" ht="0.5" customHeight="1">
      <c r="C413" s="9" t="s">
        <v>42</v>
      </c>
      <c r="D413" s="9" t="str">
        <f t="shared" si="40"/>
        <v>Colombia23.5</v>
      </c>
      <c r="E413" s="398">
        <v>23.5</v>
      </c>
      <c r="F413" s="399">
        <v>75.282860999999997</v>
      </c>
      <c r="G413" s="36">
        <v>50.592435000000002</v>
      </c>
      <c r="H413" s="36">
        <v>43.176650000000002</v>
      </c>
      <c r="I413" s="393">
        <v>83.907469000000006</v>
      </c>
      <c r="J413" s="399">
        <v>102.46742</v>
      </c>
      <c r="K413" s="36">
        <v>60.736134</v>
      </c>
      <c r="L413" s="36">
        <v>65.072348000000005</v>
      </c>
      <c r="M413" s="393">
        <v>162.51911999999999</v>
      </c>
      <c r="N413" s="399">
        <v>62.004091000000003</v>
      </c>
      <c r="O413" s="36">
        <v>32.725754000000002</v>
      </c>
      <c r="P413" s="36">
        <v>24.029062</v>
      </c>
      <c r="Q413" s="393">
        <v>59.957738999999997</v>
      </c>
      <c r="R413" s="399">
        <v>97.501097999999999</v>
      </c>
      <c r="S413" s="36">
        <v>48.807803999999997</v>
      </c>
      <c r="T413" s="36">
        <v>53.766787999999998</v>
      </c>
      <c r="U413" s="393">
        <v>124.33148</v>
      </c>
    </row>
    <row r="414" spans="3:21" s="9" customFormat="1" ht="0.5" customHeight="1">
      <c r="C414" s="9" t="s">
        <v>42</v>
      </c>
      <c r="D414" s="9" t="str">
        <f t="shared" si="40"/>
        <v>Colombia24</v>
      </c>
      <c r="E414" s="398">
        <v>24</v>
      </c>
      <c r="F414" s="399">
        <v>75.881355999999997</v>
      </c>
      <c r="G414" s="36">
        <v>51.153478999999997</v>
      </c>
      <c r="H414" s="36">
        <v>43.811337999999999</v>
      </c>
      <c r="I414" s="393">
        <v>85.981680999999995</v>
      </c>
      <c r="J414" s="399">
        <v>105.74705</v>
      </c>
      <c r="K414" s="36">
        <v>61.988788</v>
      </c>
      <c r="L414" s="36">
        <v>67.947156000000007</v>
      </c>
      <c r="M414" s="393">
        <v>167.55671000000001</v>
      </c>
      <c r="N414" s="399">
        <v>62.290191</v>
      </c>
      <c r="O414" s="36">
        <v>32.964291000000003</v>
      </c>
      <c r="P414" s="36">
        <v>24.350304000000001</v>
      </c>
      <c r="Q414" s="393">
        <v>61.581831999999999</v>
      </c>
      <c r="R414" s="399">
        <v>100.92243000000001</v>
      </c>
      <c r="S414" s="36">
        <v>49.726703999999998</v>
      </c>
      <c r="T414" s="36">
        <v>56.726139000000003</v>
      </c>
      <c r="U414" s="393">
        <v>127.98788</v>
      </c>
    </row>
    <row r="415" spans="3:21" s="9" customFormat="1" ht="0.5" customHeight="1">
      <c r="C415" s="9" t="s">
        <v>42</v>
      </c>
      <c r="D415" s="9" t="str">
        <f t="shared" si="40"/>
        <v>Colombia24.5</v>
      </c>
      <c r="E415" s="398">
        <v>24.5</v>
      </c>
      <c r="F415" s="399">
        <v>76.481482999999997</v>
      </c>
      <c r="G415" s="36">
        <v>51.714692999999997</v>
      </c>
      <c r="H415" s="36">
        <v>44.445813999999999</v>
      </c>
      <c r="I415" s="393">
        <v>88.028109999999998</v>
      </c>
      <c r="J415" s="399">
        <v>108.98419</v>
      </c>
      <c r="K415" s="36">
        <v>63.235639999999997</v>
      </c>
      <c r="L415" s="36">
        <v>70.821956999999998</v>
      </c>
      <c r="M415" s="393">
        <v>172.15522000000001</v>
      </c>
      <c r="N415" s="399">
        <v>62.565303999999998</v>
      </c>
      <c r="O415" s="36">
        <v>33.201566999999997</v>
      </c>
      <c r="P415" s="36">
        <v>24.669471999999999</v>
      </c>
      <c r="Q415" s="393">
        <v>63.192788999999998</v>
      </c>
      <c r="R415" s="399">
        <v>104.27126</v>
      </c>
      <c r="S415" s="36">
        <v>50.773772999999998</v>
      </c>
      <c r="T415" s="36">
        <v>59.432861000000003</v>
      </c>
      <c r="U415" s="393">
        <v>131.47792999999999</v>
      </c>
    </row>
    <row r="416" spans="3:21" s="9" customFormat="1" ht="0.5" customHeight="1">
      <c r="C416" s="9" t="s">
        <v>42</v>
      </c>
      <c r="D416" s="9" t="str">
        <f t="shared" si="40"/>
        <v>Colombia25</v>
      </c>
      <c r="E416" s="398">
        <v>25</v>
      </c>
      <c r="F416" s="399">
        <v>77.082160000000002</v>
      </c>
      <c r="G416" s="36">
        <v>52.198290999999998</v>
      </c>
      <c r="H416" s="36">
        <v>45.069195000000001</v>
      </c>
      <c r="I416" s="393">
        <v>89.951158000000007</v>
      </c>
      <c r="J416" s="399">
        <v>112.21093999999999</v>
      </c>
      <c r="K416" s="36">
        <v>64.485947999999993</v>
      </c>
      <c r="L416" s="36">
        <v>73.478769</v>
      </c>
      <c r="M416" s="393">
        <v>176.42573999999999</v>
      </c>
      <c r="N416" s="399">
        <v>62.834077000000001</v>
      </c>
      <c r="O416" s="36">
        <v>33.381771999999998</v>
      </c>
      <c r="P416" s="36">
        <v>25.003402999999999</v>
      </c>
      <c r="Q416" s="393">
        <v>64.803550999999999</v>
      </c>
      <c r="R416" s="399">
        <v>107.59446</v>
      </c>
      <c r="S416" s="36">
        <v>51.788280999999998</v>
      </c>
      <c r="T416" s="36">
        <v>61.675559</v>
      </c>
      <c r="U416" s="393">
        <v>134.72964999999999</v>
      </c>
    </row>
    <row r="417" spans="3:21" s="9" customFormat="1" ht="0.5" customHeight="1">
      <c r="C417" s="9" t="s">
        <v>42</v>
      </c>
      <c r="D417" s="9" t="str">
        <f t="shared" si="40"/>
        <v>Colombia25.5</v>
      </c>
      <c r="E417" s="398">
        <v>25.5</v>
      </c>
      <c r="F417" s="399">
        <v>77.679848000000007</v>
      </c>
      <c r="G417" s="36">
        <v>52.686019999999999</v>
      </c>
      <c r="H417" s="36">
        <v>45.678248000000004</v>
      </c>
      <c r="I417" s="393">
        <v>91.653976999999998</v>
      </c>
      <c r="J417" s="399">
        <v>115.3154</v>
      </c>
      <c r="K417" s="36">
        <v>65.739880999999997</v>
      </c>
      <c r="L417" s="36">
        <v>76.152967000000004</v>
      </c>
      <c r="M417" s="393">
        <v>180.40889000000001</v>
      </c>
      <c r="N417" s="399">
        <v>63.099372000000002</v>
      </c>
      <c r="O417" s="36">
        <v>33.537905000000002</v>
      </c>
      <c r="P417" s="36">
        <v>25.336922000000001</v>
      </c>
      <c r="Q417" s="393">
        <v>66.402942999999993</v>
      </c>
      <c r="R417" s="399">
        <v>110.57977</v>
      </c>
      <c r="S417" s="36">
        <v>52.648209000000001</v>
      </c>
      <c r="T417" s="36">
        <v>63.568686999999997</v>
      </c>
      <c r="U417" s="393">
        <v>137.91480000000001</v>
      </c>
    </row>
    <row r="418" spans="3:21" s="9" customFormat="1" ht="0.5" customHeight="1">
      <c r="C418" s="9" t="s">
        <v>42</v>
      </c>
      <c r="D418" s="9" t="str">
        <f t="shared" si="40"/>
        <v>Colombia26</v>
      </c>
      <c r="E418" s="398">
        <v>26</v>
      </c>
      <c r="F418" s="399">
        <v>78.272041999999999</v>
      </c>
      <c r="G418" s="36">
        <v>53.121316</v>
      </c>
      <c r="H418" s="36">
        <v>46.250563999999997</v>
      </c>
      <c r="I418" s="393">
        <v>93.157360999999995</v>
      </c>
      <c r="J418" s="399">
        <v>118.41500000000001</v>
      </c>
      <c r="K418" s="36">
        <v>66.993322000000006</v>
      </c>
      <c r="L418" s="36">
        <v>78.462387000000007</v>
      </c>
      <c r="M418" s="393">
        <v>184.24619000000001</v>
      </c>
      <c r="N418" s="399">
        <v>63.364514999999997</v>
      </c>
      <c r="O418" s="36">
        <v>33.667757000000002</v>
      </c>
      <c r="P418" s="36">
        <v>25.628048</v>
      </c>
      <c r="Q418" s="393">
        <v>67.757453999999996</v>
      </c>
      <c r="R418" s="399">
        <v>113.51009999999999</v>
      </c>
      <c r="S418" s="36">
        <v>53.338884999999998</v>
      </c>
      <c r="T418" s="36">
        <v>64.897895000000005</v>
      </c>
      <c r="U418" s="393">
        <v>140.62065999999999</v>
      </c>
    </row>
    <row r="419" spans="3:21" s="9" customFormat="1" ht="0.5" customHeight="1">
      <c r="C419" s="9" t="s">
        <v>42</v>
      </c>
      <c r="D419" s="9" t="str">
        <f t="shared" si="40"/>
        <v>Colombia26.5</v>
      </c>
      <c r="E419" s="398">
        <v>26.5</v>
      </c>
      <c r="F419" s="399">
        <v>78.801051000000001</v>
      </c>
      <c r="G419" s="36">
        <v>53.553694</v>
      </c>
      <c r="H419" s="36">
        <v>46.833748999999997</v>
      </c>
      <c r="I419" s="393">
        <v>94.524913999999995</v>
      </c>
      <c r="J419" s="399">
        <v>121.25623</v>
      </c>
      <c r="K419" s="36">
        <v>68.223978000000002</v>
      </c>
      <c r="L419" s="36">
        <v>80.783833000000001</v>
      </c>
      <c r="M419" s="393">
        <v>187.86559</v>
      </c>
      <c r="N419" s="399">
        <v>63.637892999999998</v>
      </c>
      <c r="O419" s="36">
        <v>33.796374999999998</v>
      </c>
      <c r="P419" s="36">
        <v>25.914612000000002</v>
      </c>
      <c r="Q419" s="393">
        <v>68.949415000000002</v>
      </c>
      <c r="R419" s="399">
        <v>115.82626</v>
      </c>
      <c r="S419" s="36">
        <v>53.644122000000003</v>
      </c>
      <c r="T419" s="36">
        <v>66.010428000000005</v>
      </c>
      <c r="U419" s="393">
        <v>143.29031000000001</v>
      </c>
    </row>
    <row r="420" spans="3:21" s="9" customFormat="1" ht="0.5" customHeight="1">
      <c r="C420" s="9" t="s">
        <v>42</v>
      </c>
      <c r="D420" s="9" t="str">
        <f t="shared" si="40"/>
        <v>Colombia27</v>
      </c>
      <c r="E420" s="398">
        <v>27</v>
      </c>
      <c r="F420" s="399">
        <v>79.316044000000005</v>
      </c>
      <c r="G420" s="36">
        <v>53.76605</v>
      </c>
      <c r="H420" s="36">
        <v>47.371217999999999</v>
      </c>
      <c r="I420" s="393">
        <v>95.646197999999998</v>
      </c>
      <c r="J420" s="399">
        <v>124.10406</v>
      </c>
      <c r="K420" s="36">
        <v>69.452242999999996</v>
      </c>
      <c r="L420" s="36">
        <v>82.689840000000004</v>
      </c>
      <c r="M420" s="393">
        <v>191.28917999999999</v>
      </c>
      <c r="N420" s="399">
        <v>63.912142000000003</v>
      </c>
      <c r="O420" s="36">
        <v>33.953100999999997</v>
      </c>
      <c r="P420" s="36">
        <v>26.180268000000002</v>
      </c>
      <c r="Q420" s="393">
        <v>70.014548000000005</v>
      </c>
      <c r="R420" s="399">
        <v>118.10603999999999</v>
      </c>
      <c r="S420" s="36">
        <v>53.839745000000001</v>
      </c>
      <c r="T420" s="36">
        <v>66.919118999999995</v>
      </c>
      <c r="U420" s="393">
        <v>145.63285999999999</v>
      </c>
    </row>
    <row r="421" spans="3:21" s="9" customFormat="1" ht="0.5" customHeight="1">
      <c r="C421" s="9" t="s">
        <v>42</v>
      </c>
      <c r="D421" s="9" t="str">
        <f t="shared" si="40"/>
        <v>Colombia27.5</v>
      </c>
      <c r="E421" s="398">
        <v>27.5</v>
      </c>
      <c r="F421" s="399">
        <v>79.760621</v>
      </c>
      <c r="G421" s="36">
        <v>53.986502999999999</v>
      </c>
      <c r="H421" s="36">
        <v>47.885753000000001</v>
      </c>
      <c r="I421" s="393">
        <v>96.665739000000002</v>
      </c>
      <c r="J421" s="399">
        <v>126.87609999999999</v>
      </c>
      <c r="K421" s="36">
        <v>70.527614</v>
      </c>
      <c r="L421" s="36">
        <v>84.637302000000005</v>
      </c>
      <c r="M421" s="393">
        <v>194.88274999999999</v>
      </c>
      <c r="N421" s="399">
        <v>64.197981999999996</v>
      </c>
      <c r="O421" s="36">
        <v>34.122371000000001</v>
      </c>
      <c r="P421" s="36">
        <v>26.449908000000001</v>
      </c>
      <c r="Q421" s="393">
        <v>71.009056999999999</v>
      </c>
      <c r="R421" s="399">
        <v>120.00566999999999</v>
      </c>
      <c r="S421" s="36">
        <v>53.974339000000001</v>
      </c>
      <c r="T421" s="36">
        <v>67.609622000000002</v>
      </c>
      <c r="U421" s="393">
        <v>147.94909000000001</v>
      </c>
    </row>
    <row r="422" spans="3:21" s="9" customFormat="1" ht="0.5" customHeight="1">
      <c r="C422" s="9" t="s">
        <v>42</v>
      </c>
      <c r="D422" s="9" t="str">
        <f t="shared" si="40"/>
        <v>Colombia28</v>
      </c>
      <c r="E422" s="398">
        <v>28</v>
      </c>
      <c r="F422" s="399">
        <v>80.200179000000006</v>
      </c>
      <c r="G422" s="36">
        <v>54.183756000000002</v>
      </c>
      <c r="H422" s="36">
        <v>48.369290999999997</v>
      </c>
      <c r="I422" s="393">
        <v>97.520366999999993</v>
      </c>
      <c r="J422" s="399">
        <v>129.64896999999999</v>
      </c>
      <c r="K422" s="36">
        <v>71.592667000000006</v>
      </c>
      <c r="L422" s="36">
        <v>86.215920999999994</v>
      </c>
      <c r="M422" s="393">
        <v>198.65948</v>
      </c>
      <c r="N422" s="399">
        <v>64.481865999999997</v>
      </c>
      <c r="O422" s="36">
        <v>34.309646999999998</v>
      </c>
      <c r="P422" s="36">
        <v>26.688901999999999</v>
      </c>
      <c r="Q422" s="393">
        <v>71.797503000000006</v>
      </c>
      <c r="R422" s="399">
        <v>121.88294</v>
      </c>
      <c r="S422" s="36">
        <v>54.041665999999999</v>
      </c>
      <c r="T422" s="36">
        <v>68.191270000000003</v>
      </c>
      <c r="U422" s="393">
        <v>150.02844999999999</v>
      </c>
    </row>
    <row r="423" spans="3:21" s="9" customFormat="1" ht="0.5" customHeight="1">
      <c r="C423" s="9" t="s">
        <v>42</v>
      </c>
      <c r="D423" s="9" t="str">
        <f t="shared" si="40"/>
        <v>Colombia28.5</v>
      </c>
      <c r="E423" s="398">
        <v>28.5</v>
      </c>
      <c r="F423" s="399">
        <v>80.605964</v>
      </c>
      <c r="G423" s="36">
        <v>54.379534</v>
      </c>
      <c r="H423" s="36">
        <v>48.859589</v>
      </c>
      <c r="I423" s="393">
        <v>98.276842000000002</v>
      </c>
      <c r="J423" s="399">
        <v>132.11704</v>
      </c>
      <c r="K423" s="36">
        <v>72.570904999999996</v>
      </c>
      <c r="L423" s="36">
        <v>87.803550000000001</v>
      </c>
      <c r="M423" s="393">
        <v>202.31845999999999</v>
      </c>
      <c r="N423" s="399">
        <v>64.737795000000006</v>
      </c>
      <c r="O423" s="36">
        <v>34.491788</v>
      </c>
      <c r="P423" s="36">
        <v>26.922214</v>
      </c>
      <c r="Q423" s="393">
        <v>72.455287999999996</v>
      </c>
      <c r="R423" s="399">
        <v>123.28456</v>
      </c>
      <c r="S423" s="36">
        <v>54.144311000000002</v>
      </c>
      <c r="T423" s="36">
        <v>68.720573999999999</v>
      </c>
      <c r="U423" s="393">
        <v>152.09054</v>
      </c>
    </row>
    <row r="424" spans="3:21" s="9" customFormat="1" ht="0.5" customHeight="1">
      <c r="C424" s="9" t="s">
        <v>42</v>
      </c>
      <c r="D424" s="9" t="str">
        <f t="shared" si="40"/>
        <v>Colombia29</v>
      </c>
      <c r="E424" s="398">
        <v>29</v>
      </c>
      <c r="F424" s="399">
        <v>81.006765999999999</v>
      </c>
      <c r="G424" s="36">
        <v>54.526487000000003</v>
      </c>
      <c r="H424" s="36">
        <v>49.352885999999998</v>
      </c>
      <c r="I424" s="393">
        <v>98.841245000000001</v>
      </c>
      <c r="J424" s="399">
        <v>134.58394999999999</v>
      </c>
      <c r="K424" s="36">
        <v>73.549774999999997</v>
      </c>
      <c r="L424" s="36">
        <v>89.029194000000004</v>
      </c>
      <c r="M424" s="393">
        <v>206.08609000000001</v>
      </c>
      <c r="N424" s="399">
        <v>64.992146000000005</v>
      </c>
      <c r="O424" s="36">
        <v>34.651879999999998</v>
      </c>
      <c r="P424" s="36">
        <v>27.145339</v>
      </c>
      <c r="Q424" s="393">
        <v>73.003792000000004</v>
      </c>
      <c r="R424" s="399">
        <v>124.65528</v>
      </c>
      <c r="S424" s="36">
        <v>54.328972</v>
      </c>
      <c r="T424" s="36">
        <v>69.267589000000001</v>
      </c>
      <c r="U424" s="393">
        <v>154.02431999999999</v>
      </c>
    </row>
    <row r="425" spans="3:21" s="9" customFormat="1" ht="0.5" customHeight="1">
      <c r="C425" s="9" t="s">
        <v>42</v>
      </c>
      <c r="D425" s="9" t="str">
        <f t="shared" si="40"/>
        <v>Colombia29.5</v>
      </c>
      <c r="E425" s="398">
        <v>29.5</v>
      </c>
      <c r="F425" s="399">
        <v>81.392278000000005</v>
      </c>
      <c r="G425" s="36">
        <v>54.672846</v>
      </c>
      <c r="H425" s="36">
        <v>49.844186000000001</v>
      </c>
      <c r="I425" s="393">
        <v>99.377409</v>
      </c>
      <c r="J425" s="399">
        <v>137.07291000000001</v>
      </c>
      <c r="K425" s="36">
        <v>74.393018999999995</v>
      </c>
      <c r="L425" s="36">
        <v>90.260471999999993</v>
      </c>
      <c r="M425" s="393">
        <v>210.05488</v>
      </c>
      <c r="N425" s="399">
        <v>65.250961000000004</v>
      </c>
      <c r="O425" s="36">
        <v>34.803339999999999</v>
      </c>
      <c r="P425" s="36">
        <v>27.367298000000002</v>
      </c>
      <c r="Q425" s="393">
        <v>73.512619999999998</v>
      </c>
      <c r="R425" s="399">
        <v>125.90411</v>
      </c>
      <c r="S425" s="36">
        <v>54.710864000000001</v>
      </c>
      <c r="T425" s="36">
        <v>69.672683000000006</v>
      </c>
      <c r="U425" s="393">
        <v>155.92488</v>
      </c>
    </row>
    <row r="426" spans="3:21" s="9" customFormat="1" ht="0.5" customHeight="1">
      <c r="C426" s="9" t="s">
        <v>42</v>
      </c>
      <c r="D426" s="9" t="str">
        <f t="shared" si="40"/>
        <v>Colombia30</v>
      </c>
      <c r="E426" s="398">
        <v>30</v>
      </c>
      <c r="F426" s="399">
        <v>81.773329000000004</v>
      </c>
      <c r="G426" s="36">
        <v>54.865882999999997</v>
      </c>
      <c r="H426" s="36">
        <v>50.358687000000003</v>
      </c>
      <c r="I426" s="393">
        <v>99.897024000000002</v>
      </c>
      <c r="J426" s="399">
        <v>139.56632999999999</v>
      </c>
      <c r="K426" s="36">
        <v>75.226881000000006</v>
      </c>
      <c r="L426" s="36">
        <v>91.500755999999996</v>
      </c>
      <c r="M426" s="393">
        <v>213.77034</v>
      </c>
      <c r="N426" s="399">
        <v>65.501418000000001</v>
      </c>
      <c r="O426" s="36">
        <v>34.952666999999998</v>
      </c>
      <c r="P426" s="36">
        <v>27.571793</v>
      </c>
      <c r="Q426" s="393">
        <v>73.904542000000006</v>
      </c>
      <c r="R426" s="399">
        <v>127.15629</v>
      </c>
      <c r="S426" s="36">
        <v>55.180993000000001</v>
      </c>
      <c r="T426" s="36">
        <v>69.813310000000001</v>
      </c>
      <c r="U426" s="393">
        <v>157.53366</v>
      </c>
    </row>
    <row r="427" spans="3:21" s="9" customFormat="1" ht="0.5" customHeight="1">
      <c r="C427" s="9" t="s">
        <v>42</v>
      </c>
      <c r="D427" s="9" t="str">
        <f t="shared" si="40"/>
        <v>Colombia30.5</v>
      </c>
      <c r="E427" s="398">
        <v>30.5</v>
      </c>
      <c r="F427" s="399">
        <v>82.144202000000007</v>
      </c>
      <c r="G427" s="36">
        <v>55.062658999999996</v>
      </c>
      <c r="H427" s="36">
        <v>50.881185000000002</v>
      </c>
      <c r="I427" s="393">
        <v>100.38558</v>
      </c>
      <c r="J427" s="399">
        <v>141.94943000000001</v>
      </c>
      <c r="K427" s="36">
        <v>75.929136999999997</v>
      </c>
      <c r="L427" s="36">
        <v>92.739255999999997</v>
      </c>
      <c r="M427" s="393">
        <v>217.47900000000001</v>
      </c>
      <c r="N427" s="399">
        <v>65.698886000000002</v>
      </c>
      <c r="O427" s="36">
        <v>35.105392999999999</v>
      </c>
      <c r="P427" s="36">
        <v>27.777766</v>
      </c>
      <c r="Q427" s="393">
        <v>74.227395999999999</v>
      </c>
      <c r="R427" s="399">
        <v>128.45649</v>
      </c>
      <c r="S427" s="36">
        <v>55.643307</v>
      </c>
      <c r="T427" s="36">
        <v>70.060141999999999</v>
      </c>
      <c r="U427" s="393">
        <v>159.08346</v>
      </c>
    </row>
    <row r="428" spans="3:21" s="9" customFormat="1" ht="0.5" customHeight="1">
      <c r="C428" s="9" t="s">
        <v>42</v>
      </c>
      <c r="D428" s="9" t="str">
        <f t="shared" si="40"/>
        <v>Colombia31</v>
      </c>
      <c r="E428" s="398">
        <v>31</v>
      </c>
      <c r="F428" s="399">
        <v>82.516745999999998</v>
      </c>
      <c r="G428" s="36">
        <v>55.268773000000003</v>
      </c>
      <c r="H428" s="36">
        <v>51.340339999999998</v>
      </c>
      <c r="I428" s="393">
        <v>100.82454</v>
      </c>
      <c r="J428" s="399">
        <v>144.33752999999999</v>
      </c>
      <c r="K428" s="36">
        <v>76.621239000000003</v>
      </c>
      <c r="L428" s="36">
        <v>94.009906999999998</v>
      </c>
      <c r="M428" s="393">
        <v>221.09372999999999</v>
      </c>
      <c r="N428" s="399">
        <v>65.891402999999997</v>
      </c>
      <c r="O428" s="36">
        <v>35.276069</v>
      </c>
      <c r="P428" s="36">
        <v>28.017516000000001</v>
      </c>
      <c r="Q428" s="393">
        <v>74.425056999999995</v>
      </c>
      <c r="R428" s="399">
        <v>129.76616999999999</v>
      </c>
      <c r="S428" s="36">
        <v>56.074244999999998</v>
      </c>
      <c r="T428" s="36">
        <v>70.364814999999993</v>
      </c>
      <c r="U428" s="393">
        <v>160.04435000000001</v>
      </c>
    </row>
    <row r="429" spans="3:21" s="9" customFormat="1" ht="0.5" customHeight="1">
      <c r="C429" s="9" t="s">
        <v>42</v>
      </c>
      <c r="D429" s="9" t="str">
        <f t="shared" si="40"/>
        <v>Colombia31.5</v>
      </c>
      <c r="E429" s="398">
        <v>31.5</v>
      </c>
      <c r="F429" s="399">
        <v>82.886120000000005</v>
      </c>
      <c r="G429" s="36">
        <v>55.471007</v>
      </c>
      <c r="H429" s="36">
        <v>51.779581999999998</v>
      </c>
      <c r="I429" s="393">
        <v>101.30079000000001</v>
      </c>
      <c r="J429" s="399">
        <v>146.29531</v>
      </c>
      <c r="K429" s="36">
        <v>77.218670000000003</v>
      </c>
      <c r="L429" s="36">
        <v>95.275876999999994</v>
      </c>
      <c r="M429" s="393">
        <v>224.71888999999999</v>
      </c>
      <c r="N429" s="399">
        <v>66.044307000000003</v>
      </c>
      <c r="O429" s="36">
        <v>35.442638000000002</v>
      </c>
      <c r="P429" s="36">
        <v>28.259409999999999</v>
      </c>
      <c r="Q429" s="393">
        <v>74.567735999999996</v>
      </c>
      <c r="R429" s="399">
        <v>131.00695999999999</v>
      </c>
      <c r="S429" s="36">
        <v>56.532273000000004</v>
      </c>
      <c r="T429" s="36">
        <v>70.419899999999998</v>
      </c>
      <c r="U429" s="393">
        <v>161.00800000000001</v>
      </c>
    </row>
    <row r="430" spans="3:21" s="9" customFormat="1" ht="0.5" customHeight="1">
      <c r="C430" s="9" t="s">
        <v>42</v>
      </c>
      <c r="D430" s="9" t="str">
        <f t="shared" si="40"/>
        <v>Colombia32</v>
      </c>
      <c r="E430" s="398">
        <v>32</v>
      </c>
      <c r="F430" s="399">
        <v>83.256038000000004</v>
      </c>
      <c r="G430" s="36">
        <v>55.582535</v>
      </c>
      <c r="H430" s="36">
        <v>52.127873999999998</v>
      </c>
      <c r="I430" s="393">
        <v>101.89208000000001</v>
      </c>
      <c r="J430" s="399">
        <v>148.26643999999999</v>
      </c>
      <c r="K430" s="36">
        <v>77.815656000000004</v>
      </c>
      <c r="L430" s="36">
        <v>96.611590000000007</v>
      </c>
      <c r="M430" s="393">
        <v>228.56072</v>
      </c>
      <c r="N430" s="399">
        <v>66.200007999999997</v>
      </c>
      <c r="O430" s="36">
        <v>35.565837999999999</v>
      </c>
      <c r="P430" s="36">
        <v>28.505578</v>
      </c>
      <c r="Q430" s="393">
        <v>74.466099999999997</v>
      </c>
      <c r="R430" s="399">
        <v>132.23247000000001</v>
      </c>
      <c r="S430" s="36">
        <v>57.025449999999999</v>
      </c>
      <c r="T430" s="36">
        <v>70.324954000000005</v>
      </c>
      <c r="U430" s="393">
        <v>162.06756999999999</v>
      </c>
    </row>
    <row r="431" spans="3:21" s="9" customFormat="1" ht="0.5" customHeight="1">
      <c r="C431" s="9" t="s">
        <v>42</v>
      </c>
      <c r="D431" s="9" t="str">
        <f t="shared" si="40"/>
        <v>Colombia32.5</v>
      </c>
      <c r="E431" s="398">
        <v>32.5</v>
      </c>
      <c r="F431" s="399">
        <v>83.626317</v>
      </c>
      <c r="G431" s="36">
        <v>55.699460999999999</v>
      </c>
      <c r="H431" s="36">
        <v>52.465252</v>
      </c>
      <c r="I431" s="393">
        <v>102.46442999999999</v>
      </c>
      <c r="J431" s="399">
        <v>150.41150999999999</v>
      </c>
      <c r="K431" s="36">
        <v>78.425618999999998</v>
      </c>
      <c r="L431" s="36">
        <v>97.936753999999993</v>
      </c>
      <c r="M431" s="393">
        <v>232.31598</v>
      </c>
      <c r="N431" s="399">
        <v>66.333251000000004</v>
      </c>
      <c r="O431" s="36">
        <v>35.671908999999999</v>
      </c>
      <c r="P431" s="36">
        <v>28.748763</v>
      </c>
      <c r="Q431" s="393">
        <v>74.304824999999994</v>
      </c>
      <c r="R431" s="399">
        <v>133.22452999999999</v>
      </c>
      <c r="S431" s="36">
        <v>57.412519000000003</v>
      </c>
      <c r="T431" s="36">
        <v>70.288951999999995</v>
      </c>
      <c r="U431" s="393">
        <v>163.13021000000001</v>
      </c>
    </row>
    <row r="432" spans="3:21" s="9" customFormat="1" ht="0.5" customHeight="1">
      <c r="C432" s="9" t="s">
        <v>42</v>
      </c>
      <c r="D432" s="9" t="str">
        <f t="shared" si="40"/>
        <v>Colombia33</v>
      </c>
      <c r="E432" s="398">
        <v>33</v>
      </c>
      <c r="F432" s="399">
        <v>83.995828000000003</v>
      </c>
      <c r="G432" s="36">
        <v>55.879036999999997</v>
      </c>
      <c r="H432" s="36">
        <v>52.815685999999999</v>
      </c>
      <c r="I432" s="393">
        <v>102.99991</v>
      </c>
      <c r="J432" s="399">
        <v>152.55649</v>
      </c>
      <c r="K432" s="36">
        <v>79.033968999999999</v>
      </c>
      <c r="L432" s="36">
        <v>99.165062000000006</v>
      </c>
      <c r="M432" s="393">
        <v>235.81736000000001</v>
      </c>
      <c r="N432" s="399">
        <v>66.459298000000004</v>
      </c>
      <c r="O432" s="36">
        <v>35.748240000000003</v>
      </c>
      <c r="P432" s="36">
        <v>28.961175000000001</v>
      </c>
      <c r="Q432" s="393">
        <v>74.296567999999994</v>
      </c>
      <c r="R432" s="399">
        <v>134.21827999999999</v>
      </c>
      <c r="S432" s="36">
        <v>57.707912999999998</v>
      </c>
      <c r="T432" s="36">
        <v>70.266136000000003</v>
      </c>
      <c r="U432" s="393">
        <v>163.73328000000001</v>
      </c>
    </row>
    <row r="433" spans="3:21" s="9" customFormat="1" ht="0.5" customHeight="1">
      <c r="C433" s="9" t="s">
        <v>42</v>
      </c>
      <c r="D433" s="9" t="str">
        <f t="shared" si="40"/>
        <v>Colombia33.5</v>
      </c>
      <c r="E433" s="398">
        <v>33.5</v>
      </c>
      <c r="F433" s="399">
        <v>84.370911000000007</v>
      </c>
      <c r="G433" s="36">
        <v>56.073509000000001</v>
      </c>
      <c r="H433" s="36">
        <v>53.154614000000002</v>
      </c>
      <c r="I433" s="393">
        <v>103.57319</v>
      </c>
      <c r="J433" s="399">
        <v>154.62708000000001</v>
      </c>
      <c r="K433" s="36">
        <v>79.871742999999995</v>
      </c>
      <c r="L433" s="36">
        <v>100.40398999999999</v>
      </c>
      <c r="M433" s="393">
        <v>239.24938</v>
      </c>
      <c r="N433" s="399">
        <v>66.612789000000006</v>
      </c>
      <c r="O433" s="36">
        <v>35.815536000000002</v>
      </c>
      <c r="P433" s="36">
        <v>29.174174000000001</v>
      </c>
      <c r="Q433" s="393">
        <v>74.374719999999996</v>
      </c>
      <c r="R433" s="399">
        <v>135.22353000000001</v>
      </c>
      <c r="S433" s="36">
        <v>57.970889999999997</v>
      </c>
      <c r="T433" s="36">
        <v>70.264140999999995</v>
      </c>
      <c r="U433" s="393">
        <v>164.33695</v>
      </c>
    </row>
    <row r="434" spans="3:21" s="9" customFormat="1" ht="0.5" customHeight="1">
      <c r="C434" s="9" t="s">
        <v>42</v>
      </c>
      <c r="D434" s="9" t="str">
        <f t="shared" si="40"/>
        <v>Colombia34</v>
      </c>
      <c r="E434" s="398">
        <v>34</v>
      </c>
      <c r="F434" s="399">
        <v>84.744928999999999</v>
      </c>
      <c r="G434" s="36">
        <v>56.153176000000002</v>
      </c>
      <c r="H434" s="36">
        <v>53.343859000000002</v>
      </c>
      <c r="I434" s="393">
        <v>104.27466</v>
      </c>
      <c r="J434" s="399">
        <v>156.69653</v>
      </c>
      <c r="K434" s="36">
        <v>80.716966999999997</v>
      </c>
      <c r="L434" s="36">
        <v>101.49567</v>
      </c>
      <c r="M434" s="393">
        <v>242.43567999999999</v>
      </c>
      <c r="N434" s="399">
        <v>66.769929000000005</v>
      </c>
      <c r="O434" s="36">
        <v>35.846820000000001</v>
      </c>
      <c r="P434" s="36">
        <v>29.392906</v>
      </c>
      <c r="Q434" s="393">
        <v>74.597190999999995</v>
      </c>
      <c r="R434" s="399">
        <v>136.22264999999999</v>
      </c>
      <c r="S434" s="36">
        <v>58.099829999999997</v>
      </c>
      <c r="T434" s="36">
        <v>70.375569999999996</v>
      </c>
      <c r="U434" s="393">
        <v>165.05629999999999</v>
      </c>
    </row>
    <row r="435" spans="3:21" s="9" customFormat="1" ht="0.5" customHeight="1">
      <c r="C435" s="9" t="s">
        <v>42</v>
      </c>
      <c r="D435" s="9" t="str">
        <f t="shared" si="40"/>
        <v>Colombia34.5</v>
      </c>
      <c r="E435" s="398">
        <v>34.5</v>
      </c>
      <c r="F435" s="399">
        <v>85.129413</v>
      </c>
      <c r="G435" s="36">
        <v>56.232098999999998</v>
      </c>
      <c r="H435" s="36">
        <v>53.513404000000001</v>
      </c>
      <c r="I435" s="393">
        <v>105.08969</v>
      </c>
      <c r="J435" s="399">
        <v>158.66645</v>
      </c>
      <c r="K435" s="36">
        <v>81.792181999999997</v>
      </c>
      <c r="L435" s="36">
        <v>102.59658</v>
      </c>
      <c r="M435" s="393">
        <v>245.35907</v>
      </c>
      <c r="N435" s="399">
        <v>66.917751999999993</v>
      </c>
      <c r="O435" s="36">
        <v>35.875610999999999</v>
      </c>
      <c r="P435" s="36">
        <v>29.609780000000001</v>
      </c>
      <c r="Q435" s="393">
        <v>74.869874999999993</v>
      </c>
      <c r="R435" s="399">
        <v>137.16931</v>
      </c>
      <c r="S435" s="36">
        <v>57.977034000000003</v>
      </c>
      <c r="T435" s="36">
        <v>70.528591000000006</v>
      </c>
      <c r="U435" s="393">
        <v>165.77298999999999</v>
      </c>
    </row>
    <row r="436" spans="3:21" s="9" customFormat="1" ht="0.5" customHeight="1">
      <c r="C436" s="9" t="s">
        <v>42</v>
      </c>
      <c r="D436" s="9" t="str">
        <f t="shared" si="40"/>
        <v>Colombia35</v>
      </c>
      <c r="E436" s="398">
        <v>35</v>
      </c>
      <c r="F436" s="399">
        <v>85.515129999999999</v>
      </c>
      <c r="G436" s="36">
        <v>56.242142999999999</v>
      </c>
      <c r="H436" s="36">
        <v>53.683089000000002</v>
      </c>
      <c r="I436" s="393">
        <v>105.81636</v>
      </c>
      <c r="J436" s="399">
        <v>160.62047000000001</v>
      </c>
      <c r="K436" s="36">
        <v>82.861610999999996</v>
      </c>
      <c r="L436" s="36">
        <v>103.53001</v>
      </c>
      <c r="M436" s="393">
        <v>247.81235000000001</v>
      </c>
      <c r="N436" s="399">
        <v>67.060390999999996</v>
      </c>
      <c r="O436" s="36">
        <v>35.871853999999999</v>
      </c>
      <c r="P436" s="36">
        <v>29.808176</v>
      </c>
      <c r="Q436" s="393">
        <v>75.227565999999996</v>
      </c>
      <c r="R436" s="399">
        <v>138.11949000000001</v>
      </c>
      <c r="S436" s="36">
        <v>58.005136999999998</v>
      </c>
      <c r="T436" s="36">
        <v>70.508266000000006</v>
      </c>
      <c r="U436" s="393">
        <v>166.39035999999999</v>
      </c>
    </row>
    <row r="437" spans="3:21" s="9" customFormat="1" ht="0.5" customHeight="1">
      <c r="C437" s="9" t="s">
        <v>42</v>
      </c>
      <c r="D437" s="9" t="str">
        <f t="shared" si="40"/>
        <v>Colombia35.5</v>
      </c>
      <c r="E437" s="398">
        <v>35.5</v>
      </c>
      <c r="F437" s="399">
        <v>85.899283999999994</v>
      </c>
      <c r="G437" s="36">
        <v>56.247079999999997</v>
      </c>
      <c r="H437" s="36">
        <v>53.850814999999997</v>
      </c>
      <c r="I437" s="393">
        <v>106.3935</v>
      </c>
      <c r="J437" s="399">
        <v>162.81136000000001</v>
      </c>
      <c r="K437" s="36">
        <v>83.839235000000002</v>
      </c>
      <c r="L437" s="36">
        <v>104.49677</v>
      </c>
      <c r="M437" s="393">
        <v>249.95155</v>
      </c>
      <c r="N437" s="399">
        <v>67.191999999999993</v>
      </c>
      <c r="O437" s="36">
        <v>35.850858000000002</v>
      </c>
      <c r="P437" s="36">
        <v>30.009620999999999</v>
      </c>
      <c r="Q437" s="393">
        <v>75.567894999999993</v>
      </c>
      <c r="R437" s="399">
        <v>139.02270999999999</v>
      </c>
      <c r="S437" s="36">
        <v>58.303631000000003</v>
      </c>
      <c r="T437" s="36">
        <v>70.379941000000002</v>
      </c>
      <c r="U437" s="393">
        <v>166.97302999999999</v>
      </c>
    </row>
    <row r="438" spans="3:21" s="9" customFormat="1" ht="0.5" customHeight="1">
      <c r="C438" s="9" t="s">
        <v>42</v>
      </c>
      <c r="D438" s="9" t="str">
        <f t="shared" si="40"/>
        <v>Colombia36</v>
      </c>
      <c r="E438" s="398">
        <v>36</v>
      </c>
      <c r="F438" s="399">
        <v>86.283150000000006</v>
      </c>
      <c r="G438" s="36">
        <v>56.245404999999998</v>
      </c>
      <c r="H438" s="36">
        <v>54.005929999999999</v>
      </c>
      <c r="I438" s="393">
        <v>106.85263</v>
      </c>
      <c r="J438" s="399">
        <v>165.00064</v>
      </c>
      <c r="K438" s="36">
        <v>84.812190999999999</v>
      </c>
      <c r="L438" s="36">
        <v>105.27996</v>
      </c>
      <c r="M438" s="393">
        <v>251.64330000000001</v>
      </c>
      <c r="N438" s="399">
        <v>67.327602999999996</v>
      </c>
      <c r="O438" s="36">
        <v>35.827753999999999</v>
      </c>
      <c r="P438" s="36">
        <v>30.211223</v>
      </c>
      <c r="Q438" s="393">
        <v>75.963432999999995</v>
      </c>
      <c r="R438" s="399">
        <v>139.92658</v>
      </c>
      <c r="S438" s="36">
        <v>58.504841999999996</v>
      </c>
      <c r="T438" s="36">
        <v>70.527720000000002</v>
      </c>
      <c r="U438" s="393">
        <v>167.44919999999999</v>
      </c>
    </row>
    <row r="439" spans="3:21" s="9" customFormat="1" ht="0.5" customHeight="1">
      <c r="C439" s="9" t="s">
        <v>42</v>
      </c>
      <c r="D439" s="9" t="str">
        <f t="shared" si="40"/>
        <v>Colombia36.5</v>
      </c>
      <c r="E439" s="398">
        <v>36.5</v>
      </c>
      <c r="F439" s="399">
        <v>86.635741999999993</v>
      </c>
      <c r="G439" s="36">
        <v>56.249093999999999</v>
      </c>
      <c r="H439" s="36">
        <v>54.179411000000002</v>
      </c>
      <c r="I439" s="393">
        <v>107.33596</v>
      </c>
      <c r="J439" s="399">
        <v>166.80633</v>
      </c>
      <c r="K439" s="36">
        <v>85.789068</v>
      </c>
      <c r="L439" s="36">
        <v>106.06424</v>
      </c>
      <c r="M439" s="393">
        <v>253.25942000000001</v>
      </c>
      <c r="N439" s="399">
        <v>67.469712999999999</v>
      </c>
      <c r="O439" s="36">
        <v>35.804695000000002</v>
      </c>
      <c r="P439" s="36">
        <v>30.410748999999999</v>
      </c>
      <c r="Q439" s="393">
        <v>76.407777999999993</v>
      </c>
      <c r="R439" s="399">
        <v>141.14793</v>
      </c>
      <c r="S439" s="36">
        <v>58.651439000000003</v>
      </c>
      <c r="T439" s="36">
        <v>70.811904999999996</v>
      </c>
      <c r="U439" s="393">
        <v>167.92137</v>
      </c>
    </row>
    <row r="440" spans="3:21" s="9" customFormat="1" ht="0.5" customHeight="1">
      <c r="C440" s="9" t="s">
        <v>42</v>
      </c>
      <c r="D440" s="9" t="str">
        <f t="shared" si="40"/>
        <v>Colombia37</v>
      </c>
      <c r="E440" s="398">
        <v>37</v>
      </c>
      <c r="F440" s="399">
        <v>86.984578999999997</v>
      </c>
      <c r="G440" s="36">
        <v>56.251455</v>
      </c>
      <c r="H440" s="36">
        <v>54.354258000000002</v>
      </c>
      <c r="I440" s="393">
        <v>107.86354</v>
      </c>
      <c r="J440" s="399">
        <v>168.63758999999999</v>
      </c>
      <c r="K440" s="36">
        <v>86.772465999999994</v>
      </c>
      <c r="L440" s="36">
        <v>106.70516000000001</v>
      </c>
      <c r="M440" s="393">
        <v>254.33886999999999</v>
      </c>
      <c r="N440" s="399">
        <v>67.608698000000004</v>
      </c>
      <c r="O440" s="36">
        <v>35.792369000000001</v>
      </c>
      <c r="P440" s="36">
        <v>30.570349</v>
      </c>
      <c r="Q440" s="393">
        <v>76.848740000000006</v>
      </c>
      <c r="R440" s="399">
        <v>142.39006000000001</v>
      </c>
      <c r="S440" s="36">
        <v>58.917811</v>
      </c>
      <c r="T440" s="36">
        <v>70.861515999999995</v>
      </c>
      <c r="U440" s="393">
        <v>168.24867</v>
      </c>
    </row>
    <row r="441" spans="3:21" s="9" customFormat="1" ht="0.5" customHeight="1">
      <c r="C441" s="9" t="s">
        <v>42</v>
      </c>
      <c r="D441" s="9" t="str">
        <f t="shared" si="40"/>
        <v>Colombia37.5</v>
      </c>
      <c r="E441" s="398">
        <v>37.5</v>
      </c>
      <c r="F441" s="399">
        <v>87.293075000000002</v>
      </c>
      <c r="G441" s="36">
        <v>56.257829000000001</v>
      </c>
      <c r="H441" s="36">
        <v>54.516609000000003</v>
      </c>
      <c r="I441" s="393">
        <v>108.38543</v>
      </c>
      <c r="J441" s="399">
        <v>170.3828</v>
      </c>
      <c r="K441" s="36">
        <v>87.860198999999994</v>
      </c>
      <c r="L441" s="36">
        <v>107.35131</v>
      </c>
      <c r="M441" s="393">
        <v>255.10866999999999</v>
      </c>
      <c r="N441" s="399">
        <v>67.710955999999996</v>
      </c>
      <c r="O441" s="36">
        <v>35.789037999999998</v>
      </c>
      <c r="P441" s="36">
        <v>30.729566999999999</v>
      </c>
      <c r="Q441" s="393">
        <v>77.269808999999995</v>
      </c>
      <c r="R441" s="399">
        <v>143.81532999999999</v>
      </c>
      <c r="S441" s="36">
        <v>59.401575000000001</v>
      </c>
      <c r="T441" s="36">
        <v>70.837855000000005</v>
      </c>
      <c r="U441" s="393">
        <v>168.59902</v>
      </c>
    </row>
    <row r="442" spans="3:21" s="9" customFormat="1" ht="0.5" customHeight="1">
      <c r="C442" s="9" t="s">
        <v>42</v>
      </c>
      <c r="D442" s="9" t="str">
        <f t="shared" si="40"/>
        <v>Colombia38</v>
      </c>
      <c r="E442" s="398">
        <v>38</v>
      </c>
      <c r="F442" s="399">
        <v>87.595787999999999</v>
      </c>
      <c r="G442" s="36">
        <v>56.319237999999999</v>
      </c>
      <c r="H442" s="36">
        <v>54.693123</v>
      </c>
      <c r="I442" s="393">
        <v>108.84961</v>
      </c>
      <c r="J442" s="399">
        <v>172.15192999999999</v>
      </c>
      <c r="K442" s="36">
        <v>88.958524999999995</v>
      </c>
      <c r="L442" s="36">
        <v>108.13686</v>
      </c>
      <c r="M442" s="393">
        <v>256.17460999999997</v>
      </c>
      <c r="N442" s="399">
        <v>67.814059999999998</v>
      </c>
      <c r="O442" s="36">
        <v>35.792687999999998</v>
      </c>
      <c r="P442" s="36">
        <v>30.887425</v>
      </c>
      <c r="Q442" s="393">
        <v>77.574157</v>
      </c>
      <c r="R442" s="399">
        <v>145.23257000000001</v>
      </c>
      <c r="S442" s="36">
        <v>59.959496999999999</v>
      </c>
      <c r="T442" s="36">
        <v>70.841064000000003</v>
      </c>
      <c r="U442" s="393">
        <v>169.40102999999999</v>
      </c>
    </row>
    <row r="443" spans="3:21" s="9" customFormat="1" ht="0.5" customHeight="1">
      <c r="C443" s="9" t="s">
        <v>42</v>
      </c>
      <c r="D443" s="9" t="str">
        <f t="shared" ref="D443:D506" si="41">CONCATENATE(C443,E443)</f>
        <v>Colombia38.5</v>
      </c>
      <c r="E443" s="398">
        <v>38.5</v>
      </c>
      <c r="F443" s="399">
        <v>87.866168000000002</v>
      </c>
      <c r="G443" s="36">
        <v>56.380923000000003</v>
      </c>
      <c r="H443" s="36">
        <v>54.869253999999998</v>
      </c>
      <c r="I443" s="393">
        <v>109.28842</v>
      </c>
      <c r="J443" s="399">
        <v>174.03825000000001</v>
      </c>
      <c r="K443" s="36">
        <v>89.692873000000006</v>
      </c>
      <c r="L443" s="36">
        <v>108.90819</v>
      </c>
      <c r="M443" s="393">
        <v>257.44949000000003</v>
      </c>
      <c r="N443" s="399">
        <v>67.945104000000001</v>
      </c>
      <c r="O443" s="36">
        <v>35.792833000000002</v>
      </c>
      <c r="P443" s="36">
        <v>31.044495000000001</v>
      </c>
      <c r="Q443" s="393">
        <v>77.836354</v>
      </c>
      <c r="R443" s="399">
        <v>146.57318000000001</v>
      </c>
      <c r="S443" s="36">
        <v>60.311543</v>
      </c>
      <c r="T443" s="36">
        <v>70.823815999999994</v>
      </c>
      <c r="U443" s="393">
        <v>170.24803</v>
      </c>
    </row>
    <row r="444" spans="3:21" s="9" customFormat="1" ht="0.5" customHeight="1">
      <c r="C444" s="9" t="s">
        <v>42</v>
      </c>
      <c r="D444" s="9" t="str">
        <f t="shared" si="41"/>
        <v>Colombia39</v>
      </c>
      <c r="E444" s="398">
        <v>39</v>
      </c>
      <c r="F444" s="399">
        <v>88.135444000000007</v>
      </c>
      <c r="G444" s="36">
        <v>56.398197000000003</v>
      </c>
      <c r="H444" s="36">
        <v>55.030450999999999</v>
      </c>
      <c r="I444" s="393">
        <v>109.70895</v>
      </c>
      <c r="J444" s="399">
        <v>175.93709999999999</v>
      </c>
      <c r="K444" s="36">
        <v>90.420866000000004</v>
      </c>
      <c r="L444" s="36">
        <v>109.59967</v>
      </c>
      <c r="M444" s="393">
        <v>258.68504999999999</v>
      </c>
      <c r="N444" s="399">
        <v>68.073420999999996</v>
      </c>
      <c r="O444" s="36">
        <v>35.794344000000002</v>
      </c>
      <c r="P444" s="36">
        <v>31.140588999999999</v>
      </c>
      <c r="Q444" s="393">
        <v>78.070868000000004</v>
      </c>
      <c r="R444" s="399">
        <v>147.91212999999999</v>
      </c>
      <c r="S444" s="36">
        <v>60.487307999999999</v>
      </c>
      <c r="T444" s="36">
        <v>70.837828999999999</v>
      </c>
      <c r="U444" s="393">
        <v>171.04793000000001</v>
      </c>
    </row>
    <row r="445" spans="3:21" s="9" customFormat="1" ht="0.5" customHeight="1">
      <c r="C445" s="9" t="s">
        <v>42</v>
      </c>
      <c r="D445" s="9" t="str">
        <f t="shared" si="41"/>
        <v>Colombia39.5</v>
      </c>
      <c r="E445" s="398">
        <v>39.5</v>
      </c>
      <c r="F445" s="399">
        <v>88.313196000000005</v>
      </c>
      <c r="G445" s="36">
        <v>56.415759000000001</v>
      </c>
      <c r="H445" s="36">
        <v>55.209595</v>
      </c>
      <c r="I445" s="393">
        <v>110.11937</v>
      </c>
      <c r="J445" s="399">
        <v>177.75252</v>
      </c>
      <c r="K445" s="36">
        <v>90.816783999999998</v>
      </c>
      <c r="L445" s="36">
        <v>110.30155000000001</v>
      </c>
      <c r="M445" s="393">
        <v>260.17944999999997</v>
      </c>
      <c r="N445" s="399">
        <v>68.193076000000005</v>
      </c>
      <c r="O445" s="36">
        <v>35.789431999999998</v>
      </c>
      <c r="P445" s="36">
        <v>31.231743999999999</v>
      </c>
      <c r="Q445" s="393">
        <v>78.254992999999999</v>
      </c>
      <c r="R445" s="399">
        <v>149.3038</v>
      </c>
      <c r="S445" s="36">
        <v>60.796568000000001</v>
      </c>
      <c r="T445" s="36">
        <v>70.884020000000007</v>
      </c>
      <c r="U445" s="393">
        <v>171.84596999999999</v>
      </c>
    </row>
    <row r="446" spans="3:21" s="9" customFormat="1" ht="0.5" customHeight="1">
      <c r="C446" s="9" t="s">
        <v>42</v>
      </c>
      <c r="D446" s="9" t="str">
        <f t="shared" si="41"/>
        <v>Colombia40</v>
      </c>
      <c r="E446" s="398">
        <v>40</v>
      </c>
      <c r="F446" s="399">
        <v>88.477193999999997</v>
      </c>
      <c r="G446" s="36">
        <v>56.495308999999999</v>
      </c>
      <c r="H446" s="36">
        <v>55.507835</v>
      </c>
      <c r="I446" s="393">
        <v>110.45799</v>
      </c>
      <c r="J446" s="399">
        <v>179.54490999999999</v>
      </c>
      <c r="K446" s="36">
        <v>91.211474999999993</v>
      </c>
      <c r="L446" s="36">
        <v>110.94422</v>
      </c>
      <c r="M446" s="393">
        <v>262.16723999999999</v>
      </c>
      <c r="N446" s="399">
        <v>68.313140000000004</v>
      </c>
      <c r="O446" s="36">
        <v>35.793349999999997</v>
      </c>
      <c r="P446" s="36">
        <v>31.313517999999998</v>
      </c>
      <c r="Q446" s="393">
        <v>78.288364000000001</v>
      </c>
      <c r="R446" s="399">
        <v>150.7088</v>
      </c>
      <c r="S446" s="36">
        <v>61.327094000000002</v>
      </c>
      <c r="T446" s="36">
        <v>70.950648000000001</v>
      </c>
      <c r="U446" s="393">
        <v>172.67430999999999</v>
      </c>
    </row>
    <row r="447" spans="3:21" s="9" customFormat="1" ht="0.5" customHeight="1">
      <c r="C447" s="9" t="s">
        <v>42</v>
      </c>
      <c r="D447" s="9" t="str">
        <f t="shared" si="41"/>
        <v>Colombia40.5</v>
      </c>
      <c r="E447" s="398">
        <v>40.5</v>
      </c>
      <c r="F447" s="399">
        <v>88.614737000000005</v>
      </c>
      <c r="G447" s="36">
        <v>56.578620000000001</v>
      </c>
      <c r="H447" s="36">
        <v>55.820652000000003</v>
      </c>
      <c r="I447" s="393">
        <v>110.77231</v>
      </c>
      <c r="J447" s="399">
        <v>181.57304999999999</v>
      </c>
      <c r="K447" s="36">
        <v>91.534965999999997</v>
      </c>
      <c r="L447" s="36">
        <v>111.592</v>
      </c>
      <c r="M447" s="393">
        <v>264.16361999999998</v>
      </c>
      <c r="N447" s="399">
        <v>68.449646000000001</v>
      </c>
      <c r="O447" s="36">
        <v>35.811306999999999</v>
      </c>
      <c r="P447" s="36">
        <v>31.39461</v>
      </c>
      <c r="Q447" s="393">
        <v>78.288222000000005</v>
      </c>
      <c r="R447" s="399">
        <v>152.05137999999999</v>
      </c>
      <c r="S447" s="36">
        <v>61.857595000000003</v>
      </c>
      <c r="T447" s="36">
        <v>70.999668999999997</v>
      </c>
      <c r="U447" s="393">
        <v>173.47030000000001</v>
      </c>
    </row>
    <row r="448" spans="3:21" s="9" customFormat="1" ht="0.5" customHeight="1">
      <c r="C448" s="9" t="s">
        <v>42</v>
      </c>
      <c r="D448" s="9" t="str">
        <f t="shared" si="41"/>
        <v>Colombia41</v>
      </c>
      <c r="E448" s="398">
        <v>41</v>
      </c>
      <c r="F448" s="399">
        <v>88.753353000000004</v>
      </c>
      <c r="G448" s="36">
        <v>56.699347000000003</v>
      </c>
      <c r="H448" s="36">
        <v>56.113788</v>
      </c>
      <c r="I448" s="393">
        <v>110.96502</v>
      </c>
      <c r="J448" s="399">
        <v>183.58815999999999</v>
      </c>
      <c r="K448" s="36">
        <v>91.874208999999993</v>
      </c>
      <c r="L448" s="36">
        <v>111.97432999999999</v>
      </c>
      <c r="M448" s="393">
        <v>266.29935</v>
      </c>
      <c r="N448" s="399">
        <v>68.581672999999995</v>
      </c>
      <c r="O448" s="36">
        <v>35.837589999999999</v>
      </c>
      <c r="P448" s="36">
        <v>31.462531999999999</v>
      </c>
      <c r="Q448" s="393">
        <v>78.272332000000006</v>
      </c>
      <c r="R448" s="399">
        <v>153.3767</v>
      </c>
      <c r="S448" s="36">
        <v>62.353324999999998</v>
      </c>
      <c r="T448" s="36">
        <v>71.036173000000005</v>
      </c>
      <c r="U448" s="393">
        <v>174.27954</v>
      </c>
    </row>
    <row r="449" spans="3:21" s="9" customFormat="1" ht="0.5" customHeight="1">
      <c r="C449" s="9" t="s">
        <v>42</v>
      </c>
      <c r="D449" s="9" t="str">
        <f t="shared" si="41"/>
        <v>Colombia41.5</v>
      </c>
      <c r="E449" s="398">
        <v>41.5</v>
      </c>
      <c r="F449" s="399">
        <v>88.845832000000001</v>
      </c>
      <c r="G449" s="36">
        <v>56.818713000000002</v>
      </c>
      <c r="H449" s="36">
        <v>56.411047000000003</v>
      </c>
      <c r="I449" s="393">
        <v>111.1084</v>
      </c>
      <c r="J449" s="399">
        <v>185.39044000000001</v>
      </c>
      <c r="K449" s="36">
        <v>92.298739999999995</v>
      </c>
      <c r="L449" s="36">
        <v>112.37090000000001</v>
      </c>
      <c r="M449" s="393">
        <v>268.48676999999998</v>
      </c>
      <c r="N449" s="399">
        <v>68.684605000000005</v>
      </c>
      <c r="O449" s="36">
        <v>35.857053000000001</v>
      </c>
      <c r="P449" s="36">
        <v>31.530227</v>
      </c>
      <c r="Q449" s="393">
        <v>78.248456000000004</v>
      </c>
      <c r="R449" s="399">
        <v>154.33111</v>
      </c>
      <c r="S449" s="36">
        <v>63.046779000000001</v>
      </c>
      <c r="T449" s="36">
        <v>71.048564999999996</v>
      </c>
      <c r="U449" s="393">
        <v>175.12142</v>
      </c>
    </row>
    <row r="450" spans="3:21" s="9" customFormat="1" ht="0.5" customHeight="1">
      <c r="C450" s="9" t="s">
        <v>42</v>
      </c>
      <c r="D450" s="9" t="str">
        <f t="shared" si="41"/>
        <v>Colombia42</v>
      </c>
      <c r="E450" s="398">
        <v>42</v>
      </c>
      <c r="F450" s="399">
        <v>88.934617000000003</v>
      </c>
      <c r="G450" s="36">
        <v>56.820582000000002</v>
      </c>
      <c r="H450" s="36">
        <v>56.573663000000003</v>
      </c>
      <c r="I450" s="393">
        <v>111.17003</v>
      </c>
      <c r="J450" s="399">
        <v>187.19506000000001</v>
      </c>
      <c r="K450" s="36">
        <v>92.728182000000004</v>
      </c>
      <c r="L450" s="36">
        <v>112.6682</v>
      </c>
      <c r="M450" s="393">
        <v>270.53241000000003</v>
      </c>
      <c r="N450" s="399">
        <v>68.786036999999993</v>
      </c>
      <c r="O450" s="36">
        <v>35.849862000000002</v>
      </c>
      <c r="P450" s="36">
        <v>31.560690999999998</v>
      </c>
      <c r="Q450" s="393">
        <v>78.186476999999996</v>
      </c>
      <c r="R450" s="399">
        <v>155.27237</v>
      </c>
      <c r="S450" s="36">
        <v>63.480808000000003</v>
      </c>
      <c r="T450" s="36">
        <v>70.949605000000005</v>
      </c>
      <c r="U450" s="393">
        <v>175.95400000000001</v>
      </c>
    </row>
    <row r="451" spans="3:21" s="9" customFormat="1" ht="0.5" customHeight="1">
      <c r="C451" s="9" t="s">
        <v>42</v>
      </c>
      <c r="D451" s="9" t="str">
        <f t="shared" si="41"/>
        <v>Colombia42.5</v>
      </c>
      <c r="E451" s="398">
        <v>42.5</v>
      </c>
      <c r="F451" s="399">
        <v>88.986565999999996</v>
      </c>
      <c r="G451" s="36">
        <v>56.826915999999997</v>
      </c>
      <c r="H451" s="36">
        <v>56.705039999999997</v>
      </c>
      <c r="I451" s="393">
        <v>111.22274</v>
      </c>
      <c r="J451" s="399">
        <v>189.10963000000001</v>
      </c>
      <c r="K451" s="36">
        <v>93.106342999999995</v>
      </c>
      <c r="L451" s="36">
        <v>112.97241</v>
      </c>
      <c r="M451" s="393">
        <v>272.65042999999997</v>
      </c>
      <c r="N451" s="399">
        <v>68.853238000000005</v>
      </c>
      <c r="O451" s="36">
        <v>35.828830000000004</v>
      </c>
      <c r="P451" s="36">
        <v>31.589441000000001</v>
      </c>
      <c r="Q451" s="393">
        <v>78.105697000000006</v>
      </c>
      <c r="R451" s="399">
        <v>156.24651</v>
      </c>
      <c r="S451" s="36">
        <v>63.310408000000002</v>
      </c>
      <c r="T451" s="36">
        <v>70.898075000000006</v>
      </c>
      <c r="U451" s="393">
        <v>176.77602999999999</v>
      </c>
    </row>
    <row r="452" spans="3:21" s="9" customFormat="1" ht="0.5" customHeight="1">
      <c r="C452" s="9" t="s">
        <v>42</v>
      </c>
      <c r="D452" s="9" t="str">
        <f t="shared" si="41"/>
        <v>Colombia43</v>
      </c>
      <c r="E452" s="398">
        <v>43</v>
      </c>
      <c r="F452" s="399">
        <v>89.032549000000003</v>
      </c>
      <c r="G452" s="36">
        <v>56.748296000000003</v>
      </c>
      <c r="H452" s="36">
        <v>56.754148999999998</v>
      </c>
      <c r="I452" s="393">
        <v>111.31961</v>
      </c>
      <c r="J452" s="399">
        <v>191.03530000000001</v>
      </c>
      <c r="K452" s="36">
        <v>93.463946000000007</v>
      </c>
      <c r="L452" s="36">
        <v>113.37044</v>
      </c>
      <c r="M452" s="393">
        <v>274.68486999999999</v>
      </c>
      <c r="N452" s="399">
        <v>68.924723</v>
      </c>
      <c r="O452" s="36">
        <v>35.768877000000003</v>
      </c>
      <c r="P452" s="36">
        <v>31.576786999999999</v>
      </c>
      <c r="Q452" s="393">
        <v>77.964008000000007</v>
      </c>
      <c r="R452" s="399">
        <v>157.23027999999999</v>
      </c>
      <c r="S452" s="36">
        <v>63.175584999999998</v>
      </c>
      <c r="T452" s="36">
        <v>70.990037999999998</v>
      </c>
      <c r="U452" s="393">
        <v>178.01107999999999</v>
      </c>
    </row>
    <row r="453" spans="3:21" s="9" customFormat="1" ht="0.5" customHeight="1">
      <c r="C453" s="9" t="s">
        <v>42</v>
      </c>
      <c r="D453" s="9" t="str">
        <f t="shared" si="41"/>
        <v>Colombia43.5</v>
      </c>
      <c r="E453" s="398">
        <v>43.5</v>
      </c>
      <c r="F453" s="399">
        <v>89.101151999999999</v>
      </c>
      <c r="G453" s="36">
        <v>56.673997</v>
      </c>
      <c r="H453" s="36">
        <v>56.769857999999999</v>
      </c>
      <c r="I453" s="393">
        <v>111.44695</v>
      </c>
      <c r="J453" s="399">
        <v>193.41967</v>
      </c>
      <c r="K453" s="36">
        <v>93.794469000000007</v>
      </c>
      <c r="L453" s="36">
        <v>113.76470999999999</v>
      </c>
      <c r="M453" s="393">
        <v>276.63781999999998</v>
      </c>
      <c r="N453" s="399">
        <v>69.037516999999994</v>
      </c>
      <c r="O453" s="36">
        <v>35.707183000000001</v>
      </c>
      <c r="P453" s="36">
        <v>31.563103000000002</v>
      </c>
      <c r="Q453" s="393">
        <v>77.765358000000006</v>
      </c>
      <c r="R453" s="399">
        <v>158.36482000000001</v>
      </c>
      <c r="S453" s="36">
        <v>63.059832</v>
      </c>
      <c r="T453" s="36">
        <v>71.047629000000001</v>
      </c>
      <c r="U453" s="393">
        <v>179.23263</v>
      </c>
    </row>
    <row r="454" spans="3:21" s="9" customFormat="1" ht="0.5" customHeight="1">
      <c r="C454" s="9" t="s">
        <v>42</v>
      </c>
      <c r="D454" s="9" t="str">
        <f t="shared" si="41"/>
        <v>Colombia44</v>
      </c>
      <c r="E454" s="398">
        <v>44</v>
      </c>
      <c r="F454" s="399">
        <v>89.173092999999994</v>
      </c>
      <c r="G454" s="36">
        <v>56.581699999999998</v>
      </c>
      <c r="H454" s="36">
        <v>56.595799999999997</v>
      </c>
      <c r="I454" s="393">
        <v>111.52715000000001</v>
      </c>
      <c r="J454" s="399">
        <v>195.80548999999999</v>
      </c>
      <c r="K454" s="36">
        <v>94.123355000000004</v>
      </c>
      <c r="L454" s="36">
        <v>114.18258</v>
      </c>
      <c r="M454" s="393">
        <v>278.94074999999998</v>
      </c>
      <c r="N454" s="399">
        <v>69.150937999999996</v>
      </c>
      <c r="O454" s="36">
        <v>35.654936999999997</v>
      </c>
      <c r="P454" s="36">
        <v>31.535864</v>
      </c>
      <c r="Q454" s="393">
        <v>77.569630000000004</v>
      </c>
      <c r="R454" s="399">
        <v>159.51134999999999</v>
      </c>
      <c r="S454" s="36">
        <v>62.889662000000001</v>
      </c>
      <c r="T454" s="36">
        <v>71.020455999999996</v>
      </c>
      <c r="U454" s="393">
        <v>180.33895000000001</v>
      </c>
    </row>
    <row r="455" spans="3:21" s="9" customFormat="1" ht="0.5" customHeight="1">
      <c r="C455" s="9" t="s">
        <v>42</v>
      </c>
      <c r="D455" s="9" t="str">
        <f t="shared" si="41"/>
        <v>Colombia44.5</v>
      </c>
      <c r="E455" s="398">
        <v>44.5</v>
      </c>
      <c r="F455" s="399">
        <v>89.228008000000003</v>
      </c>
      <c r="G455" s="36">
        <v>56.506993999999999</v>
      </c>
      <c r="H455" s="36">
        <v>56.402500000000003</v>
      </c>
      <c r="I455" s="393">
        <v>111.62451</v>
      </c>
      <c r="J455" s="399">
        <v>198.00502</v>
      </c>
      <c r="K455" s="36">
        <v>94.577457999999993</v>
      </c>
      <c r="L455" s="36">
        <v>114.58888</v>
      </c>
      <c r="M455" s="393">
        <v>281.39999999999998</v>
      </c>
      <c r="N455" s="399">
        <v>69.209757999999994</v>
      </c>
      <c r="O455" s="36">
        <v>35.607244999999999</v>
      </c>
      <c r="P455" s="36">
        <v>31.507908</v>
      </c>
      <c r="Q455" s="393">
        <v>77.355405000000005</v>
      </c>
      <c r="R455" s="399">
        <v>160.73465999999999</v>
      </c>
      <c r="S455" s="36">
        <v>62.979435000000002</v>
      </c>
      <c r="T455" s="36">
        <v>70.941725000000005</v>
      </c>
      <c r="U455" s="393">
        <v>181.51652000000001</v>
      </c>
    </row>
    <row r="456" spans="3:21" s="9" customFormat="1" ht="0.5" customHeight="1">
      <c r="C456" s="9" t="s">
        <v>42</v>
      </c>
      <c r="D456" s="9" t="str">
        <f t="shared" si="41"/>
        <v>Colombia45</v>
      </c>
      <c r="E456" s="398">
        <v>45</v>
      </c>
      <c r="F456" s="399">
        <v>89.280540000000002</v>
      </c>
      <c r="G456" s="36">
        <v>56.350146000000002</v>
      </c>
      <c r="H456" s="36">
        <v>56.161363999999999</v>
      </c>
      <c r="I456" s="393">
        <v>111.85418</v>
      </c>
      <c r="J456" s="399">
        <v>200.19426000000001</v>
      </c>
      <c r="K456" s="36">
        <v>95.076804999999993</v>
      </c>
      <c r="L456" s="36">
        <v>115.06698</v>
      </c>
      <c r="M456" s="393">
        <v>283.94346999999999</v>
      </c>
      <c r="N456" s="399">
        <v>69.262484000000001</v>
      </c>
      <c r="O456" s="36">
        <v>35.558138999999997</v>
      </c>
      <c r="P456" s="36">
        <v>31.42887</v>
      </c>
      <c r="Q456" s="393">
        <v>77.160561000000001</v>
      </c>
      <c r="R456" s="399">
        <v>161.96632</v>
      </c>
      <c r="S456" s="36">
        <v>63.040835000000001</v>
      </c>
      <c r="T456" s="36">
        <v>70.811695</v>
      </c>
      <c r="U456" s="393">
        <v>182.76938000000001</v>
      </c>
    </row>
    <row r="457" spans="3:21" s="9" customFormat="1" ht="0.5" customHeight="1">
      <c r="C457" s="9" t="s">
        <v>42</v>
      </c>
      <c r="D457" s="9" t="str">
        <f t="shared" si="41"/>
        <v>Colombia45.5</v>
      </c>
      <c r="E457" s="398">
        <v>45.5</v>
      </c>
      <c r="F457" s="399">
        <v>89.362998000000005</v>
      </c>
      <c r="G457" s="36">
        <v>56.184536000000001</v>
      </c>
      <c r="H457" s="36">
        <v>55.897652999999998</v>
      </c>
      <c r="I457" s="393">
        <v>112.02083</v>
      </c>
      <c r="J457" s="399">
        <v>202.50716</v>
      </c>
      <c r="K457" s="36">
        <v>95.859905999999995</v>
      </c>
      <c r="L457" s="36">
        <v>115.55701999999999</v>
      </c>
      <c r="M457" s="393">
        <v>286.51326999999998</v>
      </c>
      <c r="N457" s="399">
        <v>69.297614999999993</v>
      </c>
      <c r="O457" s="36">
        <v>35.498989999999999</v>
      </c>
      <c r="P457" s="36">
        <v>31.348054000000001</v>
      </c>
      <c r="Q457" s="393">
        <v>76.996510000000001</v>
      </c>
      <c r="R457" s="399">
        <v>163.92205000000001</v>
      </c>
      <c r="S457" s="36">
        <v>63.278086000000002</v>
      </c>
      <c r="T457" s="36">
        <v>70.836264999999997</v>
      </c>
      <c r="U457" s="393">
        <v>184.01236</v>
      </c>
    </row>
    <row r="458" spans="3:21" s="9" customFormat="1" ht="0.5" customHeight="1">
      <c r="C458" s="9" t="s">
        <v>42</v>
      </c>
      <c r="D458" s="9" t="str">
        <f t="shared" si="41"/>
        <v>Colombia46</v>
      </c>
      <c r="E458" s="398">
        <v>46</v>
      </c>
      <c r="F458" s="399">
        <v>89.453294</v>
      </c>
      <c r="G458" s="36">
        <v>56.130158999999999</v>
      </c>
      <c r="H458" s="36">
        <v>55.665323000000001</v>
      </c>
      <c r="I458" s="393">
        <v>111.7976</v>
      </c>
      <c r="J458" s="399">
        <v>204.79114999999999</v>
      </c>
      <c r="K458" s="36">
        <v>96.641633999999996</v>
      </c>
      <c r="L458" s="36">
        <v>115.82666999999999</v>
      </c>
      <c r="M458" s="393">
        <v>289.05219</v>
      </c>
      <c r="N458" s="399">
        <v>69.328421000000006</v>
      </c>
      <c r="O458" s="36">
        <v>35.425697999999997</v>
      </c>
      <c r="P458" s="36">
        <v>31.230542</v>
      </c>
      <c r="Q458" s="393">
        <v>76.857709</v>
      </c>
      <c r="R458" s="399">
        <v>165.93359000000001</v>
      </c>
      <c r="S458" s="36">
        <v>63.758904000000001</v>
      </c>
      <c r="T458" s="36">
        <v>71.078445000000002</v>
      </c>
      <c r="U458" s="393">
        <v>185.01994999999999</v>
      </c>
    </row>
    <row r="459" spans="3:21" s="9" customFormat="1" ht="0.5" customHeight="1">
      <c r="C459" s="9" t="s">
        <v>42</v>
      </c>
      <c r="D459" s="9" t="str">
        <f t="shared" si="41"/>
        <v>Colombia46.5</v>
      </c>
      <c r="E459" s="398">
        <v>46.5</v>
      </c>
      <c r="F459" s="399">
        <v>89.634382000000002</v>
      </c>
      <c r="G459" s="36">
        <v>56.088070000000002</v>
      </c>
      <c r="H459" s="36">
        <v>55.483106999999997</v>
      </c>
      <c r="I459" s="393">
        <v>111.50863</v>
      </c>
      <c r="J459" s="399">
        <v>207.37486000000001</v>
      </c>
      <c r="K459" s="36">
        <v>97.506200000000007</v>
      </c>
      <c r="L459" s="36">
        <v>116.10748</v>
      </c>
      <c r="M459" s="393">
        <v>291.62268</v>
      </c>
      <c r="N459" s="399">
        <v>69.382884000000004</v>
      </c>
      <c r="O459" s="36">
        <v>35.352212000000002</v>
      </c>
      <c r="P459" s="36">
        <v>31.115427</v>
      </c>
      <c r="Q459" s="393">
        <v>76.794740000000004</v>
      </c>
      <c r="R459" s="399">
        <v>168.07499999999999</v>
      </c>
      <c r="S459" s="36">
        <v>63.955140999999998</v>
      </c>
      <c r="T459" s="36">
        <v>71.304293000000001</v>
      </c>
      <c r="U459" s="393">
        <v>185.97708</v>
      </c>
    </row>
    <row r="460" spans="3:21" s="9" customFormat="1" ht="0.5" customHeight="1">
      <c r="C460" s="9" t="s">
        <v>42</v>
      </c>
      <c r="D460" s="9" t="str">
        <f t="shared" si="41"/>
        <v>Colombia47</v>
      </c>
      <c r="E460" s="398">
        <v>47</v>
      </c>
      <c r="F460" s="399">
        <v>89.825123000000005</v>
      </c>
      <c r="G460" s="36">
        <v>56.034669999999998</v>
      </c>
      <c r="H460" s="36">
        <v>55.303452</v>
      </c>
      <c r="I460" s="393">
        <v>111.13191</v>
      </c>
      <c r="J460" s="399">
        <v>209.92964000000001</v>
      </c>
      <c r="K460" s="36">
        <v>98.364062000000004</v>
      </c>
      <c r="L460" s="36">
        <v>116.43049999999999</v>
      </c>
      <c r="M460" s="393">
        <v>294.25333999999998</v>
      </c>
      <c r="N460" s="399">
        <v>69.443515000000005</v>
      </c>
      <c r="O460" s="36">
        <v>35.293019000000001</v>
      </c>
      <c r="P460" s="36">
        <v>31.020578</v>
      </c>
      <c r="Q460" s="393">
        <v>76.725001000000006</v>
      </c>
      <c r="R460" s="399">
        <v>170.19544999999999</v>
      </c>
      <c r="S460" s="36">
        <v>64.195025999999999</v>
      </c>
      <c r="T460" s="36">
        <v>71.456902999999997</v>
      </c>
      <c r="U460" s="393">
        <v>186.99405999999999</v>
      </c>
    </row>
    <row r="461" spans="3:21" s="9" customFormat="1" ht="0.5" customHeight="1">
      <c r="C461" s="9" t="s">
        <v>42</v>
      </c>
      <c r="D461" s="9" t="str">
        <f t="shared" si="41"/>
        <v>Colombia47.5</v>
      </c>
      <c r="E461" s="398">
        <v>47.5</v>
      </c>
      <c r="F461" s="399">
        <v>90.034312</v>
      </c>
      <c r="G461" s="36">
        <v>55.977431000000003</v>
      </c>
      <c r="H461" s="36">
        <v>55.119722000000003</v>
      </c>
      <c r="I461" s="393">
        <v>110.7246</v>
      </c>
      <c r="J461" s="399">
        <v>212.67518999999999</v>
      </c>
      <c r="K461" s="36">
        <v>99.177002000000002</v>
      </c>
      <c r="L461" s="36">
        <v>116.77969</v>
      </c>
      <c r="M461" s="393">
        <v>296.58094999999997</v>
      </c>
      <c r="N461" s="399">
        <v>69.524266999999995</v>
      </c>
      <c r="O461" s="36">
        <v>35.241937</v>
      </c>
      <c r="P461" s="36">
        <v>30.922663</v>
      </c>
      <c r="Q461" s="393">
        <v>76.612562999999994</v>
      </c>
      <c r="R461" s="399">
        <v>172.60202000000001</v>
      </c>
      <c r="S461" s="36">
        <v>65.028322000000003</v>
      </c>
      <c r="T461" s="36">
        <v>71.550689000000006</v>
      </c>
      <c r="U461" s="393">
        <v>187.98749000000001</v>
      </c>
    </row>
    <row r="462" spans="3:21" s="9" customFormat="1" ht="0.5" customHeight="1">
      <c r="C462" s="9" t="s">
        <v>42</v>
      </c>
      <c r="D462" s="9" t="str">
        <f t="shared" si="41"/>
        <v>Colombia48</v>
      </c>
      <c r="E462" s="398">
        <v>48</v>
      </c>
      <c r="F462" s="399">
        <v>90.241310999999996</v>
      </c>
      <c r="G462" s="36">
        <v>55.941187999999997</v>
      </c>
      <c r="H462" s="36">
        <v>55.074964000000001</v>
      </c>
      <c r="I462" s="393">
        <v>110.34072999999999</v>
      </c>
      <c r="J462" s="399">
        <v>215.42666</v>
      </c>
      <c r="K462" s="36">
        <v>100.01103999999999</v>
      </c>
      <c r="L462" s="36">
        <v>116.95099999999999</v>
      </c>
      <c r="M462" s="393">
        <v>297.81542999999999</v>
      </c>
      <c r="N462" s="399">
        <v>69.609509000000003</v>
      </c>
      <c r="O462" s="36">
        <v>35.203124000000003</v>
      </c>
      <c r="P462" s="36">
        <v>30.792994</v>
      </c>
      <c r="Q462" s="393">
        <v>76.585554999999999</v>
      </c>
      <c r="R462" s="399">
        <v>175.02748</v>
      </c>
      <c r="S462" s="36">
        <v>65.791487000000004</v>
      </c>
      <c r="T462" s="36">
        <v>71.739970999999997</v>
      </c>
      <c r="U462" s="393">
        <v>188.60091</v>
      </c>
    </row>
    <row r="463" spans="3:21" s="9" customFormat="1" ht="0.5" customHeight="1">
      <c r="C463" s="9" t="s">
        <v>42</v>
      </c>
      <c r="D463" s="9" t="str">
        <f t="shared" si="41"/>
        <v>Colombia48.5</v>
      </c>
      <c r="E463" s="398">
        <v>48.5</v>
      </c>
      <c r="F463" s="399">
        <v>90.431820999999999</v>
      </c>
      <c r="G463" s="36">
        <v>55.905572999999997</v>
      </c>
      <c r="H463" s="36">
        <v>55.045282999999998</v>
      </c>
      <c r="I463" s="393">
        <v>109.96616</v>
      </c>
      <c r="J463" s="399">
        <v>218.11185</v>
      </c>
      <c r="K463" s="36">
        <v>100.9302</v>
      </c>
      <c r="L463" s="36">
        <v>117.12461</v>
      </c>
      <c r="M463" s="393">
        <v>298.8707</v>
      </c>
      <c r="N463" s="399">
        <v>69.713605000000001</v>
      </c>
      <c r="O463" s="36">
        <v>35.153255999999999</v>
      </c>
      <c r="P463" s="36">
        <v>30.664082000000001</v>
      </c>
      <c r="Q463" s="393">
        <v>76.589724000000004</v>
      </c>
      <c r="R463" s="399">
        <v>177.71123</v>
      </c>
      <c r="S463" s="36">
        <v>66.444999999999993</v>
      </c>
      <c r="T463" s="36">
        <v>72.017290000000003</v>
      </c>
      <c r="U463" s="393">
        <v>189.24351999999999</v>
      </c>
    </row>
    <row r="464" spans="3:21" s="9" customFormat="1" ht="0.5" customHeight="1">
      <c r="C464" s="9" t="s">
        <v>42</v>
      </c>
      <c r="D464" s="9" t="str">
        <f t="shared" si="41"/>
        <v>Colombia49</v>
      </c>
      <c r="E464" s="398">
        <v>49</v>
      </c>
      <c r="F464" s="399">
        <v>90.616383999999996</v>
      </c>
      <c r="G464" s="36">
        <v>55.805982</v>
      </c>
      <c r="H464" s="36">
        <v>54.929403000000001</v>
      </c>
      <c r="I464" s="393">
        <v>109.63812</v>
      </c>
      <c r="J464" s="399">
        <v>220.82129</v>
      </c>
      <c r="K464" s="36">
        <v>101.85351</v>
      </c>
      <c r="L464" s="36">
        <v>117.1554</v>
      </c>
      <c r="M464" s="393">
        <v>300.40454</v>
      </c>
      <c r="N464" s="399">
        <v>69.817723999999998</v>
      </c>
      <c r="O464" s="36">
        <v>35.063949000000001</v>
      </c>
      <c r="P464" s="36">
        <v>30.558629</v>
      </c>
      <c r="Q464" s="393">
        <v>76.603994</v>
      </c>
      <c r="R464" s="399">
        <v>180.41079999999999</v>
      </c>
      <c r="S464" s="36">
        <v>67.788214999999994</v>
      </c>
      <c r="T464" s="36">
        <v>72.183550999999994</v>
      </c>
      <c r="U464" s="393">
        <v>190.03683000000001</v>
      </c>
    </row>
    <row r="465" spans="3:21" s="9" customFormat="1" ht="0.5" customHeight="1">
      <c r="C465" s="9" t="s">
        <v>42</v>
      </c>
      <c r="D465" s="9" t="str">
        <f t="shared" si="41"/>
        <v>Colombia49.5</v>
      </c>
      <c r="E465" s="398">
        <v>49.5</v>
      </c>
      <c r="F465" s="399">
        <v>90.763020999999995</v>
      </c>
      <c r="G465" s="36">
        <v>55.693058999999998</v>
      </c>
      <c r="H465" s="36">
        <v>54.787103999999999</v>
      </c>
      <c r="I465" s="393">
        <v>109.36936</v>
      </c>
      <c r="J465" s="399">
        <v>223.52851999999999</v>
      </c>
      <c r="K465" s="36">
        <v>102.982</v>
      </c>
      <c r="L465" s="36">
        <v>117.18179000000001</v>
      </c>
      <c r="M465" s="393">
        <v>302.02472999999998</v>
      </c>
      <c r="N465" s="399">
        <v>69.908011000000002</v>
      </c>
      <c r="O465" s="36">
        <v>34.965670000000003</v>
      </c>
      <c r="P465" s="36">
        <v>30.456282999999999</v>
      </c>
      <c r="Q465" s="393">
        <v>76.594830000000002</v>
      </c>
      <c r="R465" s="399">
        <v>183.10049000000001</v>
      </c>
      <c r="S465" s="36">
        <v>69.881849000000003</v>
      </c>
      <c r="T465" s="36">
        <v>72.255707999999998</v>
      </c>
      <c r="U465" s="393">
        <v>190.86331999999999</v>
      </c>
    </row>
    <row r="466" spans="3:21" s="9" customFormat="1" ht="0.5" customHeight="1">
      <c r="C466" s="9" t="s">
        <v>42</v>
      </c>
      <c r="D466" s="9" t="str">
        <f t="shared" si="41"/>
        <v>Colombia50</v>
      </c>
      <c r="E466" s="398">
        <v>50</v>
      </c>
      <c r="F466" s="399">
        <v>90.911197000000001</v>
      </c>
      <c r="G466" s="36">
        <v>55.424232000000003</v>
      </c>
      <c r="H466" s="36">
        <v>54.677979000000001</v>
      </c>
      <c r="I466" s="393">
        <v>109.05954</v>
      </c>
      <c r="J466" s="399">
        <v>226.23124999999999</v>
      </c>
      <c r="K466" s="36">
        <v>104.11163999999999</v>
      </c>
      <c r="L466" s="36">
        <v>117.29810000000001</v>
      </c>
      <c r="M466" s="393">
        <v>303.17532</v>
      </c>
      <c r="N466" s="399">
        <v>70.002900999999994</v>
      </c>
      <c r="O466" s="36">
        <v>34.872160000000001</v>
      </c>
      <c r="P466" s="36">
        <v>30.375862999999999</v>
      </c>
      <c r="Q466" s="393">
        <v>76.559799999999996</v>
      </c>
      <c r="R466" s="399">
        <v>185.75094999999999</v>
      </c>
      <c r="S466" s="36">
        <v>72.081586000000001</v>
      </c>
      <c r="T466" s="36">
        <v>72.095731999999998</v>
      </c>
      <c r="U466" s="393">
        <v>191.50506999999999</v>
      </c>
    </row>
    <row r="467" spans="3:21" s="9" customFormat="1" ht="0.5" customHeight="1">
      <c r="C467" s="9" t="s">
        <v>42</v>
      </c>
      <c r="D467" s="9" t="str">
        <f t="shared" si="41"/>
        <v>Colombia50.5</v>
      </c>
      <c r="E467" s="398">
        <v>50.5</v>
      </c>
      <c r="F467" s="399">
        <v>91.083684000000005</v>
      </c>
      <c r="G467" s="36">
        <v>55.161766999999998</v>
      </c>
      <c r="H467" s="36">
        <v>54.585099999999997</v>
      </c>
      <c r="I467" s="393">
        <v>108.71661</v>
      </c>
      <c r="J467" s="399">
        <v>228.51307</v>
      </c>
      <c r="K467" s="36">
        <v>105.02114</v>
      </c>
      <c r="L467" s="36">
        <v>117.40689999999999</v>
      </c>
      <c r="M467" s="393">
        <v>304.05770999999999</v>
      </c>
      <c r="N467" s="399">
        <v>70.122152999999997</v>
      </c>
      <c r="O467" s="36">
        <v>34.784973999999998</v>
      </c>
      <c r="P467" s="36">
        <v>30.295435999999999</v>
      </c>
      <c r="Q467" s="393">
        <v>76.539399000000003</v>
      </c>
      <c r="R467" s="399">
        <v>187.93621999999999</v>
      </c>
      <c r="S467" s="36">
        <v>74.566187999999997</v>
      </c>
      <c r="T467" s="36">
        <v>71.765521000000007</v>
      </c>
      <c r="U467" s="393">
        <v>192.11524</v>
      </c>
    </row>
    <row r="468" spans="3:21" s="9" customFormat="1" ht="0.5" customHeight="1">
      <c r="C468" s="9" t="s">
        <v>42</v>
      </c>
      <c r="D468" s="9" t="str">
        <f t="shared" si="41"/>
        <v>Colombia51</v>
      </c>
      <c r="E468" s="398">
        <v>51</v>
      </c>
      <c r="F468" s="399">
        <v>91.249590999999995</v>
      </c>
      <c r="G468" s="36">
        <v>54.923703000000003</v>
      </c>
      <c r="H468" s="36">
        <v>54.405920000000002</v>
      </c>
      <c r="I468" s="393">
        <v>108.38108</v>
      </c>
      <c r="J468" s="399">
        <v>230.79902999999999</v>
      </c>
      <c r="K468" s="36">
        <v>105.92048</v>
      </c>
      <c r="L468" s="36">
        <v>117.68682</v>
      </c>
      <c r="M468" s="393">
        <v>304.81088</v>
      </c>
      <c r="N468" s="399">
        <v>70.254778000000002</v>
      </c>
      <c r="O468" s="36">
        <v>34.687452</v>
      </c>
      <c r="P468" s="36">
        <v>30.168361999999998</v>
      </c>
      <c r="Q468" s="393">
        <v>76.470405</v>
      </c>
      <c r="R468" s="399">
        <v>190.13512</v>
      </c>
      <c r="S468" s="36">
        <v>77.502140999999995</v>
      </c>
      <c r="T468" s="36">
        <v>71.469447000000002</v>
      </c>
      <c r="U468" s="393">
        <v>192.67218</v>
      </c>
    </row>
    <row r="469" spans="3:21" s="9" customFormat="1" ht="0.5" customHeight="1">
      <c r="C469" s="9" t="s">
        <v>42</v>
      </c>
      <c r="D469" s="9" t="str">
        <f t="shared" si="41"/>
        <v>Colombia51.5</v>
      </c>
      <c r="E469" s="398">
        <v>51.5</v>
      </c>
      <c r="F469" s="399">
        <v>91.398531000000006</v>
      </c>
      <c r="G469" s="36">
        <v>54.675082000000003</v>
      </c>
      <c r="H469" s="36">
        <v>54.189028</v>
      </c>
      <c r="I469" s="393">
        <v>108.01367</v>
      </c>
      <c r="J469" s="399">
        <v>233.12757999999999</v>
      </c>
      <c r="K469" s="36">
        <v>107.44326</v>
      </c>
      <c r="L469" s="36">
        <v>117.97029999999999</v>
      </c>
      <c r="M469" s="393">
        <v>305.51481999999999</v>
      </c>
      <c r="N469" s="399">
        <v>70.405806999999996</v>
      </c>
      <c r="O469" s="36">
        <v>34.583421999999999</v>
      </c>
      <c r="P469" s="36">
        <v>30.036100999999999</v>
      </c>
      <c r="Q469" s="393">
        <v>76.391902999999999</v>
      </c>
      <c r="R469" s="399">
        <v>192.49643</v>
      </c>
      <c r="S469" s="36">
        <v>81.377426999999997</v>
      </c>
      <c r="T469" s="36">
        <v>71.272255000000001</v>
      </c>
      <c r="U469" s="393">
        <v>193.22246999999999</v>
      </c>
    </row>
    <row r="470" spans="3:21" s="9" customFormat="1" ht="0.5" customHeight="1">
      <c r="C470" s="9" t="s">
        <v>42</v>
      </c>
      <c r="D470" s="9" t="str">
        <f t="shared" si="41"/>
        <v>Colombia52</v>
      </c>
      <c r="E470" s="398">
        <v>52</v>
      </c>
      <c r="F470" s="399">
        <v>91.567950999999994</v>
      </c>
      <c r="G470" s="36">
        <v>54.281317999999999</v>
      </c>
      <c r="H470" s="36">
        <v>53.830959</v>
      </c>
      <c r="I470" s="393">
        <v>107.59941999999999</v>
      </c>
      <c r="J470" s="399">
        <v>235.45989</v>
      </c>
      <c r="K470" s="36">
        <v>108.99048000000001</v>
      </c>
      <c r="L470" s="36">
        <v>118.56341999999999</v>
      </c>
      <c r="M470" s="393">
        <v>306.03742999999997</v>
      </c>
      <c r="N470" s="399">
        <v>70.595651000000004</v>
      </c>
      <c r="O470" s="36">
        <v>34.445996999999998</v>
      </c>
      <c r="P470" s="36">
        <v>29.904996000000001</v>
      </c>
      <c r="Q470" s="393">
        <v>76.361001000000002</v>
      </c>
      <c r="R470" s="399">
        <v>194.82344000000001</v>
      </c>
      <c r="S470" s="36">
        <v>86.071065000000004</v>
      </c>
      <c r="T470" s="36">
        <v>71.108709000000005</v>
      </c>
      <c r="U470" s="393">
        <v>193.83414999999999</v>
      </c>
    </row>
    <row r="471" spans="3:21" s="9" customFormat="1" ht="0.5" customHeight="1">
      <c r="C471" s="9" t="s">
        <v>42</v>
      </c>
      <c r="D471" s="9" t="str">
        <f t="shared" si="41"/>
        <v>Colombia52.5</v>
      </c>
      <c r="E471" s="398">
        <v>52.5</v>
      </c>
      <c r="F471" s="399">
        <v>91.758866999999995</v>
      </c>
      <c r="G471" s="36">
        <v>53.889028000000003</v>
      </c>
      <c r="H471" s="36">
        <v>53.472966</v>
      </c>
      <c r="I471" s="393">
        <v>107.18689999999999</v>
      </c>
      <c r="J471" s="399">
        <v>237.58097000000001</v>
      </c>
      <c r="K471" s="36">
        <v>110.68013000000001</v>
      </c>
      <c r="L471" s="36">
        <v>119.14337999999999</v>
      </c>
      <c r="M471" s="393">
        <v>306.11910999999998</v>
      </c>
      <c r="N471" s="399">
        <v>70.817446000000004</v>
      </c>
      <c r="O471" s="36">
        <v>34.297683999999997</v>
      </c>
      <c r="P471" s="36">
        <v>29.775148000000002</v>
      </c>
      <c r="Q471" s="393">
        <v>76.368538999999998</v>
      </c>
      <c r="R471" s="399">
        <v>196.83264</v>
      </c>
      <c r="S471" s="36">
        <v>91.063772</v>
      </c>
      <c r="T471" s="36">
        <v>71.023796000000004</v>
      </c>
      <c r="U471" s="393">
        <v>194.39628999999999</v>
      </c>
    </row>
    <row r="472" spans="3:21" s="9" customFormat="1" ht="0.5" customHeight="1">
      <c r="C472" s="9" t="s">
        <v>42</v>
      </c>
      <c r="D472" s="9" t="str">
        <f t="shared" si="41"/>
        <v>Colombia53</v>
      </c>
      <c r="E472" s="398">
        <v>53</v>
      </c>
      <c r="F472" s="399">
        <v>91.931263000000001</v>
      </c>
      <c r="G472" s="36">
        <v>53.575615999999997</v>
      </c>
      <c r="H472" s="36">
        <v>53.149030000000003</v>
      </c>
      <c r="I472" s="393">
        <v>106.80585000000001</v>
      </c>
      <c r="J472" s="399">
        <v>239.68662</v>
      </c>
      <c r="K472" s="36">
        <v>112.46796000000001</v>
      </c>
      <c r="L472" s="36">
        <v>119.7589</v>
      </c>
      <c r="M472" s="393">
        <v>305.63195999999999</v>
      </c>
      <c r="N472" s="399">
        <v>71.056658999999996</v>
      </c>
      <c r="O472" s="36">
        <v>34.150928</v>
      </c>
      <c r="P472" s="36">
        <v>29.649453000000001</v>
      </c>
      <c r="Q472" s="393">
        <v>76.419949000000003</v>
      </c>
      <c r="R472" s="399">
        <v>198.84190000000001</v>
      </c>
      <c r="S472" s="36">
        <v>96.668049999999994</v>
      </c>
      <c r="T472" s="36">
        <v>71.097713999999996</v>
      </c>
      <c r="U472" s="393">
        <v>194.86476999999999</v>
      </c>
    </row>
    <row r="473" spans="3:21" s="9" customFormat="1" ht="0.5" customHeight="1">
      <c r="C473" s="9" t="s">
        <v>42</v>
      </c>
      <c r="D473" s="9" t="str">
        <f t="shared" si="41"/>
        <v>Colombia53.5</v>
      </c>
      <c r="E473" s="398">
        <v>53.5</v>
      </c>
      <c r="F473" s="399">
        <v>92.068952999999993</v>
      </c>
      <c r="G473" s="36">
        <v>53.257748999999997</v>
      </c>
      <c r="H473" s="36">
        <v>52.728062000000001</v>
      </c>
      <c r="I473" s="393">
        <v>106.50082</v>
      </c>
      <c r="J473" s="399">
        <v>241.76229000000001</v>
      </c>
      <c r="K473" s="36">
        <v>114.53274</v>
      </c>
      <c r="L473" s="36">
        <v>120.5046</v>
      </c>
      <c r="M473" s="393">
        <v>304.50342000000001</v>
      </c>
      <c r="N473" s="399">
        <v>71.308289000000002</v>
      </c>
      <c r="O473" s="36">
        <v>34.008096999999999</v>
      </c>
      <c r="P473" s="36">
        <v>29.49888</v>
      </c>
      <c r="Q473" s="393">
        <v>76.479968999999997</v>
      </c>
      <c r="R473" s="399">
        <v>200.85427000000001</v>
      </c>
      <c r="S473" s="36">
        <v>104.05113</v>
      </c>
      <c r="T473" s="36">
        <v>71.215188999999995</v>
      </c>
      <c r="U473" s="393">
        <v>195.67225999999999</v>
      </c>
    </row>
    <row r="474" spans="3:21" s="9" customFormat="1" ht="0.5" customHeight="1">
      <c r="C474" s="9" t="s">
        <v>42</v>
      </c>
      <c r="D474" s="9" t="str">
        <f t="shared" si="41"/>
        <v>Colombia54</v>
      </c>
      <c r="E474" s="398">
        <v>54</v>
      </c>
      <c r="F474" s="399">
        <v>92.145573999999996</v>
      </c>
      <c r="G474" s="36">
        <v>52.927045</v>
      </c>
      <c r="H474" s="36">
        <v>52.144548999999998</v>
      </c>
      <c r="I474" s="393">
        <v>106.19678</v>
      </c>
      <c r="J474" s="399">
        <v>243.80654000000001</v>
      </c>
      <c r="K474" s="36">
        <v>117.0855</v>
      </c>
      <c r="L474" s="36">
        <v>121.55741999999999</v>
      </c>
      <c r="M474" s="393">
        <v>303.50857000000002</v>
      </c>
      <c r="N474" s="399">
        <v>71.582953000000003</v>
      </c>
      <c r="O474" s="36">
        <v>33.862772999999997</v>
      </c>
      <c r="P474" s="36">
        <v>29.297664999999999</v>
      </c>
      <c r="Q474" s="393">
        <v>76.472313999999997</v>
      </c>
      <c r="R474" s="399">
        <v>202.97448</v>
      </c>
      <c r="S474" s="36">
        <v>112.19096</v>
      </c>
      <c r="T474" s="36">
        <v>71.524739999999994</v>
      </c>
      <c r="U474" s="393">
        <v>196.79519999999999</v>
      </c>
    </row>
    <row r="475" spans="3:21" s="9" customFormat="1" ht="0.5" customHeight="1">
      <c r="C475" s="9" t="s">
        <v>42</v>
      </c>
      <c r="D475" s="9" t="str">
        <f t="shared" si="41"/>
        <v>Colombia54.5</v>
      </c>
      <c r="E475" s="398">
        <v>54.5</v>
      </c>
      <c r="F475" s="399">
        <v>92.233248000000003</v>
      </c>
      <c r="G475" s="36">
        <v>52.604982999999997</v>
      </c>
      <c r="H475" s="36">
        <v>51.525520999999998</v>
      </c>
      <c r="I475" s="393">
        <v>105.92431000000001</v>
      </c>
      <c r="J475" s="399">
        <v>245.65616</v>
      </c>
      <c r="K475" s="36">
        <v>120.05011</v>
      </c>
      <c r="L475" s="36">
        <v>123.01146</v>
      </c>
      <c r="M475" s="393">
        <v>302.55743999999999</v>
      </c>
      <c r="N475" s="399">
        <v>71.801850999999999</v>
      </c>
      <c r="O475" s="36">
        <v>33.689337999999999</v>
      </c>
      <c r="P475" s="36">
        <v>28.968824000000001</v>
      </c>
      <c r="Q475" s="393">
        <v>76.251114999999999</v>
      </c>
      <c r="R475" s="399">
        <v>205.25295</v>
      </c>
      <c r="S475" s="36">
        <v>121.04746</v>
      </c>
      <c r="T475" s="36">
        <v>72.067239000000001</v>
      </c>
      <c r="U475" s="393">
        <v>198.53366</v>
      </c>
    </row>
    <row r="476" spans="3:21" s="9" customFormat="1" ht="0.5" customHeight="1">
      <c r="C476" s="9" t="s">
        <v>42</v>
      </c>
      <c r="D476" s="9" t="str">
        <f t="shared" si="41"/>
        <v>Colombia55</v>
      </c>
      <c r="E476" s="398">
        <v>55</v>
      </c>
      <c r="F476" s="399">
        <v>92.267893000000001</v>
      </c>
      <c r="G476" s="36">
        <v>52.322217000000002</v>
      </c>
      <c r="H476" s="36">
        <v>50.725208000000002</v>
      </c>
      <c r="I476" s="393">
        <v>105.83768999999999</v>
      </c>
      <c r="J476" s="399">
        <v>246.82972000000001</v>
      </c>
      <c r="K476" s="36">
        <v>123.9019</v>
      </c>
      <c r="L476" s="36">
        <v>124.62860000000001</v>
      </c>
      <c r="M476" s="393">
        <v>301.54986000000002</v>
      </c>
      <c r="N476" s="399">
        <v>71.934409000000002</v>
      </c>
      <c r="O476" s="36">
        <v>33.528986000000003</v>
      </c>
      <c r="P476" s="36">
        <v>28.609005</v>
      </c>
      <c r="Q476" s="393">
        <v>75.702855</v>
      </c>
      <c r="R476" s="399">
        <v>207.83848</v>
      </c>
      <c r="S476" s="36">
        <v>130.477</v>
      </c>
      <c r="T476" s="36">
        <v>72.97927</v>
      </c>
      <c r="U476" s="393">
        <v>200.31295</v>
      </c>
    </row>
    <row r="477" spans="3:21" s="9" customFormat="1" ht="0.5" customHeight="1">
      <c r="C477" s="9" t="s">
        <v>56</v>
      </c>
      <c r="D477" s="9" t="str">
        <f t="shared" si="41"/>
        <v>Peru20</v>
      </c>
      <c r="E477" s="398">
        <v>20</v>
      </c>
      <c r="F477" s="399">
        <v>74.673455000000004</v>
      </c>
      <c r="G477" s="36">
        <v>41.150284999999997</v>
      </c>
      <c r="H477" s="36">
        <v>32.499744</v>
      </c>
      <c r="I477" s="393">
        <v>43.105367999999999</v>
      </c>
      <c r="J477" s="399">
        <v>85.117474000000001</v>
      </c>
      <c r="K477" s="36">
        <v>46.578282999999999</v>
      </c>
      <c r="L477" s="36">
        <v>45.143706000000002</v>
      </c>
      <c r="M477" s="393">
        <v>99.928572000000003</v>
      </c>
      <c r="N477" s="399">
        <v>63.126640000000002</v>
      </c>
      <c r="O477" s="36">
        <v>28.817906000000001</v>
      </c>
      <c r="P477" s="36">
        <v>16.333145999999999</v>
      </c>
      <c r="Q477" s="393">
        <v>85.364391999999995</v>
      </c>
      <c r="R477" s="399">
        <v>78.963014999999999</v>
      </c>
      <c r="S477" s="36">
        <v>36.984026</v>
      </c>
      <c r="T477" s="36">
        <v>21.815078</v>
      </c>
      <c r="U477" s="393">
        <v>82.714861999999997</v>
      </c>
    </row>
    <row r="478" spans="3:21" s="9" customFormat="1" ht="0.5" customHeight="1">
      <c r="C478" s="9" t="s">
        <v>56</v>
      </c>
      <c r="D478" s="9" t="str">
        <f t="shared" si="41"/>
        <v>Peru20.5</v>
      </c>
      <c r="E478" s="398">
        <v>20.5</v>
      </c>
      <c r="F478" s="399">
        <v>76.569309000000004</v>
      </c>
      <c r="G478" s="36">
        <v>41.967534000000001</v>
      </c>
      <c r="H478" s="36">
        <v>32.117359999999998</v>
      </c>
      <c r="I478" s="393">
        <v>44.820067999999999</v>
      </c>
      <c r="J478" s="399">
        <v>87.932372999999998</v>
      </c>
      <c r="K478" s="36">
        <v>48.265082</v>
      </c>
      <c r="L478" s="36">
        <v>46.085808</v>
      </c>
      <c r="M478" s="393">
        <v>103.48990000000001</v>
      </c>
      <c r="N478" s="399">
        <v>64.269801000000001</v>
      </c>
      <c r="O478" s="36">
        <v>28.686928999999999</v>
      </c>
      <c r="P478" s="36">
        <v>16.823716999999998</v>
      </c>
      <c r="Q478" s="393">
        <v>73.113580999999996</v>
      </c>
      <c r="R478" s="399">
        <v>80.409544999999994</v>
      </c>
      <c r="S478" s="36">
        <v>38.485835000000002</v>
      </c>
      <c r="T478" s="36">
        <v>23.007788000000001</v>
      </c>
      <c r="U478" s="393">
        <v>86.144712999999996</v>
      </c>
    </row>
    <row r="479" spans="3:21" s="9" customFormat="1" ht="0.5" customHeight="1">
      <c r="C479" s="9" t="s">
        <v>56</v>
      </c>
      <c r="D479" s="9" t="str">
        <f t="shared" si="41"/>
        <v>Peru21</v>
      </c>
      <c r="E479" s="398">
        <v>21</v>
      </c>
      <c r="F479" s="399">
        <v>78.080492000000007</v>
      </c>
      <c r="G479" s="36">
        <v>42.771467999999999</v>
      </c>
      <c r="H479" s="36">
        <v>31.802788</v>
      </c>
      <c r="I479" s="393">
        <v>46.936425</v>
      </c>
      <c r="J479" s="399">
        <v>90.389928999999995</v>
      </c>
      <c r="K479" s="36">
        <v>49.959206000000002</v>
      </c>
      <c r="L479" s="36">
        <v>47.025880999999998</v>
      </c>
      <c r="M479" s="393">
        <v>108.40783</v>
      </c>
      <c r="N479" s="399">
        <v>65.137258000000003</v>
      </c>
      <c r="O479" s="36">
        <v>28.589728999999998</v>
      </c>
      <c r="P479" s="36">
        <v>17.326910999999999</v>
      </c>
      <c r="Q479" s="393">
        <v>67.522885000000002</v>
      </c>
      <c r="R479" s="399">
        <v>82.865460999999996</v>
      </c>
      <c r="S479" s="36">
        <v>40.057442999999999</v>
      </c>
      <c r="T479" s="36">
        <v>24.443459000000001</v>
      </c>
      <c r="U479" s="393">
        <v>87.357938000000004</v>
      </c>
    </row>
    <row r="480" spans="3:21" s="9" customFormat="1" ht="0.5" customHeight="1">
      <c r="C480" s="9" t="s">
        <v>56</v>
      </c>
      <c r="D480" s="9" t="str">
        <f t="shared" si="41"/>
        <v>Peru21.5</v>
      </c>
      <c r="E480" s="398">
        <v>21.5</v>
      </c>
      <c r="F480" s="399">
        <v>79.417835999999994</v>
      </c>
      <c r="G480" s="36">
        <v>43.501258</v>
      </c>
      <c r="H480" s="36">
        <v>31.618354</v>
      </c>
      <c r="I480" s="393">
        <v>49.479655000000001</v>
      </c>
      <c r="J480" s="399">
        <v>93.106762000000003</v>
      </c>
      <c r="K480" s="36">
        <v>51.687406000000003</v>
      </c>
      <c r="L480" s="36">
        <v>48.117933999999998</v>
      </c>
      <c r="M480" s="393">
        <v>114.52061</v>
      </c>
      <c r="N480" s="399">
        <v>65.992985000000004</v>
      </c>
      <c r="O480" s="36">
        <v>28.572217999999999</v>
      </c>
      <c r="P480" s="36">
        <v>17.784580999999999</v>
      </c>
      <c r="Q480" s="393">
        <v>63.821238000000001</v>
      </c>
      <c r="R480" s="399">
        <v>85.538445999999993</v>
      </c>
      <c r="S480" s="36">
        <v>41.567312999999999</v>
      </c>
      <c r="T480" s="36">
        <v>25.913976999999999</v>
      </c>
      <c r="U480" s="393">
        <v>88.694173000000006</v>
      </c>
    </row>
    <row r="481" spans="3:21" s="9" customFormat="1" ht="0.5" customHeight="1">
      <c r="C481" s="9" t="s">
        <v>56</v>
      </c>
      <c r="D481" s="9" t="str">
        <f t="shared" si="41"/>
        <v>Peru22</v>
      </c>
      <c r="E481" s="398">
        <v>22</v>
      </c>
      <c r="F481" s="399">
        <v>80.770900999999995</v>
      </c>
      <c r="G481" s="36">
        <v>44.191535999999999</v>
      </c>
      <c r="H481" s="36">
        <v>31.500834000000001</v>
      </c>
      <c r="I481" s="393">
        <v>52.189400999999997</v>
      </c>
      <c r="J481" s="399">
        <v>96.053314999999998</v>
      </c>
      <c r="K481" s="36">
        <v>53.392367</v>
      </c>
      <c r="L481" s="36">
        <v>49.261234999999999</v>
      </c>
      <c r="M481" s="393">
        <v>119.7197</v>
      </c>
      <c r="N481" s="399">
        <v>66.680176000000003</v>
      </c>
      <c r="O481" s="36">
        <v>28.608052000000001</v>
      </c>
      <c r="P481" s="36">
        <v>18.210737999999999</v>
      </c>
      <c r="Q481" s="393">
        <v>61.634002000000002</v>
      </c>
      <c r="R481" s="399">
        <v>88.286403000000007</v>
      </c>
      <c r="S481" s="36">
        <v>43.067439</v>
      </c>
      <c r="T481" s="36">
        <v>27.362358</v>
      </c>
      <c r="U481" s="393">
        <v>90.226697999999999</v>
      </c>
    </row>
    <row r="482" spans="3:21" s="9" customFormat="1" ht="0.5" customHeight="1">
      <c r="C482" s="9" t="s">
        <v>56</v>
      </c>
      <c r="D482" s="9" t="str">
        <f t="shared" si="41"/>
        <v>Peru22.5</v>
      </c>
      <c r="E482" s="398">
        <v>22.5</v>
      </c>
      <c r="F482" s="399">
        <v>82.127336</v>
      </c>
      <c r="G482" s="36">
        <v>44.873995000000001</v>
      </c>
      <c r="H482" s="36">
        <v>31.445385000000002</v>
      </c>
      <c r="I482" s="393">
        <v>55.197128999999997</v>
      </c>
      <c r="J482" s="399">
        <v>99.279972000000001</v>
      </c>
      <c r="K482" s="36">
        <v>55.094831999999997</v>
      </c>
      <c r="L482" s="36">
        <v>50.421892999999997</v>
      </c>
      <c r="M482" s="393">
        <v>124.36707</v>
      </c>
      <c r="N482" s="399">
        <v>67.220090999999996</v>
      </c>
      <c r="O482" s="36">
        <v>28.685538999999999</v>
      </c>
      <c r="P482" s="36">
        <v>18.568629999999999</v>
      </c>
      <c r="Q482" s="393">
        <v>59.766002</v>
      </c>
      <c r="R482" s="399">
        <v>91.047602999999995</v>
      </c>
      <c r="S482" s="36">
        <v>44.582756000000003</v>
      </c>
      <c r="T482" s="36">
        <v>28.752352999999999</v>
      </c>
      <c r="U482" s="393">
        <v>91.678865000000002</v>
      </c>
    </row>
    <row r="483" spans="3:21" s="9" customFormat="1" ht="0.5" customHeight="1">
      <c r="C483" s="9" t="s">
        <v>56</v>
      </c>
      <c r="D483" s="9" t="str">
        <f t="shared" si="41"/>
        <v>Peru23</v>
      </c>
      <c r="E483" s="398">
        <v>23</v>
      </c>
      <c r="F483" s="399">
        <v>83.473303000000001</v>
      </c>
      <c r="G483" s="36">
        <v>45.548475000000003</v>
      </c>
      <c r="H483" s="36">
        <v>31.423228000000002</v>
      </c>
      <c r="I483" s="393">
        <v>58.041497999999997</v>
      </c>
      <c r="J483" s="399">
        <v>102.71093999999999</v>
      </c>
      <c r="K483" s="36">
        <v>56.862588000000002</v>
      </c>
      <c r="L483" s="36">
        <v>51.560724999999998</v>
      </c>
      <c r="M483" s="393">
        <v>127.87428</v>
      </c>
      <c r="N483" s="399">
        <v>67.616505000000004</v>
      </c>
      <c r="O483" s="36">
        <v>28.808011</v>
      </c>
      <c r="P483" s="36">
        <v>18.902514</v>
      </c>
      <c r="Q483" s="393">
        <v>57.944011000000003</v>
      </c>
      <c r="R483" s="399">
        <v>93.809004000000002</v>
      </c>
      <c r="S483" s="36">
        <v>46.067368000000002</v>
      </c>
      <c r="T483" s="36">
        <v>30.073281999999999</v>
      </c>
      <c r="U483" s="393">
        <v>93.053492000000006</v>
      </c>
    </row>
    <row r="484" spans="3:21" s="9" customFormat="1" ht="0.5" customHeight="1">
      <c r="C484" s="9" t="s">
        <v>56</v>
      </c>
      <c r="D484" s="9" t="str">
        <f t="shared" si="41"/>
        <v>Peru23.5</v>
      </c>
      <c r="E484" s="398">
        <v>23.5</v>
      </c>
      <c r="F484" s="399">
        <v>84.700140000000005</v>
      </c>
      <c r="G484" s="36">
        <v>46.218263</v>
      </c>
      <c r="H484" s="36">
        <v>31.414819000000001</v>
      </c>
      <c r="I484" s="393">
        <v>60.677416999999998</v>
      </c>
      <c r="J484" s="399">
        <v>106.18195</v>
      </c>
      <c r="K484" s="36">
        <v>58.629792999999999</v>
      </c>
      <c r="L484" s="36">
        <v>52.691975999999997</v>
      </c>
      <c r="M484" s="393">
        <v>130.71204</v>
      </c>
      <c r="N484" s="399">
        <v>67.903339000000003</v>
      </c>
      <c r="O484" s="36">
        <v>28.945336999999999</v>
      </c>
      <c r="P484" s="36">
        <v>19.230557000000001</v>
      </c>
      <c r="Q484" s="393">
        <v>56.283078000000003</v>
      </c>
      <c r="R484" s="399">
        <v>96.725487999999999</v>
      </c>
      <c r="S484" s="36">
        <v>47.541944000000001</v>
      </c>
      <c r="T484" s="36">
        <v>31.325278999999998</v>
      </c>
      <c r="U484" s="393">
        <v>94.692160000000001</v>
      </c>
    </row>
    <row r="485" spans="3:21" s="9" customFormat="1" ht="0.5" customHeight="1">
      <c r="C485" s="9" t="s">
        <v>56</v>
      </c>
      <c r="D485" s="9" t="str">
        <f t="shared" si="41"/>
        <v>Peru24</v>
      </c>
      <c r="E485" s="398">
        <v>24</v>
      </c>
      <c r="F485" s="399">
        <v>85.844392999999997</v>
      </c>
      <c r="G485" s="36">
        <v>46.865882999999997</v>
      </c>
      <c r="H485" s="36">
        <v>31.380399000000001</v>
      </c>
      <c r="I485" s="393">
        <v>62.897545000000001</v>
      </c>
      <c r="J485" s="399">
        <v>109.52188</v>
      </c>
      <c r="K485" s="36">
        <v>60.422029999999999</v>
      </c>
      <c r="L485" s="36">
        <v>53.662393999999999</v>
      </c>
      <c r="M485" s="393">
        <v>133.17613</v>
      </c>
      <c r="N485" s="399">
        <v>68.115396000000004</v>
      </c>
      <c r="O485" s="36">
        <v>29.076248</v>
      </c>
      <c r="P485" s="36">
        <v>19.574570000000001</v>
      </c>
      <c r="Q485" s="393">
        <v>54.692841000000001</v>
      </c>
      <c r="R485" s="399">
        <v>99.658406999999997</v>
      </c>
      <c r="S485" s="36">
        <v>48.910530999999999</v>
      </c>
      <c r="T485" s="36">
        <v>32.480643000000001</v>
      </c>
      <c r="U485" s="393">
        <v>96.359323000000003</v>
      </c>
    </row>
    <row r="486" spans="3:21" s="9" customFormat="1" ht="0.5" customHeight="1">
      <c r="C486" s="9" t="s">
        <v>56</v>
      </c>
      <c r="D486" s="9" t="str">
        <f t="shared" si="41"/>
        <v>Peru24.5</v>
      </c>
      <c r="E486" s="398">
        <v>24.5</v>
      </c>
      <c r="F486" s="399">
        <v>86.896293999999997</v>
      </c>
      <c r="G486" s="36">
        <v>47.487881000000002</v>
      </c>
      <c r="H486" s="36">
        <v>31.352599999999999</v>
      </c>
      <c r="I486" s="393">
        <v>64.720434999999995</v>
      </c>
      <c r="J486" s="399">
        <v>112.83069999999999</v>
      </c>
      <c r="K486" s="36">
        <v>62.203086999999996</v>
      </c>
      <c r="L486" s="36">
        <v>54.632725999999998</v>
      </c>
      <c r="M486" s="393">
        <v>135.64443</v>
      </c>
      <c r="N486" s="399">
        <v>68.319581999999997</v>
      </c>
      <c r="O486" s="36">
        <v>29.209475000000001</v>
      </c>
      <c r="P486" s="36">
        <v>19.915171999999998</v>
      </c>
      <c r="Q486" s="393">
        <v>54.756749999999997</v>
      </c>
      <c r="R486" s="399">
        <v>102.77549999999999</v>
      </c>
      <c r="S486" s="36">
        <v>50.169797000000003</v>
      </c>
      <c r="T486" s="36">
        <v>33.558520000000001</v>
      </c>
      <c r="U486" s="393">
        <v>97.950981999999996</v>
      </c>
    </row>
    <row r="487" spans="3:21" s="9" customFormat="1" ht="0.5" customHeight="1">
      <c r="C487" s="9" t="s">
        <v>56</v>
      </c>
      <c r="D487" s="9" t="str">
        <f t="shared" si="41"/>
        <v>Peru25</v>
      </c>
      <c r="E487" s="398">
        <v>25</v>
      </c>
      <c r="F487" s="399">
        <v>87.907255000000006</v>
      </c>
      <c r="G487" s="36">
        <v>48.101484999999997</v>
      </c>
      <c r="H487" s="36">
        <v>31.389844</v>
      </c>
      <c r="I487" s="393">
        <v>66.326541000000006</v>
      </c>
      <c r="J487" s="399">
        <v>115.92246</v>
      </c>
      <c r="K487" s="36">
        <v>63.890776000000002</v>
      </c>
      <c r="L487" s="36">
        <v>55.593111</v>
      </c>
      <c r="M487" s="393">
        <v>138.04993999999999</v>
      </c>
      <c r="N487" s="399">
        <v>68.539181999999997</v>
      </c>
      <c r="O487" s="36">
        <v>29.340070000000001</v>
      </c>
      <c r="P487" s="36">
        <v>20.214658</v>
      </c>
      <c r="Q487" s="393">
        <v>54.756985</v>
      </c>
      <c r="R487" s="399">
        <v>105.87623000000001</v>
      </c>
      <c r="S487" s="36">
        <v>51.258623</v>
      </c>
      <c r="T487" s="36">
        <v>34.572201999999997</v>
      </c>
      <c r="U487" s="393">
        <v>99.341907000000006</v>
      </c>
    </row>
    <row r="488" spans="3:21" s="9" customFormat="1" ht="0.5" customHeight="1">
      <c r="C488" s="9" t="s">
        <v>56</v>
      </c>
      <c r="D488" s="9" t="str">
        <f t="shared" si="41"/>
        <v>Peru25.5</v>
      </c>
      <c r="E488" s="398">
        <v>25.5</v>
      </c>
      <c r="F488" s="399">
        <v>88.831682999999998</v>
      </c>
      <c r="G488" s="36">
        <v>48.714973000000001</v>
      </c>
      <c r="H488" s="36">
        <v>31.430864</v>
      </c>
      <c r="I488" s="393">
        <v>67.805075000000002</v>
      </c>
      <c r="J488" s="399">
        <v>118.9932</v>
      </c>
      <c r="K488" s="36">
        <v>65.580782999999997</v>
      </c>
      <c r="L488" s="36">
        <v>56.553541000000003</v>
      </c>
      <c r="M488" s="393">
        <v>140.11123000000001</v>
      </c>
      <c r="N488" s="399">
        <v>68.756690000000006</v>
      </c>
      <c r="O488" s="36">
        <v>29.456634000000001</v>
      </c>
      <c r="P488" s="36">
        <v>20.514483999999999</v>
      </c>
      <c r="Q488" s="393">
        <v>54.309302000000002</v>
      </c>
      <c r="R488" s="399">
        <v>108.29693</v>
      </c>
      <c r="S488" s="36">
        <v>52.277614</v>
      </c>
      <c r="T488" s="36">
        <v>35.445031</v>
      </c>
      <c r="U488" s="393">
        <v>100.61046</v>
      </c>
    </row>
    <row r="489" spans="3:21" s="9" customFormat="1" ht="0.5" customHeight="1">
      <c r="C489" s="9" t="s">
        <v>56</v>
      </c>
      <c r="D489" s="9" t="str">
        <f t="shared" si="41"/>
        <v>Peru26</v>
      </c>
      <c r="E489" s="398">
        <v>26</v>
      </c>
      <c r="F489" s="399">
        <v>89.754570999999999</v>
      </c>
      <c r="G489" s="36">
        <v>49.289507</v>
      </c>
      <c r="H489" s="36">
        <v>31.463660000000001</v>
      </c>
      <c r="I489" s="393">
        <v>69.165773000000002</v>
      </c>
      <c r="J489" s="399">
        <v>121.83665999999999</v>
      </c>
      <c r="K489" s="36">
        <v>67.189503999999999</v>
      </c>
      <c r="L489" s="36">
        <v>57.569262999999999</v>
      </c>
      <c r="M489" s="393">
        <v>141.97900999999999</v>
      </c>
      <c r="N489" s="399">
        <v>68.962456000000003</v>
      </c>
      <c r="O489" s="36">
        <v>29.561063000000001</v>
      </c>
      <c r="P489" s="36">
        <v>20.796852999999999</v>
      </c>
      <c r="Q489" s="393">
        <v>53.836086000000002</v>
      </c>
      <c r="R489" s="399">
        <v>110.68223999999999</v>
      </c>
      <c r="S489" s="36">
        <v>53.242834000000002</v>
      </c>
      <c r="T489" s="36">
        <v>36.184821999999997</v>
      </c>
      <c r="U489" s="393">
        <v>101.64127999999999</v>
      </c>
    </row>
    <row r="490" spans="3:21" s="9" customFormat="1" ht="0.5" customHeight="1">
      <c r="C490" s="9" t="s">
        <v>56</v>
      </c>
      <c r="D490" s="9" t="str">
        <f t="shared" si="41"/>
        <v>Peru26.5</v>
      </c>
      <c r="E490" s="398">
        <v>26.5</v>
      </c>
      <c r="F490" s="399">
        <v>90.535368000000005</v>
      </c>
      <c r="G490" s="36">
        <v>49.848413000000001</v>
      </c>
      <c r="H490" s="36">
        <v>31.491263</v>
      </c>
      <c r="I490" s="393">
        <v>70.411648</v>
      </c>
      <c r="J490" s="399">
        <v>124.69985</v>
      </c>
      <c r="K490" s="36">
        <v>68.798338999999999</v>
      </c>
      <c r="L490" s="36">
        <v>58.591897000000003</v>
      </c>
      <c r="M490" s="393">
        <v>143.70356000000001</v>
      </c>
      <c r="N490" s="399">
        <v>69.149602999999999</v>
      </c>
      <c r="O490" s="36">
        <v>29.66262</v>
      </c>
      <c r="P490" s="36">
        <v>21.072292999999998</v>
      </c>
      <c r="Q490" s="393">
        <v>53.880983999999998</v>
      </c>
      <c r="R490" s="399">
        <v>112.55096</v>
      </c>
      <c r="S490" s="36">
        <v>54.196927000000002</v>
      </c>
      <c r="T490" s="36">
        <v>36.878762000000002</v>
      </c>
      <c r="U490" s="393">
        <v>102.66571999999999</v>
      </c>
    </row>
    <row r="491" spans="3:21" s="9" customFormat="1" ht="0.5" customHeight="1">
      <c r="C491" s="9" t="s">
        <v>56</v>
      </c>
      <c r="D491" s="9" t="str">
        <f t="shared" si="41"/>
        <v>Peru27</v>
      </c>
      <c r="E491" s="398">
        <v>27</v>
      </c>
      <c r="F491" s="399">
        <v>91.283591000000001</v>
      </c>
      <c r="G491" s="36">
        <v>50.371256000000002</v>
      </c>
      <c r="H491" s="36">
        <v>31.547481000000001</v>
      </c>
      <c r="I491" s="393">
        <v>71.375206000000006</v>
      </c>
      <c r="J491" s="399">
        <v>127.50100999999999</v>
      </c>
      <c r="K491" s="36">
        <v>70.355711999999997</v>
      </c>
      <c r="L491" s="36">
        <v>59.541766000000003</v>
      </c>
      <c r="M491" s="393">
        <v>145.69996</v>
      </c>
      <c r="N491" s="399">
        <v>69.207094999999995</v>
      </c>
      <c r="O491" s="36">
        <v>29.747077999999998</v>
      </c>
      <c r="P491" s="36">
        <v>21.355297</v>
      </c>
      <c r="Q491" s="393">
        <v>54.082596000000002</v>
      </c>
      <c r="R491" s="399">
        <v>114.45972</v>
      </c>
      <c r="S491" s="36">
        <v>55.028016999999998</v>
      </c>
      <c r="T491" s="36">
        <v>37.516748</v>
      </c>
      <c r="U491" s="393">
        <v>103.51117000000001</v>
      </c>
    </row>
    <row r="492" spans="3:21" s="9" customFormat="1" ht="0.5" customHeight="1">
      <c r="C492" s="9" t="s">
        <v>56</v>
      </c>
      <c r="D492" s="9" t="str">
        <f t="shared" si="41"/>
        <v>Peru27.5</v>
      </c>
      <c r="E492" s="398">
        <v>27.5</v>
      </c>
      <c r="F492" s="399">
        <v>91.820689999999999</v>
      </c>
      <c r="G492" s="36">
        <v>50.866639999999997</v>
      </c>
      <c r="H492" s="36">
        <v>31.612981999999999</v>
      </c>
      <c r="I492" s="393">
        <v>72.144300000000001</v>
      </c>
      <c r="J492" s="399">
        <v>130.28790000000001</v>
      </c>
      <c r="K492" s="36">
        <v>71.900329999999997</v>
      </c>
      <c r="L492" s="36">
        <v>60.489834000000002</v>
      </c>
      <c r="M492" s="393">
        <v>148.12477000000001</v>
      </c>
      <c r="N492" s="399">
        <v>69.197980999999999</v>
      </c>
      <c r="O492" s="36">
        <v>29.845490999999999</v>
      </c>
      <c r="P492" s="36">
        <v>21.640906000000001</v>
      </c>
      <c r="Q492" s="393">
        <v>54.068185999999997</v>
      </c>
      <c r="R492" s="399">
        <v>115.91243</v>
      </c>
      <c r="S492" s="36">
        <v>55.757527000000003</v>
      </c>
      <c r="T492" s="36">
        <v>38.059294999999999</v>
      </c>
      <c r="U492" s="393">
        <v>104.31833</v>
      </c>
    </row>
    <row r="493" spans="3:21" s="9" customFormat="1" ht="0.5" customHeight="1">
      <c r="C493" s="9" t="s">
        <v>56</v>
      </c>
      <c r="D493" s="9" t="str">
        <f t="shared" si="41"/>
        <v>Peru28</v>
      </c>
      <c r="E493" s="398">
        <v>28</v>
      </c>
      <c r="F493" s="399">
        <v>92.351518999999996</v>
      </c>
      <c r="G493" s="36">
        <v>51.315908</v>
      </c>
      <c r="H493" s="36">
        <v>31.676515999999999</v>
      </c>
      <c r="I493" s="393">
        <v>72.906706</v>
      </c>
      <c r="J493" s="399">
        <v>132.93494000000001</v>
      </c>
      <c r="K493" s="36">
        <v>73.316828999999998</v>
      </c>
      <c r="L493" s="36">
        <v>61.32103</v>
      </c>
      <c r="M493" s="393">
        <v>150.22748000000001</v>
      </c>
      <c r="N493" s="399">
        <v>69.298857999999996</v>
      </c>
      <c r="O493" s="36">
        <v>29.958182999999998</v>
      </c>
      <c r="P493" s="36">
        <v>21.924797000000002</v>
      </c>
      <c r="Q493" s="393">
        <v>53.912996999999997</v>
      </c>
      <c r="R493" s="399">
        <v>117.36929000000001</v>
      </c>
      <c r="S493" s="36">
        <v>56.26341</v>
      </c>
      <c r="T493" s="36">
        <v>38.482418000000003</v>
      </c>
      <c r="U493" s="393">
        <v>105.3188</v>
      </c>
    </row>
    <row r="494" spans="3:21" s="9" customFormat="1" ht="0.5" customHeight="1">
      <c r="C494" s="9" t="s">
        <v>56</v>
      </c>
      <c r="D494" s="9" t="str">
        <f t="shared" si="41"/>
        <v>Peru28.5</v>
      </c>
      <c r="E494" s="398">
        <v>28.5</v>
      </c>
      <c r="F494" s="399">
        <v>92.843558000000002</v>
      </c>
      <c r="G494" s="36">
        <v>51.742277999999999</v>
      </c>
      <c r="H494" s="36">
        <v>31.742249000000001</v>
      </c>
      <c r="I494" s="393">
        <v>73.634649999999993</v>
      </c>
      <c r="J494" s="399">
        <v>135.55301</v>
      </c>
      <c r="K494" s="36">
        <v>74.722533999999996</v>
      </c>
      <c r="L494" s="36">
        <v>62.153733000000003</v>
      </c>
      <c r="M494" s="393">
        <v>151.58253999999999</v>
      </c>
      <c r="N494" s="399">
        <v>69.428357000000005</v>
      </c>
      <c r="O494" s="36">
        <v>30.066590999999999</v>
      </c>
      <c r="P494" s="36">
        <v>22.213387999999998</v>
      </c>
      <c r="Q494" s="393">
        <v>53.987439999999999</v>
      </c>
      <c r="R494" s="399">
        <v>118.10074</v>
      </c>
      <c r="S494" s="36">
        <v>56.695501</v>
      </c>
      <c r="T494" s="36">
        <v>38.884990999999999</v>
      </c>
      <c r="U494" s="393">
        <v>106.34809</v>
      </c>
    </row>
    <row r="495" spans="3:21" s="9" customFormat="1" ht="0.5" customHeight="1">
      <c r="C495" s="9" t="s">
        <v>56</v>
      </c>
      <c r="D495" s="9" t="str">
        <f t="shared" si="41"/>
        <v>Peru29</v>
      </c>
      <c r="E495" s="398">
        <v>29</v>
      </c>
      <c r="F495" s="399">
        <v>93.341200999999998</v>
      </c>
      <c r="G495" s="36">
        <v>52.177636</v>
      </c>
      <c r="H495" s="36">
        <v>31.809507</v>
      </c>
      <c r="I495" s="393">
        <v>74.225538999999998</v>
      </c>
      <c r="J495" s="399">
        <v>137.75611000000001</v>
      </c>
      <c r="K495" s="36">
        <v>75.851391000000007</v>
      </c>
      <c r="L495" s="36">
        <v>63.002172000000002</v>
      </c>
      <c r="M495" s="393">
        <v>153.14957999999999</v>
      </c>
      <c r="N495" s="399">
        <v>69.571673000000004</v>
      </c>
      <c r="O495" s="36">
        <v>30.137471000000001</v>
      </c>
      <c r="P495" s="36">
        <v>22.484615999999999</v>
      </c>
      <c r="Q495" s="393">
        <v>54.042786</v>
      </c>
      <c r="R495" s="399">
        <v>118.80838</v>
      </c>
      <c r="S495" s="36">
        <v>57.008046999999998</v>
      </c>
      <c r="T495" s="36">
        <v>39.301909000000002</v>
      </c>
      <c r="U495" s="393">
        <v>107.50191</v>
      </c>
    </row>
    <row r="496" spans="3:21" s="9" customFormat="1" ht="0.5" customHeight="1">
      <c r="C496" s="9" t="s">
        <v>56</v>
      </c>
      <c r="D496" s="9" t="str">
        <f t="shared" si="41"/>
        <v>Peru29.5</v>
      </c>
      <c r="E496" s="398">
        <v>29.5</v>
      </c>
      <c r="F496" s="399">
        <v>93.889359999999996</v>
      </c>
      <c r="G496" s="36">
        <v>52.591693999999997</v>
      </c>
      <c r="H496" s="36">
        <v>31.877153</v>
      </c>
      <c r="I496" s="393">
        <v>74.713313999999997</v>
      </c>
      <c r="J496" s="399">
        <v>139.97772000000001</v>
      </c>
      <c r="K496" s="36">
        <v>76.958038999999999</v>
      </c>
      <c r="L496" s="36">
        <v>63.845159000000002</v>
      </c>
      <c r="M496" s="393">
        <v>155.27585999999999</v>
      </c>
      <c r="N496" s="399">
        <v>69.766740999999996</v>
      </c>
      <c r="O496" s="36">
        <v>30.210799000000002</v>
      </c>
      <c r="P496" s="36">
        <v>22.748058</v>
      </c>
      <c r="Q496" s="393">
        <v>54.110256999999997</v>
      </c>
      <c r="R496" s="399">
        <v>118.88630999999999</v>
      </c>
      <c r="S496" s="36">
        <v>57.266849000000001</v>
      </c>
      <c r="T496" s="36">
        <v>39.712839000000002</v>
      </c>
      <c r="U496" s="393">
        <v>108.71543</v>
      </c>
    </row>
    <row r="497" spans="3:21" s="9" customFormat="1" ht="0.5" customHeight="1">
      <c r="C497" s="9" t="s">
        <v>56</v>
      </c>
      <c r="D497" s="9" t="str">
        <f t="shared" si="41"/>
        <v>Peru30</v>
      </c>
      <c r="E497" s="398">
        <v>30</v>
      </c>
      <c r="F497" s="399">
        <v>94.446100999999999</v>
      </c>
      <c r="G497" s="36">
        <v>52.936906999999998</v>
      </c>
      <c r="H497" s="36">
        <v>31.950707000000001</v>
      </c>
      <c r="I497" s="393">
        <v>75.077938000000003</v>
      </c>
      <c r="J497" s="399">
        <v>141.55036999999999</v>
      </c>
      <c r="K497" s="36">
        <v>77.834129000000004</v>
      </c>
      <c r="L497" s="36">
        <v>64.630128999999997</v>
      </c>
      <c r="M497" s="393">
        <v>157.6087</v>
      </c>
      <c r="N497" s="399">
        <v>69.977678999999995</v>
      </c>
      <c r="O497" s="36">
        <v>30.246328999999999</v>
      </c>
      <c r="P497" s="36">
        <v>23.009350999999999</v>
      </c>
      <c r="Q497" s="393">
        <v>54.163352000000003</v>
      </c>
      <c r="R497" s="399">
        <v>118.97955</v>
      </c>
      <c r="S497" s="36">
        <v>57.477117999999997</v>
      </c>
      <c r="T497" s="36">
        <v>40.113990000000001</v>
      </c>
      <c r="U497" s="393">
        <v>110.0831</v>
      </c>
    </row>
    <row r="498" spans="3:21" s="9" customFormat="1" ht="0.5" customHeight="1">
      <c r="C498" s="9" t="s">
        <v>56</v>
      </c>
      <c r="D498" s="9" t="str">
        <f t="shared" si="41"/>
        <v>Peru30.5</v>
      </c>
      <c r="E498" s="398">
        <v>30.5</v>
      </c>
      <c r="F498" s="399">
        <v>94.993531000000004</v>
      </c>
      <c r="G498" s="36">
        <v>53.269986000000003</v>
      </c>
      <c r="H498" s="36">
        <v>32.028733000000003</v>
      </c>
      <c r="I498" s="393">
        <v>75.407972000000001</v>
      </c>
      <c r="J498" s="399">
        <v>143.19602</v>
      </c>
      <c r="K498" s="36">
        <v>78.705782999999997</v>
      </c>
      <c r="L498" s="36">
        <v>65.422554000000005</v>
      </c>
      <c r="M498" s="393">
        <v>160.41937999999999</v>
      </c>
      <c r="N498" s="399">
        <v>70.165453999999997</v>
      </c>
      <c r="O498" s="36">
        <v>30.261953999999999</v>
      </c>
      <c r="P498" s="36">
        <v>23.262198000000001</v>
      </c>
      <c r="Q498" s="393">
        <v>54.123505999999999</v>
      </c>
      <c r="R498" s="399">
        <v>118.91757</v>
      </c>
      <c r="S498" s="36">
        <v>57.641064</v>
      </c>
      <c r="T498" s="36">
        <v>40.524594</v>
      </c>
      <c r="U498" s="393">
        <v>111.41791000000001</v>
      </c>
    </row>
    <row r="499" spans="3:21" s="9" customFormat="1" ht="0.5" customHeight="1">
      <c r="C499" s="9" t="s">
        <v>56</v>
      </c>
      <c r="D499" s="9" t="str">
        <f t="shared" si="41"/>
        <v>Peru31</v>
      </c>
      <c r="E499" s="398">
        <v>31</v>
      </c>
      <c r="F499" s="399">
        <v>95.522248000000005</v>
      </c>
      <c r="G499" s="36">
        <v>53.564641000000002</v>
      </c>
      <c r="H499" s="36">
        <v>32.162806000000003</v>
      </c>
      <c r="I499" s="393">
        <v>75.728684000000001</v>
      </c>
      <c r="J499" s="399">
        <v>144.45813000000001</v>
      </c>
      <c r="K499" s="36">
        <v>79.338696999999996</v>
      </c>
      <c r="L499" s="36">
        <v>66.156726000000006</v>
      </c>
      <c r="M499" s="393">
        <v>163.30106000000001</v>
      </c>
      <c r="N499" s="399">
        <v>70.249893</v>
      </c>
      <c r="O499" s="36">
        <v>30.243659000000001</v>
      </c>
      <c r="P499" s="36">
        <v>23.477118999999998</v>
      </c>
      <c r="Q499" s="393">
        <v>54.075960000000002</v>
      </c>
      <c r="R499" s="399">
        <v>118.88112</v>
      </c>
      <c r="S499" s="36">
        <v>57.699314000000001</v>
      </c>
      <c r="T499" s="36">
        <v>40.972299999999997</v>
      </c>
      <c r="U499" s="393">
        <v>112.65877999999999</v>
      </c>
    </row>
    <row r="500" spans="3:21" s="9" customFormat="1" ht="0.5" customHeight="1">
      <c r="C500" s="9" t="s">
        <v>56</v>
      </c>
      <c r="D500" s="9" t="str">
        <f t="shared" si="41"/>
        <v>Peru31.5</v>
      </c>
      <c r="E500" s="398">
        <v>31.5</v>
      </c>
      <c r="F500" s="399">
        <v>95.996495999999993</v>
      </c>
      <c r="G500" s="36">
        <v>53.830551999999997</v>
      </c>
      <c r="H500" s="36">
        <v>32.308152</v>
      </c>
      <c r="I500" s="393">
        <v>76.061565999999999</v>
      </c>
      <c r="J500" s="399">
        <v>145.78037</v>
      </c>
      <c r="K500" s="36">
        <v>79.981509000000003</v>
      </c>
      <c r="L500" s="36">
        <v>66.904454000000001</v>
      </c>
      <c r="M500" s="393">
        <v>166.00773000000001</v>
      </c>
      <c r="N500" s="399">
        <v>70.321956999999998</v>
      </c>
      <c r="O500" s="36">
        <v>30.222196</v>
      </c>
      <c r="P500" s="36">
        <v>23.693612000000002</v>
      </c>
      <c r="Q500" s="393">
        <v>54.389412</v>
      </c>
      <c r="R500" s="399">
        <v>118.64570000000001</v>
      </c>
      <c r="S500" s="36">
        <v>57.706535000000002</v>
      </c>
      <c r="T500" s="36">
        <v>41.468733999999998</v>
      </c>
      <c r="U500" s="393">
        <v>113.9464</v>
      </c>
    </row>
    <row r="501" spans="3:21" s="9" customFormat="1" ht="0.5" customHeight="1">
      <c r="C501" s="9" t="s">
        <v>56</v>
      </c>
      <c r="D501" s="9" t="str">
        <f t="shared" si="41"/>
        <v>Peru32</v>
      </c>
      <c r="E501" s="398">
        <v>32</v>
      </c>
      <c r="F501" s="399">
        <v>96.476388</v>
      </c>
      <c r="G501" s="36">
        <v>53.996245999999999</v>
      </c>
      <c r="H501" s="36">
        <v>32.456671999999998</v>
      </c>
      <c r="I501" s="393">
        <v>76.472598000000005</v>
      </c>
      <c r="J501" s="399">
        <v>146.37164999999999</v>
      </c>
      <c r="K501" s="36">
        <v>80.418256</v>
      </c>
      <c r="L501" s="36">
        <v>67.692718999999997</v>
      </c>
      <c r="M501" s="393">
        <v>168.49972</v>
      </c>
      <c r="N501" s="399">
        <v>70.507343000000006</v>
      </c>
      <c r="O501" s="36">
        <v>30.214915999999999</v>
      </c>
      <c r="P501" s="36">
        <v>23.953569000000002</v>
      </c>
      <c r="Q501" s="393">
        <v>54.603516999999997</v>
      </c>
      <c r="R501" s="399">
        <v>118.40133</v>
      </c>
      <c r="S501" s="36">
        <v>57.698905000000003</v>
      </c>
      <c r="T501" s="36">
        <v>41.944389999999999</v>
      </c>
      <c r="U501" s="393">
        <v>115.24231</v>
      </c>
    </row>
    <row r="502" spans="3:21" s="9" customFormat="1" ht="0.5" customHeight="1">
      <c r="C502" s="9" t="s">
        <v>56</v>
      </c>
      <c r="D502" s="9" t="str">
        <f t="shared" si="41"/>
        <v>Peru32.5</v>
      </c>
      <c r="E502" s="398">
        <v>32.5</v>
      </c>
      <c r="F502" s="399">
        <v>96.971726000000004</v>
      </c>
      <c r="G502" s="36">
        <v>54.085189999999997</v>
      </c>
      <c r="H502" s="36">
        <v>32.596696000000001</v>
      </c>
      <c r="I502" s="393">
        <v>76.900418000000002</v>
      </c>
      <c r="J502" s="399">
        <v>146.98741000000001</v>
      </c>
      <c r="K502" s="36">
        <v>80.835020999999998</v>
      </c>
      <c r="L502" s="36">
        <v>68.489238999999998</v>
      </c>
      <c r="M502" s="393">
        <v>170.99930000000001</v>
      </c>
      <c r="N502" s="399">
        <v>70.841036000000003</v>
      </c>
      <c r="O502" s="36">
        <v>30.207778999999999</v>
      </c>
      <c r="P502" s="36">
        <v>24.225023</v>
      </c>
      <c r="Q502" s="393">
        <v>56.465674</v>
      </c>
      <c r="R502" s="399">
        <v>117.88831999999999</v>
      </c>
      <c r="S502" s="36">
        <v>57.766897999999998</v>
      </c>
      <c r="T502" s="36">
        <v>42.359991999999998</v>
      </c>
      <c r="U502" s="393">
        <v>116.502</v>
      </c>
    </row>
    <row r="503" spans="3:21" s="9" customFormat="1" ht="0.5" customHeight="1">
      <c r="C503" s="9" t="s">
        <v>56</v>
      </c>
      <c r="D503" s="9" t="str">
        <f t="shared" si="41"/>
        <v>Peru33</v>
      </c>
      <c r="E503" s="398">
        <v>33</v>
      </c>
      <c r="F503" s="399">
        <v>97.453485999999998</v>
      </c>
      <c r="G503" s="36">
        <v>54.188032</v>
      </c>
      <c r="H503" s="36">
        <v>32.751677000000001</v>
      </c>
      <c r="I503" s="393">
        <v>77.406058000000002</v>
      </c>
      <c r="J503" s="399">
        <v>146.88126</v>
      </c>
      <c r="K503" s="36">
        <v>81.116106000000002</v>
      </c>
      <c r="L503" s="36">
        <v>69.150895000000006</v>
      </c>
      <c r="M503" s="393">
        <v>173.59039000000001</v>
      </c>
      <c r="N503" s="399">
        <v>71.203145000000006</v>
      </c>
      <c r="O503" s="36">
        <v>30.204939</v>
      </c>
      <c r="P503" s="36">
        <v>24.515162</v>
      </c>
      <c r="Q503" s="393">
        <v>58.16339</v>
      </c>
      <c r="R503" s="399">
        <v>117.34295</v>
      </c>
      <c r="S503" s="36">
        <v>57.822513000000001</v>
      </c>
      <c r="T503" s="36">
        <v>42.748531</v>
      </c>
      <c r="U503" s="393">
        <v>117.60952</v>
      </c>
    </row>
    <row r="504" spans="3:21" s="9" customFormat="1" ht="0.5" customHeight="1">
      <c r="C504" s="9" t="s">
        <v>56</v>
      </c>
      <c r="D504" s="9" t="str">
        <f t="shared" si="41"/>
        <v>Peru33.5</v>
      </c>
      <c r="E504" s="398">
        <v>33.5</v>
      </c>
      <c r="F504" s="399">
        <v>98.051829999999995</v>
      </c>
      <c r="G504" s="36">
        <v>54.331242000000003</v>
      </c>
      <c r="H504" s="36">
        <v>32.917969999999997</v>
      </c>
      <c r="I504" s="393">
        <v>78.073300000000003</v>
      </c>
      <c r="J504" s="399">
        <v>146.76730000000001</v>
      </c>
      <c r="K504" s="36">
        <v>81.397205</v>
      </c>
      <c r="L504" s="36">
        <v>69.805599000000001</v>
      </c>
      <c r="M504" s="393">
        <v>175.81833</v>
      </c>
      <c r="N504" s="399">
        <v>71.455901999999995</v>
      </c>
      <c r="O504" s="36">
        <v>30.210315999999999</v>
      </c>
      <c r="P504" s="36">
        <v>24.804447</v>
      </c>
      <c r="Q504" s="393">
        <v>59.522494999999999</v>
      </c>
      <c r="R504" s="399">
        <v>117.18268999999999</v>
      </c>
      <c r="S504" s="36">
        <v>57.855170999999999</v>
      </c>
      <c r="T504" s="36">
        <v>43.136792999999997</v>
      </c>
      <c r="U504" s="393">
        <v>118.74863999999999</v>
      </c>
    </row>
    <row r="505" spans="3:21" s="9" customFormat="1" ht="0.5" customHeight="1">
      <c r="C505" s="9" t="s">
        <v>56</v>
      </c>
      <c r="D505" s="9" t="str">
        <f t="shared" si="41"/>
        <v>Peru34</v>
      </c>
      <c r="E505" s="398">
        <v>34</v>
      </c>
      <c r="F505" s="399">
        <v>98.677471999999995</v>
      </c>
      <c r="G505" s="36">
        <v>54.500165000000003</v>
      </c>
      <c r="H505" s="36">
        <v>33.090130000000002</v>
      </c>
      <c r="I505" s="393">
        <v>78.971925999999996</v>
      </c>
      <c r="J505" s="399">
        <v>146.92499000000001</v>
      </c>
      <c r="K505" s="36">
        <v>81.880947000000006</v>
      </c>
      <c r="L505" s="36">
        <v>70.506003000000007</v>
      </c>
      <c r="M505" s="393">
        <v>178.02860000000001</v>
      </c>
      <c r="N505" s="399">
        <v>71.615307000000001</v>
      </c>
      <c r="O505" s="36">
        <v>30.268079</v>
      </c>
      <c r="P505" s="36">
        <v>25.133766000000001</v>
      </c>
      <c r="Q505" s="393">
        <v>60.818703999999997</v>
      </c>
      <c r="R505" s="399">
        <v>117.01446</v>
      </c>
      <c r="S505" s="36">
        <v>57.997647000000001</v>
      </c>
      <c r="T505" s="36">
        <v>43.468232</v>
      </c>
      <c r="U505" s="393">
        <v>120.46351</v>
      </c>
    </row>
    <row r="506" spans="3:21" s="9" customFormat="1" ht="0.5" customHeight="1">
      <c r="C506" s="9" t="s">
        <v>56</v>
      </c>
      <c r="D506" s="9" t="str">
        <f t="shared" si="41"/>
        <v>Peru34.5</v>
      </c>
      <c r="E506" s="398">
        <v>34.5</v>
      </c>
      <c r="F506" s="399">
        <v>99.482298999999998</v>
      </c>
      <c r="G506" s="36">
        <v>54.677568000000001</v>
      </c>
      <c r="H506" s="36">
        <v>33.253573000000003</v>
      </c>
      <c r="I506" s="393">
        <v>80.050196999999997</v>
      </c>
      <c r="J506" s="399">
        <v>147.06939</v>
      </c>
      <c r="K506" s="36">
        <v>82.369033000000002</v>
      </c>
      <c r="L506" s="36">
        <v>71.200877000000006</v>
      </c>
      <c r="M506" s="393">
        <v>180.43006</v>
      </c>
      <c r="N506" s="399">
        <v>71.751953</v>
      </c>
      <c r="O506" s="36">
        <v>30.333596</v>
      </c>
      <c r="P506" s="36">
        <v>25.465907000000001</v>
      </c>
      <c r="Q506" s="393">
        <v>62.054935999999998</v>
      </c>
      <c r="R506" s="399">
        <v>116.79715</v>
      </c>
      <c r="S506" s="36">
        <v>58.170726000000002</v>
      </c>
      <c r="T506" s="36">
        <v>43.749876999999998</v>
      </c>
      <c r="U506" s="393">
        <v>122.20912</v>
      </c>
    </row>
    <row r="507" spans="3:21" s="9" customFormat="1" ht="0.5" customHeight="1">
      <c r="C507" s="9" t="s">
        <v>56</v>
      </c>
      <c r="D507" s="9" t="str">
        <f t="shared" ref="D507:D570" si="42">CONCATENATE(C507,E507)</f>
        <v>Peru35</v>
      </c>
      <c r="E507" s="398">
        <v>35</v>
      </c>
      <c r="F507" s="399">
        <v>100.30171</v>
      </c>
      <c r="G507" s="36">
        <v>54.820042000000001</v>
      </c>
      <c r="H507" s="36">
        <v>33.444372000000001</v>
      </c>
      <c r="I507" s="393">
        <v>81.311616999999998</v>
      </c>
      <c r="J507" s="399">
        <v>147.63929999999999</v>
      </c>
      <c r="K507" s="36">
        <v>83.052986000000004</v>
      </c>
      <c r="L507" s="36">
        <v>71.804820000000007</v>
      </c>
      <c r="M507" s="393">
        <v>182.71127999999999</v>
      </c>
      <c r="N507" s="399">
        <v>71.881056999999998</v>
      </c>
      <c r="O507" s="36">
        <v>30.396697</v>
      </c>
      <c r="P507" s="36">
        <v>25.796527000000001</v>
      </c>
      <c r="Q507" s="393">
        <v>63.474080000000001</v>
      </c>
      <c r="R507" s="399">
        <v>116.60423</v>
      </c>
      <c r="S507" s="36">
        <v>58.292254</v>
      </c>
      <c r="T507" s="36">
        <v>44.000428999999997</v>
      </c>
      <c r="U507" s="393">
        <v>123.60563</v>
      </c>
    </row>
    <row r="508" spans="3:21" s="9" customFormat="1" ht="0.5" customHeight="1">
      <c r="C508" s="9" t="s">
        <v>56</v>
      </c>
      <c r="D508" s="9" t="str">
        <f t="shared" si="42"/>
        <v>Peru35.5</v>
      </c>
      <c r="E508" s="398">
        <v>35.5</v>
      </c>
      <c r="F508" s="399">
        <v>101.04197000000001</v>
      </c>
      <c r="G508" s="36">
        <v>54.927711000000002</v>
      </c>
      <c r="H508" s="36">
        <v>33.655856</v>
      </c>
      <c r="I508" s="393">
        <v>82.606325999999996</v>
      </c>
      <c r="J508" s="399">
        <v>148.21285</v>
      </c>
      <c r="K508" s="36">
        <v>83.712020999999993</v>
      </c>
      <c r="L508" s="36">
        <v>72.410083</v>
      </c>
      <c r="M508" s="393">
        <v>184.37519</v>
      </c>
      <c r="N508" s="399">
        <v>71.958826999999999</v>
      </c>
      <c r="O508" s="36">
        <v>30.455354</v>
      </c>
      <c r="P508" s="36">
        <v>26.133603000000001</v>
      </c>
      <c r="Q508" s="393">
        <v>64.631281000000001</v>
      </c>
      <c r="R508" s="399">
        <v>116.16235</v>
      </c>
      <c r="S508" s="36">
        <v>58.377924999999998</v>
      </c>
      <c r="T508" s="36">
        <v>44.214075000000001</v>
      </c>
      <c r="U508" s="393">
        <v>124.96278</v>
      </c>
    </row>
    <row r="509" spans="3:21" s="9" customFormat="1" ht="0.5" customHeight="1">
      <c r="C509" s="9" t="s">
        <v>56</v>
      </c>
      <c r="D509" s="9" t="str">
        <f t="shared" si="42"/>
        <v>Peru36</v>
      </c>
      <c r="E509" s="398">
        <v>36</v>
      </c>
      <c r="F509" s="399">
        <v>101.77173999999999</v>
      </c>
      <c r="G509" s="36">
        <v>55.013693000000004</v>
      </c>
      <c r="H509" s="36">
        <v>33.899987000000003</v>
      </c>
      <c r="I509" s="393">
        <v>83.801432000000005</v>
      </c>
      <c r="J509" s="399">
        <v>149.01206999999999</v>
      </c>
      <c r="K509" s="36">
        <v>84.355967000000007</v>
      </c>
      <c r="L509" s="36">
        <v>73.027760000000001</v>
      </c>
      <c r="M509" s="393">
        <v>185.87415999999999</v>
      </c>
      <c r="N509" s="399">
        <v>72.023196999999996</v>
      </c>
      <c r="O509" s="36">
        <v>30.526298000000001</v>
      </c>
      <c r="P509" s="36">
        <v>26.53697</v>
      </c>
      <c r="Q509" s="393">
        <v>65.827579999999998</v>
      </c>
      <c r="R509" s="399">
        <v>115.72190000000001</v>
      </c>
      <c r="S509" s="36">
        <v>58.215463</v>
      </c>
      <c r="T509" s="36">
        <v>44.387628999999997</v>
      </c>
      <c r="U509" s="393">
        <v>125.80012000000001</v>
      </c>
    </row>
    <row r="510" spans="3:21" s="9" customFormat="1" ht="0.5" customHeight="1">
      <c r="C510" s="9" t="s">
        <v>56</v>
      </c>
      <c r="D510" s="9" t="str">
        <f t="shared" si="42"/>
        <v>Peru36.5</v>
      </c>
      <c r="E510" s="398">
        <v>36.5</v>
      </c>
      <c r="F510" s="399">
        <v>102.52159</v>
      </c>
      <c r="G510" s="36">
        <v>55.081949999999999</v>
      </c>
      <c r="H510" s="36">
        <v>34.142539999999997</v>
      </c>
      <c r="I510" s="393">
        <v>84.863888000000003</v>
      </c>
      <c r="J510" s="399">
        <v>149.79013</v>
      </c>
      <c r="K510" s="36">
        <v>84.999474000000006</v>
      </c>
      <c r="L510" s="36">
        <v>73.657156999999998</v>
      </c>
      <c r="M510" s="393">
        <v>187.33766</v>
      </c>
      <c r="N510" s="399">
        <v>72.060927000000007</v>
      </c>
      <c r="O510" s="36">
        <v>30.603701999999998</v>
      </c>
      <c r="P510" s="36">
        <v>26.951266</v>
      </c>
      <c r="Q510" s="393">
        <v>66.487724</v>
      </c>
      <c r="R510" s="399">
        <v>115.40285</v>
      </c>
      <c r="S510" s="36">
        <v>57.912272000000002</v>
      </c>
      <c r="T510" s="36">
        <v>44.494692000000001</v>
      </c>
      <c r="U510" s="393">
        <v>126.60211</v>
      </c>
    </row>
    <row r="511" spans="3:21" s="9" customFormat="1" ht="0.5" customHeight="1">
      <c r="C511" s="9" t="s">
        <v>56</v>
      </c>
      <c r="D511" s="9" t="str">
        <f t="shared" si="42"/>
        <v>Peru37</v>
      </c>
      <c r="E511" s="398">
        <v>37</v>
      </c>
      <c r="F511" s="399">
        <v>103.2663</v>
      </c>
      <c r="G511" s="36">
        <v>55.109274999999997</v>
      </c>
      <c r="H511" s="36">
        <v>34.365665999999997</v>
      </c>
      <c r="I511" s="393">
        <v>85.712995000000006</v>
      </c>
      <c r="J511" s="399">
        <v>150.35463999999999</v>
      </c>
      <c r="K511" s="36">
        <v>85.491022000000001</v>
      </c>
      <c r="L511" s="36">
        <v>74.129242000000005</v>
      </c>
      <c r="M511" s="393">
        <v>188.79255000000001</v>
      </c>
      <c r="N511" s="399">
        <v>72.062695000000005</v>
      </c>
      <c r="O511" s="36">
        <v>30.672944000000001</v>
      </c>
      <c r="P511" s="36">
        <v>27.367097999999999</v>
      </c>
      <c r="Q511" s="393">
        <v>67.136902000000006</v>
      </c>
      <c r="R511" s="399">
        <v>115.07173</v>
      </c>
      <c r="S511" s="36">
        <v>57.640638000000003</v>
      </c>
      <c r="T511" s="36">
        <v>44.540640000000003</v>
      </c>
      <c r="U511" s="393">
        <v>127.0551</v>
      </c>
    </row>
    <row r="512" spans="3:21" s="9" customFormat="1" ht="0.5" customHeight="1">
      <c r="C512" s="9" t="s">
        <v>56</v>
      </c>
      <c r="D512" s="9" t="str">
        <f t="shared" si="42"/>
        <v>Peru37.5</v>
      </c>
      <c r="E512" s="398">
        <v>37.5</v>
      </c>
      <c r="F512" s="399">
        <v>103.92828</v>
      </c>
      <c r="G512" s="36">
        <v>55.153227000000001</v>
      </c>
      <c r="H512" s="36">
        <v>34.579346999999999</v>
      </c>
      <c r="I512" s="393">
        <v>86.54983</v>
      </c>
      <c r="J512" s="399">
        <v>150.86614</v>
      </c>
      <c r="K512" s="36">
        <v>86.003591</v>
      </c>
      <c r="L512" s="36">
        <v>74.609678000000002</v>
      </c>
      <c r="M512" s="393">
        <v>189.99166</v>
      </c>
      <c r="N512" s="399">
        <v>72.003248999999997</v>
      </c>
      <c r="O512" s="36">
        <v>30.74091</v>
      </c>
      <c r="P512" s="36">
        <v>27.772086000000002</v>
      </c>
      <c r="Q512" s="393">
        <v>67.525024000000002</v>
      </c>
      <c r="R512" s="399">
        <v>114.64892999999999</v>
      </c>
      <c r="S512" s="36">
        <v>57.387611</v>
      </c>
      <c r="T512" s="36">
        <v>44.557200999999999</v>
      </c>
      <c r="U512" s="393">
        <v>127.42308</v>
      </c>
    </row>
    <row r="513" spans="3:21" s="9" customFormat="1" ht="0.5" customHeight="1">
      <c r="C513" s="9" t="s">
        <v>56</v>
      </c>
      <c r="D513" s="9" t="str">
        <f t="shared" si="42"/>
        <v>Peru38</v>
      </c>
      <c r="E513" s="398">
        <v>38</v>
      </c>
      <c r="F513" s="399">
        <v>104.59385</v>
      </c>
      <c r="G513" s="36">
        <v>55.227732000000003</v>
      </c>
      <c r="H513" s="36">
        <v>34.781647999999997</v>
      </c>
      <c r="I513" s="393">
        <v>87.547498000000004</v>
      </c>
      <c r="J513" s="399">
        <v>151.77227999999999</v>
      </c>
      <c r="K513" s="36">
        <v>86.435034000000002</v>
      </c>
      <c r="L513" s="36">
        <v>75.208928</v>
      </c>
      <c r="M513" s="393">
        <v>190.93942999999999</v>
      </c>
      <c r="N513" s="399">
        <v>71.899591000000001</v>
      </c>
      <c r="O513" s="36">
        <v>30.797892999999998</v>
      </c>
      <c r="P513" s="36">
        <v>28.139527999999999</v>
      </c>
      <c r="Q513" s="393">
        <v>67.923015000000007</v>
      </c>
      <c r="R513" s="399">
        <v>114.25311000000001</v>
      </c>
      <c r="S513" s="36">
        <v>57.180636999999997</v>
      </c>
      <c r="T513" s="36">
        <v>44.515315000000001</v>
      </c>
      <c r="U513" s="393">
        <v>127.33268</v>
      </c>
    </row>
    <row r="514" spans="3:21" s="9" customFormat="1" ht="0.5" customHeight="1">
      <c r="C514" s="9" t="s">
        <v>56</v>
      </c>
      <c r="D514" s="9" t="str">
        <f t="shared" si="42"/>
        <v>Peru38.5</v>
      </c>
      <c r="E514" s="398">
        <v>38.5</v>
      </c>
      <c r="F514" s="399">
        <v>105.27428</v>
      </c>
      <c r="G514" s="36">
        <v>55.306995999999998</v>
      </c>
      <c r="H514" s="36">
        <v>34.980452</v>
      </c>
      <c r="I514" s="393">
        <v>88.582588000000001</v>
      </c>
      <c r="J514" s="399">
        <v>152.68307999999999</v>
      </c>
      <c r="K514" s="36">
        <v>86.880788999999993</v>
      </c>
      <c r="L514" s="36">
        <v>75.813586000000001</v>
      </c>
      <c r="M514" s="393">
        <v>192.20903000000001</v>
      </c>
      <c r="N514" s="399">
        <v>71.736422000000005</v>
      </c>
      <c r="O514" s="36">
        <v>30.851527999999998</v>
      </c>
      <c r="P514" s="36">
        <v>28.504719999999999</v>
      </c>
      <c r="Q514" s="393">
        <v>67.622416999999999</v>
      </c>
      <c r="R514" s="399">
        <v>113.94324</v>
      </c>
      <c r="S514" s="36">
        <v>57.059291999999999</v>
      </c>
      <c r="T514" s="36">
        <v>44.425728999999997</v>
      </c>
      <c r="U514" s="393">
        <v>127.24673</v>
      </c>
    </row>
    <row r="515" spans="3:21" s="9" customFormat="1" ht="0.5" customHeight="1">
      <c r="C515" s="9" t="s">
        <v>56</v>
      </c>
      <c r="D515" s="9" t="str">
        <f t="shared" si="42"/>
        <v>Peru39</v>
      </c>
      <c r="E515" s="398">
        <v>39</v>
      </c>
      <c r="F515" s="399">
        <v>105.96810000000001</v>
      </c>
      <c r="G515" s="36">
        <v>55.352671999999998</v>
      </c>
      <c r="H515" s="36">
        <v>35.144385</v>
      </c>
      <c r="I515" s="393">
        <v>89.568779000000006</v>
      </c>
      <c r="J515" s="399">
        <v>153.18848</v>
      </c>
      <c r="K515" s="36">
        <v>87.421951000000007</v>
      </c>
      <c r="L515" s="36">
        <v>76.334924999999998</v>
      </c>
      <c r="M515" s="393">
        <v>193.79978</v>
      </c>
      <c r="N515" s="399">
        <v>71.625558999999996</v>
      </c>
      <c r="O515" s="36">
        <v>30.933055</v>
      </c>
      <c r="P515" s="36">
        <v>28.784089999999999</v>
      </c>
      <c r="Q515" s="393">
        <v>67.309588000000005</v>
      </c>
      <c r="R515" s="399">
        <v>113.60149</v>
      </c>
      <c r="S515" s="36">
        <v>57.042836000000001</v>
      </c>
      <c r="T515" s="36">
        <v>44.43974</v>
      </c>
      <c r="U515" s="393">
        <v>127.0226</v>
      </c>
    </row>
    <row r="516" spans="3:21" s="9" customFormat="1" ht="0.5" customHeight="1">
      <c r="C516" s="9" t="s">
        <v>56</v>
      </c>
      <c r="D516" s="9" t="str">
        <f t="shared" si="42"/>
        <v>Peru39.5</v>
      </c>
      <c r="E516" s="398">
        <v>39.5</v>
      </c>
      <c r="F516" s="399">
        <v>106.58208999999999</v>
      </c>
      <c r="G516" s="36">
        <v>55.368059000000002</v>
      </c>
      <c r="H516" s="36">
        <v>35.309641999999997</v>
      </c>
      <c r="I516" s="393">
        <v>90.509645000000006</v>
      </c>
      <c r="J516" s="399">
        <v>153.75206</v>
      </c>
      <c r="K516" s="36">
        <v>87.945870999999997</v>
      </c>
      <c r="L516" s="36">
        <v>76.855086</v>
      </c>
      <c r="M516" s="393">
        <v>195.12505999999999</v>
      </c>
      <c r="N516" s="399">
        <v>71.591766000000007</v>
      </c>
      <c r="O516" s="36">
        <v>31.025375</v>
      </c>
      <c r="P516" s="36">
        <v>29.047384999999998</v>
      </c>
      <c r="Q516" s="393">
        <v>66.723087000000007</v>
      </c>
      <c r="R516" s="399">
        <v>113.51354000000001</v>
      </c>
      <c r="S516" s="36">
        <v>57.010981000000001</v>
      </c>
      <c r="T516" s="36">
        <v>44.615724</v>
      </c>
      <c r="U516" s="393">
        <v>126.79141</v>
      </c>
    </row>
    <row r="517" spans="3:21" s="9" customFormat="1" ht="0.5" customHeight="1">
      <c r="C517" s="9" t="s">
        <v>56</v>
      </c>
      <c r="D517" s="9" t="str">
        <f t="shared" si="42"/>
        <v>Peru40</v>
      </c>
      <c r="E517" s="398">
        <v>40</v>
      </c>
      <c r="F517" s="399">
        <v>107.17228</v>
      </c>
      <c r="G517" s="36">
        <v>55.398029999999999</v>
      </c>
      <c r="H517" s="36">
        <v>35.463774999999998</v>
      </c>
      <c r="I517" s="393">
        <v>91.325372999999999</v>
      </c>
      <c r="J517" s="399">
        <v>154.05064999999999</v>
      </c>
      <c r="K517" s="36">
        <v>88.275541000000004</v>
      </c>
      <c r="L517" s="36">
        <v>77.189981000000003</v>
      </c>
      <c r="M517" s="393">
        <v>196.36498</v>
      </c>
      <c r="N517" s="399">
        <v>71.517302000000001</v>
      </c>
      <c r="O517" s="36">
        <v>31.116892</v>
      </c>
      <c r="P517" s="36">
        <v>29.230508</v>
      </c>
      <c r="Q517" s="393">
        <v>66.129239999999996</v>
      </c>
      <c r="R517" s="399">
        <v>113.42093</v>
      </c>
      <c r="S517" s="36">
        <v>56.839255000000001</v>
      </c>
      <c r="T517" s="36">
        <v>44.947204999999997</v>
      </c>
      <c r="U517" s="393">
        <v>126.52677</v>
      </c>
    </row>
    <row r="518" spans="3:21" s="9" customFormat="1" ht="0.5" customHeight="1">
      <c r="C518" s="9" t="s">
        <v>56</v>
      </c>
      <c r="D518" s="9" t="str">
        <f t="shared" si="42"/>
        <v>Peru40.5</v>
      </c>
      <c r="E518" s="398">
        <v>40.5</v>
      </c>
      <c r="F518" s="399">
        <v>107.71008</v>
      </c>
      <c r="G518" s="36">
        <v>55.384081000000002</v>
      </c>
      <c r="H518" s="36">
        <v>35.605612999999998</v>
      </c>
      <c r="I518" s="393">
        <v>91.987204000000006</v>
      </c>
      <c r="J518" s="399">
        <v>154.36391</v>
      </c>
      <c r="K518" s="36">
        <v>88.580737999999997</v>
      </c>
      <c r="L518" s="36">
        <v>77.525649000000001</v>
      </c>
      <c r="M518" s="393">
        <v>197.86686</v>
      </c>
      <c r="N518" s="399">
        <v>71.435445999999999</v>
      </c>
      <c r="O518" s="36">
        <v>31.202152999999999</v>
      </c>
      <c r="P518" s="36">
        <v>29.409597999999999</v>
      </c>
      <c r="Q518" s="393">
        <v>66.596120999999997</v>
      </c>
      <c r="R518" s="399">
        <v>113.04992</v>
      </c>
      <c r="S518" s="36">
        <v>56.689487999999997</v>
      </c>
      <c r="T518" s="36">
        <v>45.381740000000001</v>
      </c>
      <c r="U518" s="393">
        <v>126.24637</v>
      </c>
    </row>
    <row r="519" spans="3:21" s="9" customFormat="1" ht="0.5" customHeight="1">
      <c r="C519" s="9" t="s">
        <v>56</v>
      </c>
      <c r="D519" s="9" t="str">
        <f t="shared" si="42"/>
        <v>Peru41</v>
      </c>
      <c r="E519" s="398">
        <v>41</v>
      </c>
      <c r="F519" s="399">
        <v>108.22056000000001</v>
      </c>
      <c r="G519" s="36">
        <v>55.294297999999998</v>
      </c>
      <c r="H519" s="36">
        <v>35.719661000000002</v>
      </c>
      <c r="I519" s="393">
        <v>92.571815999999998</v>
      </c>
      <c r="J519" s="399">
        <v>154.46286000000001</v>
      </c>
      <c r="K519" s="36">
        <v>88.897298000000006</v>
      </c>
      <c r="L519" s="36">
        <v>77.919331</v>
      </c>
      <c r="M519" s="393">
        <v>199.36251999999999</v>
      </c>
      <c r="N519" s="399">
        <v>71.364132999999995</v>
      </c>
      <c r="O519" s="36">
        <v>31.291173000000001</v>
      </c>
      <c r="P519" s="36">
        <v>29.584177</v>
      </c>
      <c r="Q519" s="393">
        <v>67.078624000000005</v>
      </c>
      <c r="R519" s="399">
        <v>112.69267000000001</v>
      </c>
      <c r="S519" s="36">
        <v>56.515303000000003</v>
      </c>
      <c r="T519" s="36">
        <v>45.811951999999998</v>
      </c>
      <c r="U519" s="393">
        <v>126.31699999999999</v>
      </c>
    </row>
    <row r="520" spans="3:21" s="9" customFormat="1" ht="0.5" customHeight="1">
      <c r="C520" s="9" t="s">
        <v>56</v>
      </c>
      <c r="D520" s="9" t="str">
        <f t="shared" si="42"/>
        <v>Peru41.5</v>
      </c>
      <c r="E520" s="398">
        <v>41.5</v>
      </c>
      <c r="F520" s="399">
        <v>108.62169</v>
      </c>
      <c r="G520" s="36">
        <v>55.229815000000002</v>
      </c>
      <c r="H520" s="36">
        <v>35.839934999999997</v>
      </c>
      <c r="I520" s="393">
        <v>93.134687999999997</v>
      </c>
      <c r="J520" s="399">
        <v>154.56744</v>
      </c>
      <c r="K520" s="36">
        <v>89.217890999999995</v>
      </c>
      <c r="L520" s="36">
        <v>78.312574999999995</v>
      </c>
      <c r="M520" s="393">
        <v>200.47792999999999</v>
      </c>
      <c r="N520" s="399">
        <v>71.341093000000001</v>
      </c>
      <c r="O520" s="36">
        <v>31.37715</v>
      </c>
      <c r="P520" s="36">
        <v>29.753706999999999</v>
      </c>
      <c r="Q520" s="393">
        <v>67.503865000000005</v>
      </c>
      <c r="R520" s="399">
        <v>112.18716999999999</v>
      </c>
      <c r="S520" s="36">
        <v>56.292060999999997</v>
      </c>
      <c r="T520" s="36">
        <v>46.278396000000001</v>
      </c>
      <c r="U520" s="393">
        <v>126.44258000000001</v>
      </c>
    </row>
    <row r="521" spans="3:21" s="9" customFormat="1" ht="0.5" customHeight="1">
      <c r="C521" s="9" t="s">
        <v>56</v>
      </c>
      <c r="D521" s="9" t="str">
        <f t="shared" si="42"/>
        <v>Peru42</v>
      </c>
      <c r="E521" s="398">
        <v>42</v>
      </c>
      <c r="F521" s="399">
        <v>109.04275</v>
      </c>
      <c r="G521" s="36">
        <v>55.227294999999998</v>
      </c>
      <c r="H521" s="36">
        <v>35.999391000000003</v>
      </c>
      <c r="I521" s="393">
        <v>93.616237999999996</v>
      </c>
      <c r="J521" s="399">
        <v>154.25210000000001</v>
      </c>
      <c r="K521" s="36">
        <v>89.645044999999996</v>
      </c>
      <c r="L521" s="36">
        <v>78.689363999999998</v>
      </c>
      <c r="M521" s="393">
        <v>201.65751</v>
      </c>
      <c r="N521" s="399">
        <v>71.300617000000003</v>
      </c>
      <c r="O521" s="36">
        <v>31.421997000000001</v>
      </c>
      <c r="P521" s="36">
        <v>29.792902000000002</v>
      </c>
      <c r="Q521" s="393">
        <v>67.973505000000003</v>
      </c>
      <c r="R521" s="399">
        <v>111.69526</v>
      </c>
      <c r="S521" s="36">
        <v>56.071207999999999</v>
      </c>
      <c r="T521" s="36">
        <v>46.737127999999998</v>
      </c>
      <c r="U521" s="393">
        <v>126.65572</v>
      </c>
    </row>
    <row r="522" spans="3:21" s="9" customFormat="1" ht="0.5" customHeight="1">
      <c r="C522" s="9" t="s">
        <v>56</v>
      </c>
      <c r="D522" s="9" t="str">
        <f t="shared" si="42"/>
        <v>Peru42.5</v>
      </c>
      <c r="E522" s="398">
        <v>42.5</v>
      </c>
      <c r="F522" s="399">
        <v>109.54004999999999</v>
      </c>
      <c r="G522" s="36">
        <v>55.271214000000001</v>
      </c>
      <c r="H522" s="36">
        <v>36.157493000000002</v>
      </c>
      <c r="I522" s="393">
        <v>93.962838000000005</v>
      </c>
      <c r="J522" s="399">
        <v>153.9408</v>
      </c>
      <c r="K522" s="36">
        <v>90.087688999999997</v>
      </c>
      <c r="L522" s="36">
        <v>79.069644999999994</v>
      </c>
      <c r="M522" s="393">
        <v>203.59777</v>
      </c>
      <c r="N522" s="399">
        <v>71.109652999999994</v>
      </c>
      <c r="O522" s="36">
        <v>31.458696</v>
      </c>
      <c r="P522" s="36">
        <v>29.816669999999998</v>
      </c>
      <c r="Q522" s="393">
        <v>67.260507000000004</v>
      </c>
      <c r="R522" s="399">
        <v>111.54599</v>
      </c>
      <c r="S522" s="36">
        <v>55.699060000000003</v>
      </c>
      <c r="T522" s="36">
        <v>47.138455</v>
      </c>
      <c r="U522" s="393">
        <v>126.83924</v>
      </c>
    </row>
    <row r="523" spans="3:21" s="9" customFormat="1" ht="0.5" customHeight="1">
      <c r="C523" s="9" t="s">
        <v>56</v>
      </c>
      <c r="D523" s="9" t="str">
        <f t="shared" si="42"/>
        <v>Peru43</v>
      </c>
      <c r="E523" s="398">
        <v>43</v>
      </c>
      <c r="F523" s="399">
        <v>110.02118</v>
      </c>
      <c r="G523" s="36">
        <v>55.344833999999999</v>
      </c>
      <c r="H523" s="36">
        <v>36.280161999999997</v>
      </c>
      <c r="I523" s="393">
        <v>94.154313999999999</v>
      </c>
      <c r="J523" s="399">
        <v>153.70750000000001</v>
      </c>
      <c r="K523" s="36">
        <v>90.404038999999997</v>
      </c>
      <c r="L523" s="36">
        <v>79.412548000000001</v>
      </c>
      <c r="M523" s="393">
        <v>205.66592</v>
      </c>
      <c r="N523" s="399">
        <v>70.941011000000003</v>
      </c>
      <c r="O523" s="36">
        <v>31.483381000000001</v>
      </c>
      <c r="P523" s="36">
        <v>29.803652</v>
      </c>
      <c r="Q523" s="393">
        <v>66.521035999999995</v>
      </c>
      <c r="R523" s="399">
        <v>111.40214</v>
      </c>
      <c r="S523" s="36">
        <v>55.221029000000001</v>
      </c>
      <c r="T523" s="36">
        <v>47.496727999999997</v>
      </c>
      <c r="U523" s="393">
        <v>126.99108</v>
      </c>
    </row>
    <row r="524" spans="3:21" s="9" customFormat="1" ht="0.5" customHeight="1">
      <c r="C524" s="9" t="s">
        <v>56</v>
      </c>
      <c r="D524" s="9" t="str">
        <f t="shared" si="42"/>
        <v>Peru43.5</v>
      </c>
      <c r="E524" s="398">
        <v>43.5</v>
      </c>
      <c r="F524" s="399">
        <v>110.27803</v>
      </c>
      <c r="G524" s="36">
        <v>55.409636999999996</v>
      </c>
      <c r="H524" s="36">
        <v>36.408102</v>
      </c>
      <c r="I524" s="393">
        <v>94.266324999999995</v>
      </c>
      <c r="J524" s="399">
        <v>153.48163</v>
      </c>
      <c r="K524" s="36">
        <v>90.723115000000007</v>
      </c>
      <c r="L524" s="36">
        <v>79.765912</v>
      </c>
      <c r="M524" s="393">
        <v>207.73635999999999</v>
      </c>
      <c r="N524" s="399">
        <v>70.786124000000001</v>
      </c>
      <c r="O524" s="36">
        <v>31.504389</v>
      </c>
      <c r="P524" s="36">
        <v>29.784016000000001</v>
      </c>
      <c r="Q524" s="393">
        <v>65.919925000000006</v>
      </c>
      <c r="R524" s="399">
        <v>111.45335</v>
      </c>
      <c r="S524" s="36">
        <v>54.809075</v>
      </c>
      <c r="T524" s="36">
        <v>47.811062999999997</v>
      </c>
      <c r="U524" s="393">
        <v>127.13449</v>
      </c>
    </row>
    <row r="525" spans="3:21" s="9" customFormat="1" ht="0.5" customHeight="1">
      <c r="C525" s="9" t="s">
        <v>56</v>
      </c>
      <c r="D525" s="9" t="str">
        <f t="shared" si="42"/>
        <v>Peru44</v>
      </c>
      <c r="E525" s="398">
        <v>44</v>
      </c>
      <c r="F525" s="399">
        <v>110.52196000000001</v>
      </c>
      <c r="G525" s="36">
        <v>55.445636</v>
      </c>
      <c r="H525" s="36">
        <v>36.510610999999997</v>
      </c>
      <c r="I525" s="393">
        <v>94.374415999999997</v>
      </c>
      <c r="J525" s="399">
        <v>153.30181999999999</v>
      </c>
      <c r="K525" s="36">
        <v>90.858233999999996</v>
      </c>
      <c r="L525" s="36">
        <v>80.118512999999993</v>
      </c>
      <c r="M525" s="393">
        <v>209.9102</v>
      </c>
      <c r="N525" s="399">
        <v>70.646023999999997</v>
      </c>
      <c r="O525" s="36">
        <v>31.497320999999999</v>
      </c>
      <c r="P525" s="36">
        <v>29.725921</v>
      </c>
      <c r="Q525" s="393">
        <v>65.329830999999999</v>
      </c>
      <c r="R525" s="399">
        <v>111.47002000000001</v>
      </c>
      <c r="S525" s="36">
        <v>54.573625</v>
      </c>
      <c r="T525" s="36">
        <v>48.021161999999997</v>
      </c>
      <c r="U525" s="393">
        <v>127.44846</v>
      </c>
    </row>
    <row r="526" spans="3:21" s="9" customFormat="1" ht="0.5" customHeight="1">
      <c r="C526" s="9" t="s">
        <v>56</v>
      </c>
      <c r="D526" s="9" t="str">
        <f t="shared" si="42"/>
        <v>Peru44.5</v>
      </c>
      <c r="E526" s="398">
        <v>44.5</v>
      </c>
      <c r="F526" s="399">
        <v>110.76743999999999</v>
      </c>
      <c r="G526" s="36">
        <v>55.480117</v>
      </c>
      <c r="H526" s="36">
        <v>36.597845999999997</v>
      </c>
      <c r="I526" s="393">
        <v>94.445048</v>
      </c>
      <c r="J526" s="399">
        <v>153.11824999999999</v>
      </c>
      <c r="K526" s="36">
        <v>90.979478999999998</v>
      </c>
      <c r="L526" s="36">
        <v>80.472170000000006</v>
      </c>
      <c r="M526" s="393">
        <v>211.91628</v>
      </c>
      <c r="N526" s="399">
        <v>70.489461000000006</v>
      </c>
      <c r="O526" s="36">
        <v>31.480295000000002</v>
      </c>
      <c r="P526" s="36">
        <v>29.671474</v>
      </c>
      <c r="Q526" s="393">
        <v>64.308678999999998</v>
      </c>
      <c r="R526" s="399">
        <v>111.76314000000001</v>
      </c>
      <c r="S526" s="36">
        <v>54.515365000000003</v>
      </c>
      <c r="T526" s="36">
        <v>48.106197000000002</v>
      </c>
      <c r="U526" s="393">
        <v>127.84381</v>
      </c>
    </row>
    <row r="527" spans="3:21" s="9" customFormat="1" ht="0.5" customHeight="1">
      <c r="C527" s="9" t="s">
        <v>56</v>
      </c>
      <c r="D527" s="9" t="str">
        <f t="shared" si="42"/>
        <v>Peru45</v>
      </c>
      <c r="E527" s="398">
        <v>45</v>
      </c>
      <c r="F527" s="399">
        <v>111.02713</v>
      </c>
      <c r="G527" s="36">
        <v>55.533456999999999</v>
      </c>
      <c r="H527" s="36">
        <v>36.713912000000001</v>
      </c>
      <c r="I527" s="393">
        <v>94.492502000000002</v>
      </c>
      <c r="J527" s="399">
        <v>153.54151999999999</v>
      </c>
      <c r="K527" s="36">
        <v>91.087492999999995</v>
      </c>
      <c r="L527" s="36">
        <v>80.767812000000006</v>
      </c>
      <c r="M527" s="393">
        <v>213.63387</v>
      </c>
      <c r="N527" s="399">
        <v>70.219707999999997</v>
      </c>
      <c r="O527" s="36">
        <v>31.460861000000001</v>
      </c>
      <c r="P527" s="36">
        <v>29.633434000000001</v>
      </c>
      <c r="Q527" s="393">
        <v>63.308601000000003</v>
      </c>
      <c r="R527" s="399">
        <v>112.03113</v>
      </c>
      <c r="S527" s="36">
        <v>54.804023000000001</v>
      </c>
      <c r="T527" s="36">
        <v>48.100003000000001</v>
      </c>
      <c r="U527" s="393">
        <v>128.62726000000001</v>
      </c>
    </row>
    <row r="528" spans="3:21" s="9" customFormat="1" ht="0.5" customHeight="1">
      <c r="C528" s="9" t="s">
        <v>56</v>
      </c>
      <c r="D528" s="9" t="str">
        <f t="shared" si="42"/>
        <v>Peru45.5</v>
      </c>
      <c r="E528" s="398">
        <v>45.5</v>
      </c>
      <c r="F528" s="399">
        <v>111.3378</v>
      </c>
      <c r="G528" s="36">
        <v>55.584712000000003</v>
      </c>
      <c r="H528" s="36">
        <v>36.835551000000002</v>
      </c>
      <c r="I528" s="393">
        <v>94.463196999999994</v>
      </c>
      <c r="J528" s="399">
        <v>153.93253000000001</v>
      </c>
      <c r="K528" s="36">
        <v>91.195514000000003</v>
      </c>
      <c r="L528" s="36">
        <v>81.066683999999995</v>
      </c>
      <c r="M528" s="393">
        <v>214.46635000000001</v>
      </c>
      <c r="N528" s="399">
        <v>69.901756000000006</v>
      </c>
      <c r="O528" s="36">
        <v>31.452811000000001</v>
      </c>
      <c r="P528" s="36">
        <v>29.592925000000001</v>
      </c>
      <c r="Q528" s="393">
        <v>62.391716000000002</v>
      </c>
      <c r="R528" s="399">
        <v>112.20302</v>
      </c>
      <c r="S528" s="36">
        <v>55.342444</v>
      </c>
      <c r="T528" s="36">
        <v>48.002059000000003</v>
      </c>
      <c r="U528" s="393">
        <v>129.40849</v>
      </c>
    </row>
    <row r="529" spans="3:21" s="9" customFormat="1" ht="0.5" customHeight="1">
      <c r="C529" s="9" t="s">
        <v>56</v>
      </c>
      <c r="D529" s="9" t="str">
        <f t="shared" si="42"/>
        <v>Peru46</v>
      </c>
      <c r="E529" s="398">
        <v>46</v>
      </c>
      <c r="F529" s="399">
        <v>111.64397</v>
      </c>
      <c r="G529" s="36">
        <v>55.644787999999998</v>
      </c>
      <c r="H529" s="36">
        <v>36.878647000000001</v>
      </c>
      <c r="I529" s="393">
        <v>94.306923999999995</v>
      </c>
      <c r="J529" s="399">
        <v>153.8357</v>
      </c>
      <c r="K529" s="36">
        <v>91.652244999999994</v>
      </c>
      <c r="L529" s="36">
        <v>81.286834999999996</v>
      </c>
      <c r="M529" s="393">
        <v>214.99717999999999</v>
      </c>
      <c r="N529" s="399">
        <v>69.625906999999998</v>
      </c>
      <c r="O529" s="36">
        <v>31.454063999999999</v>
      </c>
      <c r="P529" s="36">
        <v>29.516718000000001</v>
      </c>
      <c r="Q529" s="393">
        <v>61.491098999999998</v>
      </c>
      <c r="R529" s="399">
        <v>112.46013000000001</v>
      </c>
      <c r="S529" s="36">
        <v>56.167803999999997</v>
      </c>
      <c r="T529" s="36">
        <v>47.865170999999997</v>
      </c>
      <c r="U529" s="393">
        <v>129.72229999999999</v>
      </c>
    </row>
    <row r="530" spans="3:21" s="9" customFormat="1" ht="0.5" customHeight="1">
      <c r="C530" s="9" t="s">
        <v>56</v>
      </c>
      <c r="D530" s="9" t="str">
        <f t="shared" si="42"/>
        <v>Peru46.5</v>
      </c>
      <c r="E530" s="398">
        <v>46.5</v>
      </c>
      <c r="F530" s="399">
        <v>112.03428</v>
      </c>
      <c r="G530" s="36">
        <v>55.720773000000001</v>
      </c>
      <c r="H530" s="36">
        <v>36.910967999999997</v>
      </c>
      <c r="I530" s="393">
        <v>94.056482000000003</v>
      </c>
      <c r="J530" s="399">
        <v>153.71440000000001</v>
      </c>
      <c r="K530" s="36">
        <v>92.143159999999995</v>
      </c>
      <c r="L530" s="36">
        <v>81.494725000000003</v>
      </c>
      <c r="M530" s="393">
        <v>215.02270999999999</v>
      </c>
      <c r="N530" s="399">
        <v>69.461291000000003</v>
      </c>
      <c r="O530" s="36">
        <v>31.4422</v>
      </c>
      <c r="P530" s="36">
        <v>29.442305000000001</v>
      </c>
      <c r="Q530" s="393">
        <v>60.093879000000001</v>
      </c>
      <c r="R530" s="399">
        <v>113.02758</v>
      </c>
      <c r="S530" s="36">
        <v>57.095958000000003</v>
      </c>
      <c r="T530" s="36">
        <v>47.629733000000002</v>
      </c>
      <c r="U530" s="393">
        <v>129.96906999999999</v>
      </c>
    </row>
    <row r="531" spans="3:21" s="9" customFormat="1" ht="0.5" customHeight="1">
      <c r="C531" s="9" t="s">
        <v>56</v>
      </c>
      <c r="D531" s="9" t="str">
        <f t="shared" si="42"/>
        <v>Peru47</v>
      </c>
      <c r="E531" s="398">
        <v>47</v>
      </c>
      <c r="F531" s="399">
        <v>112.39896</v>
      </c>
      <c r="G531" s="36">
        <v>55.777168000000003</v>
      </c>
      <c r="H531" s="36">
        <v>36.911118000000002</v>
      </c>
      <c r="I531" s="393">
        <v>93.851400999999996</v>
      </c>
      <c r="J531" s="399">
        <v>153.96627000000001</v>
      </c>
      <c r="K531" s="36">
        <v>92.861430999999996</v>
      </c>
      <c r="L531" s="36">
        <v>81.627082999999999</v>
      </c>
      <c r="M531" s="393">
        <v>214.64762999999999</v>
      </c>
      <c r="N531" s="399">
        <v>69.354952999999995</v>
      </c>
      <c r="O531" s="36">
        <v>31.379010000000001</v>
      </c>
      <c r="P531" s="36">
        <v>29.328496000000001</v>
      </c>
      <c r="Q531" s="393">
        <v>58.690530000000003</v>
      </c>
      <c r="R531" s="399">
        <v>113.59726000000001</v>
      </c>
      <c r="S531" s="36">
        <v>58.087916999999997</v>
      </c>
      <c r="T531" s="36">
        <v>47.287464</v>
      </c>
      <c r="U531" s="393">
        <v>130.18755999999999</v>
      </c>
    </row>
    <row r="532" spans="3:21" s="9" customFormat="1" ht="0.5" customHeight="1">
      <c r="C532" s="9" t="s">
        <v>56</v>
      </c>
      <c r="D532" s="9" t="str">
        <f t="shared" si="42"/>
        <v>Peru47.5</v>
      </c>
      <c r="E532" s="398">
        <v>47.5</v>
      </c>
      <c r="F532" s="399">
        <v>112.5474</v>
      </c>
      <c r="G532" s="36">
        <v>55.779944</v>
      </c>
      <c r="H532" s="36">
        <v>36.902728000000003</v>
      </c>
      <c r="I532" s="393">
        <v>93.705875000000006</v>
      </c>
      <c r="J532" s="399">
        <v>154.22398999999999</v>
      </c>
      <c r="K532" s="36">
        <v>93.538293999999993</v>
      </c>
      <c r="L532" s="36">
        <v>81.768345999999994</v>
      </c>
      <c r="M532" s="393">
        <v>214.26474999999999</v>
      </c>
      <c r="N532" s="399">
        <v>69.265882000000005</v>
      </c>
      <c r="O532" s="36">
        <v>31.309277999999999</v>
      </c>
      <c r="P532" s="36">
        <v>29.198823999999998</v>
      </c>
      <c r="Q532" s="393">
        <v>57.59346</v>
      </c>
      <c r="R532" s="399">
        <v>114.60598</v>
      </c>
      <c r="S532" s="36">
        <v>59.041727000000002</v>
      </c>
      <c r="T532" s="36">
        <v>47.000286000000003</v>
      </c>
      <c r="U532" s="393">
        <v>130.43007</v>
      </c>
    </row>
    <row r="533" spans="3:21" s="9" customFormat="1" ht="0.5" customHeight="1">
      <c r="C533" s="9" t="s">
        <v>56</v>
      </c>
      <c r="D533" s="9" t="str">
        <f t="shared" si="42"/>
        <v>Peru48</v>
      </c>
      <c r="E533" s="398">
        <v>48</v>
      </c>
      <c r="F533" s="399">
        <v>112.71257</v>
      </c>
      <c r="G533" s="36">
        <v>55.711886</v>
      </c>
      <c r="H533" s="36">
        <v>36.827979999999997</v>
      </c>
      <c r="I533" s="393">
        <v>93.613398000000004</v>
      </c>
      <c r="J533" s="399">
        <v>154.66643999999999</v>
      </c>
      <c r="K533" s="36">
        <v>94.138909999999996</v>
      </c>
      <c r="L533" s="36">
        <v>81.993592000000007</v>
      </c>
      <c r="M533" s="393">
        <v>214.35587000000001</v>
      </c>
      <c r="N533" s="399">
        <v>69.184515000000005</v>
      </c>
      <c r="O533" s="36">
        <v>31.224684</v>
      </c>
      <c r="P533" s="36">
        <v>28.985665999999998</v>
      </c>
      <c r="Q533" s="393">
        <v>56.396089000000003</v>
      </c>
      <c r="R533" s="399">
        <v>115.49487000000001</v>
      </c>
      <c r="S533" s="36">
        <v>59.765667000000001</v>
      </c>
      <c r="T533" s="36">
        <v>46.751173000000001</v>
      </c>
      <c r="U533" s="393">
        <v>130.24051</v>
      </c>
    </row>
    <row r="534" spans="3:21" s="9" customFormat="1" ht="0.5" customHeight="1">
      <c r="C534" s="9" t="s">
        <v>56</v>
      </c>
      <c r="D534" s="9" t="str">
        <f t="shared" si="42"/>
        <v>Peru48.5</v>
      </c>
      <c r="E534" s="398">
        <v>48.5</v>
      </c>
      <c r="F534" s="399">
        <v>112.92888000000001</v>
      </c>
      <c r="G534" s="36">
        <v>55.628193000000003</v>
      </c>
      <c r="H534" s="36">
        <v>36.737453000000002</v>
      </c>
      <c r="I534" s="393">
        <v>93.590325000000007</v>
      </c>
      <c r="J534" s="399">
        <v>155.11788000000001</v>
      </c>
      <c r="K534" s="36">
        <v>94.720816999999997</v>
      </c>
      <c r="L534" s="36">
        <v>82.224248000000003</v>
      </c>
      <c r="M534" s="393">
        <v>214.42731000000001</v>
      </c>
      <c r="N534" s="399">
        <v>69.124892000000003</v>
      </c>
      <c r="O534" s="36">
        <v>31.127144000000001</v>
      </c>
      <c r="P534" s="36">
        <v>28.762301000000001</v>
      </c>
      <c r="Q534" s="393">
        <v>55.808912999999997</v>
      </c>
      <c r="R534" s="399">
        <v>116.31288000000001</v>
      </c>
      <c r="S534" s="36">
        <v>60.320939000000003</v>
      </c>
      <c r="T534" s="36">
        <v>46.593556999999997</v>
      </c>
      <c r="U534" s="393">
        <v>130.06066000000001</v>
      </c>
    </row>
    <row r="535" spans="3:21" s="9" customFormat="1" ht="0.5" customHeight="1">
      <c r="C535" s="9" t="s">
        <v>56</v>
      </c>
      <c r="D535" s="9" t="str">
        <f t="shared" si="42"/>
        <v>Peru49</v>
      </c>
      <c r="E535" s="398">
        <v>49</v>
      </c>
      <c r="F535" s="399">
        <v>113.13214000000001</v>
      </c>
      <c r="G535" s="36">
        <v>55.533060999999996</v>
      </c>
      <c r="H535" s="36">
        <v>36.556170999999999</v>
      </c>
      <c r="I535" s="393">
        <v>93.495587</v>
      </c>
      <c r="J535" s="399">
        <v>156.10172</v>
      </c>
      <c r="K535" s="36">
        <v>95.121673999999999</v>
      </c>
      <c r="L535" s="36">
        <v>82.331581999999997</v>
      </c>
      <c r="M535" s="393">
        <v>214.09472</v>
      </c>
      <c r="N535" s="399">
        <v>69.068940999999995</v>
      </c>
      <c r="O535" s="36">
        <v>30.992274999999999</v>
      </c>
      <c r="P535" s="36">
        <v>28.506529</v>
      </c>
      <c r="Q535" s="393">
        <v>55.188716999999997</v>
      </c>
      <c r="R535" s="399">
        <v>117.11920000000001</v>
      </c>
      <c r="S535" s="36">
        <v>60.825868999999997</v>
      </c>
      <c r="T535" s="36">
        <v>46.499862</v>
      </c>
      <c r="U535" s="393">
        <v>129.67622</v>
      </c>
    </row>
    <row r="536" spans="3:21" s="9" customFormat="1" ht="0.5" customHeight="1">
      <c r="C536" s="9" t="s">
        <v>56</v>
      </c>
      <c r="D536" s="9" t="str">
        <f t="shared" si="42"/>
        <v>Peru49.5</v>
      </c>
      <c r="E536" s="398">
        <v>49.5</v>
      </c>
      <c r="F536" s="399">
        <v>113.17184</v>
      </c>
      <c r="G536" s="36">
        <v>55.416823999999998</v>
      </c>
      <c r="H536" s="36">
        <v>36.362783</v>
      </c>
      <c r="I536" s="393">
        <v>93.301850000000002</v>
      </c>
      <c r="J536" s="399">
        <v>157.04534000000001</v>
      </c>
      <c r="K536" s="36">
        <v>95.562982000000005</v>
      </c>
      <c r="L536" s="36">
        <v>82.438445000000002</v>
      </c>
      <c r="M536" s="393">
        <v>212.99548999999999</v>
      </c>
      <c r="N536" s="399">
        <v>69.175917999999996</v>
      </c>
      <c r="O536" s="36">
        <v>30.855053000000002</v>
      </c>
      <c r="P536" s="36">
        <v>28.259606999999999</v>
      </c>
      <c r="Q536" s="393">
        <v>54.990779000000003</v>
      </c>
      <c r="R536" s="399">
        <v>117.56574999999999</v>
      </c>
      <c r="S536" s="36">
        <v>61.332062999999998</v>
      </c>
      <c r="T536" s="36">
        <v>46.410559999999997</v>
      </c>
      <c r="U536" s="393">
        <v>129.29767000000001</v>
      </c>
    </row>
    <row r="537" spans="3:21" s="9" customFormat="1" ht="0.5" customHeight="1">
      <c r="C537" s="9" t="s">
        <v>56</v>
      </c>
      <c r="D537" s="9" t="str">
        <f t="shared" si="42"/>
        <v>Peru50</v>
      </c>
      <c r="E537" s="398">
        <v>50</v>
      </c>
      <c r="F537" s="399">
        <v>113.20502999999999</v>
      </c>
      <c r="G537" s="36">
        <v>55.177956000000002</v>
      </c>
      <c r="H537" s="36">
        <v>36.079495999999999</v>
      </c>
      <c r="I537" s="393">
        <v>92.953745999999995</v>
      </c>
      <c r="J537" s="399">
        <v>158.39965000000001</v>
      </c>
      <c r="K537" s="36">
        <v>96.169308000000001</v>
      </c>
      <c r="L537" s="36">
        <v>82.299053000000001</v>
      </c>
      <c r="M537" s="393">
        <v>211.68475000000001</v>
      </c>
      <c r="N537" s="399">
        <v>69.393486999999993</v>
      </c>
      <c r="O537" s="36">
        <v>30.713608000000001</v>
      </c>
      <c r="P537" s="36">
        <v>28.036356000000001</v>
      </c>
      <c r="Q537" s="393">
        <v>54.792901000000001</v>
      </c>
      <c r="R537" s="399">
        <v>118.05425</v>
      </c>
      <c r="S537" s="36">
        <v>61.542524</v>
      </c>
      <c r="T537" s="36">
        <v>46.347983999999997</v>
      </c>
      <c r="U537" s="393">
        <v>127.83396</v>
      </c>
    </row>
    <row r="538" spans="3:21" s="9" customFormat="1" ht="0.5" customHeight="1">
      <c r="C538" s="9" t="s">
        <v>56</v>
      </c>
      <c r="D538" s="9" t="str">
        <f t="shared" si="42"/>
        <v>Peru50.5</v>
      </c>
      <c r="E538" s="398">
        <v>50.5</v>
      </c>
      <c r="F538" s="399">
        <v>113.24538</v>
      </c>
      <c r="G538" s="36">
        <v>54.874676999999998</v>
      </c>
      <c r="H538" s="36">
        <v>35.787545000000001</v>
      </c>
      <c r="I538" s="393">
        <v>92.495414999999994</v>
      </c>
      <c r="J538" s="399">
        <v>159.70935</v>
      </c>
      <c r="K538" s="36">
        <v>96.702465000000004</v>
      </c>
      <c r="L538" s="36">
        <v>82.178707000000003</v>
      </c>
      <c r="M538" s="393">
        <v>209.72</v>
      </c>
      <c r="N538" s="399">
        <v>69.612101999999993</v>
      </c>
      <c r="O538" s="36">
        <v>30.570958000000001</v>
      </c>
      <c r="P538" s="36">
        <v>27.803194000000001</v>
      </c>
      <c r="Q538" s="393">
        <v>54.678458999999997</v>
      </c>
      <c r="R538" s="399">
        <v>118.35608000000001</v>
      </c>
      <c r="S538" s="36">
        <v>61.572491999999997</v>
      </c>
      <c r="T538" s="36">
        <v>46.283144</v>
      </c>
      <c r="U538" s="393">
        <v>126.26458</v>
      </c>
    </row>
    <row r="539" spans="3:21" s="9" customFormat="1" ht="0.5" customHeight="1">
      <c r="C539" s="9" t="s">
        <v>56</v>
      </c>
      <c r="D539" s="9" t="str">
        <f t="shared" si="42"/>
        <v>Peru51</v>
      </c>
      <c r="E539" s="398">
        <v>51</v>
      </c>
      <c r="F539" s="399">
        <v>113.28292999999999</v>
      </c>
      <c r="G539" s="36">
        <v>54.615496999999998</v>
      </c>
      <c r="H539" s="36">
        <v>35.519437000000003</v>
      </c>
      <c r="I539" s="393">
        <v>92.134448000000006</v>
      </c>
      <c r="J539" s="399">
        <v>161.25156000000001</v>
      </c>
      <c r="K539" s="36">
        <v>96.443673000000004</v>
      </c>
      <c r="L539" s="36">
        <v>81.846653000000003</v>
      </c>
      <c r="M539" s="393">
        <v>207.32402999999999</v>
      </c>
      <c r="N539" s="399">
        <v>69.869915000000006</v>
      </c>
      <c r="O539" s="36">
        <v>30.435604000000001</v>
      </c>
      <c r="P539" s="36">
        <v>27.524232999999999</v>
      </c>
      <c r="Q539" s="393">
        <v>54.574314999999999</v>
      </c>
      <c r="R539" s="399">
        <v>118.67025</v>
      </c>
      <c r="S539" s="36">
        <v>61.494776000000002</v>
      </c>
      <c r="T539" s="36">
        <v>46.221896999999998</v>
      </c>
      <c r="U539" s="393">
        <v>124.22923</v>
      </c>
    </row>
    <row r="540" spans="3:21" s="9" customFormat="1" ht="0.5" customHeight="1">
      <c r="C540" s="9" t="s">
        <v>56</v>
      </c>
      <c r="D540" s="9" t="str">
        <f t="shared" si="42"/>
        <v>Peru51.5</v>
      </c>
      <c r="E540" s="398">
        <v>51.5</v>
      </c>
      <c r="F540" s="399">
        <v>113.35386</v>
      </c>
      <c r="G540" s="36">
        <v>54.379688999999999</v>
      </c>
      <c r="H540" s="36">
        <v>35.257793999999997</v>
      </c>
      <c r="I540" s="393">
        <v>91.836933999999999</v>
      </c>
      <c r="J540" s="399">
        <v>162.78238999999999</v>
      </c>
      <c r="K540" s="36">
        <v>96.202207000000001</v>
      </c>
      <c r="L540" s="36">
        <v>81.530991</v>
      </c>
      <c r="M540" s="393">
        <v>204.45885999999999</v>
      </c>
      <c r="N540" s="399">
        <v>70.222718</v>
      </c>
      <c r="O540" s="36">
        <v>30.298293000000001</v>
      </c>
      <c r="P540" s="36">
        <v>27.244250000000001</v>
      </c>
      <c r="Q540" s="393">
        <v>54.596254000000002</v>
      </c>
      <c r="R540" s="399">
        <v>118.40564999999999</v>
      </c>
      <c r="S540" s="36">
        <v>61.450927999999998</v>
      </c>
      <c r="T540" s="36">
        <v>46.184820999999999</v>
      </c>
      <c r="U540" s="393">
        <v>122.13881000000001</v>
      </c>
    </row>
    <row r="541" spans="3:21" s="9" customFormat="1" ht="0.5" customHeight="1">
      <c r="C541" s="9" t="s">
        <v>56</v>
      </c>
      <c r="D541" s="9" t="str">
        <f t="shared" si="42"/>
        <v>Peru52</v>
      </c>
      <c r="E541" s="398">
        <v>52</v>
      </c>
      <c r="F541" s="399">
        <v>113.40226</v>
      </c>
      <c r="G541" s="36">
        <v>54.110863000000002</v>
      </c>
      <c r="H541" s="36">
        <v>34.956913999999998</v>
      </c>
      <c r="I541" s="393">
        <v>91.536164999999997</v>
      </c>
      <c r="J541" s="399">
        <v>165.08284</v>
      </c>
      <c r="K541" s="36">
        <v>95.542559999999995</v>
      </c>
      <c r="L541" s="36">
        <v>81.063090000000003</v>
      </c>
      <c r="M541" s="393">
        <v>201.68618000000001</v>
      </c>
      <c r="N541" s="399">
        <v>70.762791000000007</v>
      </c>
      <c r="O541" s="36">
        <v>30.149618</v>
      </c>
      <c r="P541" s="36">
        <v>26.955062999999999</v>
      </c>
      <c r="Q541" s="393">
        <v>54.605668999999999</v>
      </c>
      <c r="R541" s="399">
        <v>118.07525</v>
      </c>
      <c r="S541" s="36">
        <v>61.399112000000002</v>
      </c>
      <c r="T541" s="36">
        <v>46.158324</v>
      </c>
      <c r="U541" s="393">
        <v>119.90776</v>
      </c>
    </row>
    <row r="542" spans="3:21" s="9" customFormat="1" ht="0.5" customHeight="1">
      <c r="C542" s="9" t="s">
        <v>56</v>
      </c>
      <c r="D542" s="9" t="str">
        <f t="shared" si="42"/>
        <v>Peru52.5</v>
      </c>
      <c r="E542" s="398">
        <v>52.5</v>
      </c>
      <c r="F542" s="399">
        <v>113.3844</v>
      </c>
      <c r="G542" s="36">
        <v>53.798268999999998</v>
      </c>
      <c r="H542" s="36">
        <v>34.628799999999998</v>
      </c>
      <c r="I542" s="393">
        <v>91.232507999999996</v>
      </c>
      <c r="J542" s="399">
        <v>167.39365000000001</v>
      </c>
      <c r="K542" s="36">
        <v>94.848314999999999</v>
      </c>
      <c r="L542" s="36">
        <v>80.567909999999998</v>
      </c>
      <c r="M542" s="393">
        <v>199.00824</v>
      </c>
      <c r="N542" s="399">
        <v>71.552042999999998</v>
      </c>
      <c r="O542" s="36">
        <v>29.985671</v>
      </c>
      <c r="P542" s="36">
        <v>26.676387999999999</v>
      </c>
      <c r="Q542" s="393">
        <v>54.670335999999999</v>
      </c>
      <c r="R542" s="399">
        <v>117.81849</v>
      </c>
      <c r="S542" s="36">
        <v>61.348121999999996</v>
      </c>
      <c r="T542" s="36">
        <v>46.061577999999997</v>
      </c>
      <c r="U542" s="393">
        <v>117.28475</v>
      </c>
    </row>
    <row r="543" spans="3:21" s="9" customFormat="1" ht="0.5" customHeight="1">
      <c r="C543" s="9" t="s">
        <v>56</v>
      </c>
      <c r="D543" s="9" t="str">
        <f t="shared" si="42"/>
        <v>Peru53</v>
      </c>
      <c r="E543" s="398">
        <v>53</v>
      </c>
      <c r="F543" s="399">
        <v>113.26358999999999</v>
      </c>
      <c r="G543" s="36">
        <v>53.441158999999999</v>
      </c>
      <c r="H543" s="36">
        <v>34.249645999999998</v>
      </c>
      <c r="I543" s="393">
        <v>90.922984999999997</v>
      </c>
      <c r="J543" s="399">
        <v>169.59011000000001</v>
      </c>
      <c r="K543" s="36">
        <v>94.027029999999996</v>
      </c>
      <c r="L543" s="36">
        <v>79.990105</v>
      </c>
      <c r="M543" s="393">
        <v>196.2458</v>
      </c>
      <c r="N543" s="399">
        <v>72.621995999999996</v>
      </c>
      <c r="O543" s="36">
        <v>29.799348999999999</v>
      </c>
      <c r="P543" s="36">
        <v>26.428694</v>
      </c>
      <c r="Q543" s="393">
        <v>54.777166999999999</v>
      </c>
      <c r="R543" s="399">
        <v>117.4909</v>
      </c>
      <c r="S543" s="36">
        <v>61.309373999999998</v>
      </c>
      <c r="T543" s="36">
        <v>45.900230999999998</v>
      </c>
      <c r="U543" s="393">
        <v>114.13858</v>
      </c>
    </row>
    <row r="544" spans="3:21" s="9" customFormat="1" ht="0.5" customHeight="1">
      <c r="C544" s="9" t="s">
        <v>56</v>
      </c>
      <c r="D544" s="9" t="str">
        <f t="shared" si="42"/>
        <v>Peru53.5</v>
      </c>
      <c r="E544" s="398">
        <v>53.5</v>
      </c>
      <c r="F544" s="399">
        <v>113.03332</v>
      </c>
      <c r="G544" s="36">
        <v>53.083669999999998</v>
      </c>
      <c r="H544" s="36">
        <v>33.919713000000002</v>
      </c>
      <c r="I544" s="393">
        <v>90.598181999999994</v>
      </c>
      <c r="J544" s="399">
        <v>171.72357</v>
      </c>
      <c r="K544" s="36">
        <v>93.154831999999999</v>
      </c>
      <c r="L544" s="36">
        <v>79.297167999999999</v>
      </c>
      <c r="M544" s="393">
        <v>193.0729</v>
      </c>
      <c r="N544" s="399">
        <v>73.825704000000002</v>
      </c>
      <c r="O544" s="36">
        <v>29.597878000000001</v>
      </c>
      <c r="P544" s="36">
        <v>26.222961999999999</v>
      </c>
      <c r="Q544" s="393">
        <v>55.012326999999999</v>
      </c>
      <c r="R544" s="399">
        <v>117.87878000000001</v>
      </c>
      <c r="S544" s="36">
        <v>61.309441999999997</v>
      </c>
      <c r="T544" s="36">
        <v>45.698974</v>
      </c>
      <c r="U544" s="393">
        <v>110.38079</v>
      </c>
    </row>
    <row r="545" spans="3:21" s="9" customFormat="1" ht="0.5" customHeight="1">
      <c r="C545" s="9" t="s">
        <v>56</v>
      </c>
      <c r="D545" s="9" t="str">
        <f t="shared" si="42"/>
        <v>Peru54</v>
      </c>
      <c r="E545" s="398">
        <v>54</v>
      </c>
      <c r="F545" s="399">
        <v>112.76738</v>
      </c>
      <c r="G545" s="36">
        <v>52.766443000000002</v>
      </c>
      <c r="H545" s="36">
        <v>33.627037000000001</v>
      </c>
      <c r="I545" s="393">
        <v>90.305875999999998</v>
      </c>
      <c r="J545" s="399">
        <v>173.67707999999999</v>
      </c>
      <c r="K545" s="36">
        <v>92.138910999999993</v>
      </c>
      <c r="L545" s="36">
        <v>78.476177000000007</v>
      </c>
      <c r="M545" s="393">
        <v>188.88225</v>
      </c>
      <c r="N545" s="399">
        <v>75.148559000000006</v>
      </c>
      <c r="O545" s="36">
        <v>29.381233000000002</v>
      </c>
      <c r="P545" s="36">
        <v>26.065215999999999</v>
      </c>
      <c r="Q545" s="393">
        <v>55.093561999999999</v>
      </c>
      <c r="R545" s="399">
        <v>118.28784</v>
      </c>
      <c r="S545" s="36">
        <v>61.258656999999999</v>
      </c>
      <c r="T545" s="36">
        <v>45.537151999999999</v>
      </c>
      <c r="U545" s="393">
        <v>106.25376</v>
      </c>
    </row>
    <row r="546" spans="3:21" s="9" customFormat="1" ht="0.5" customHeight="1">
      <c r="C546" s="9" t="s">
        <v>56</v>
      </c>
      <c r="D546" s="9" t="str">
        <f t="shared" si="42"/>
        <v>Peru54.5</v>
      </c>
      <c r="E546" s="398">
        <v>54.5</v>
      </c>
      <c r="F546" s="399">
        <v>112.29156</v>
      </c>
      <c r="G546" s="36">
        <v>52.535442000000003</v>
      </c>
      <c r="H546" s="36">
        <v>33.357146</v>
      </c>
      <c r="I546" s="393">
        <v>90.162567999999993</v>
      </c>
      <c r="J546" s="399">
        <v>175.18809999999999</v>
      </c>
      <c r="K546" s="36">
        <v>90.641645999999994</v>
      </c>
      <c r="L546" s="36">
        <v>77.421164000000005</v>
      </c>
      <c r="M546" s="393">
        <v>183.19311999999999</v>
      </c>
      <c r="N546" s="399">
        <v>76.536598999999995</v>
      </c>
      <c r="O546" s="36">
        <v>29.140184000000001</v>
      </c>
      <c r="P546" s="36">
        <v>25.969491999999999</v>
      </c>
      <c r="Q546" s="393">
        <v>55.374997999999998</v>
      </c>
      <c r="R546" s="399">
        <v>118.55388000000001</v>
      </c>
      <c r="S546" s="36">
        <v>61.057059000000002</v>
      </c>
      <c r="T546" s="36">
        <v>45.474575000000002</v>
      </c>
      <c r="U546" s="393">
        <v>101.21321</v>
      </c>
    </row>
    <row r="547" spans="3:21" s="9" customFormat="1" ht="0.5" customHeight="1">
      <c r="C547" s="9" t="s">
        <v>56</v>
      </c>
      <c r="D547" s="9" t="str">
        <f t="shared" si="42"/>
        <v>Peru55</v>
      </c>
      <c r="E547" s="398">
        <v>55</v>
      </c>
      <c r="F547" s="399">
        <v>111.32759</v>
      </c>
      <c r="G547" s="36">
        <v>52.363774999999997</v>
      </c>
      <c r="H547" s="36">
        <v>33.177112999999999</v>
      </c>
      <c r="I547" s="393">
        <v>90.097931000000003</v>
      </c>
      <c r="J547" s="399">
        <v>177.05199999999999</v>
      </c>
      <c r="K547" s="36">
        <v>88.763992999999999</v>
      </c>
      <c r="L547" s="36">
        <v>76.051495000000003</v>
      </c>
      <c r="M547" s="393">
        <v>174.50689</v>
      </c>
      <c r="N547" s="399">
        <v>78.011080000000007</v>
      </c>
      <c r="O547" s="36">
        <v>28.894570999999999</v>
      </c>
      <c r="P547" s="36">
        <v>25.819904999999999</v>
      </c>
      <c r="Q547" s="393">
        <v>56.802684999999997</v>
      </c>
      <c r="R547" s="399">
        <v>117.89753</v>
      </c>
      <c r="S547" s="36">
        <v>61.287568999999998</v>
      </c>
      <c r="T547" s="36">
        <v>45.547077000000002</v>
      </c>
      <c r="U547" s="393">
        <v>95.316107000000002</v>
      </c>
    </row>
    <row r="548" spans="3:21" s="9" customFormat="1" ht="0.5" customHeight="1">
      <c r="C548" s="9" t="s">
        <v>45</v>
      </c>
      <c r="D548" s="9" t="str">
        <f t="shared" si="42"/>
        <v>Ecuador20</v>
      </c>
      <c r="E548" s="398">
        <v>20</v>
      </c>
      <c r="F548" s="399">
        <v>81.446512999999996</v>
      </c>
      <c r="G548" s="36">
        <v>54.192839999999997</v>
      </c>
      <c r="H548" s="36">
        <v>53.395885999999997</v>
      </c>
      <c r="I548" s="393">
        <v>87.934713000000002</v>
      </c>
      <c r="J548" s="399">
        <v>92.102723999999995</v>
      </c>
      <c r="K548" s="36">
        <v>59.842995999999999</v>
      </c>
      <c r="L548" s="36">
        <v>62.818817000000003</v>
      </c>
      <c r="M548" s="393">
        <v>154.79015999999999</v>
      </c>
      <c r="N548" s="399">
        <v>71.800217000000004</v>
      </c>
      <c r="O548" s="36">
        <v>41.453476000000002</v>
      </c>
      <c r="P548" s="36">
        <v>32.951183</v>
      </c>
      <c r="Q548" s="393">
        <v>62.709480999999997</v>
      </c>
      <c r="R548" s="399">
        <v>98.384523000000002</v>
      </c>
      <c r="S548" s="36">
        <v>49.722675000000002</v>
      </c>
      <c r="T548" s="36">
        <v>46.899168000000003</v>
      </c>
      <c r="U548" s="393">
        <v>84.674905999999993</v>
      </c>
    </row>
    <row r="549" spans="3:21" s="9" customFormat="1" ht="0.5" customHeight="1">
      <c r="C549" s="9" t="s">
        <v>45</v>
      </c>
      <c r="D549" s="9" t="str">
        <f t="shared" si="42"/>
        <v>Ecuador20.5</v>
      </c>
      <c r="E549" s="398">
        <v>20.5</v>
      </c>
      <c r="F549" s="399">
        <v>82.146848000000006</v>
      </c>
      <c r="G549" s="36">
        <v>55.125396000000002</v>
      </c>
      <c r="H549" s="36">
        <v>54.265596000000002</v>
      </c>
      <c r="I549" s="393">
        <v>88.405017999999998</v>
      </c>
      <c r="J549" s="399">
        <v>96.240188000000003</v>
      </c>
      <c r="K549" s="36">
        <v>60.819293999999999</v>
      </c>
      <c r="L549" s="36">
        <v>67.068492000000006</v>
      </c>
      <c r="M549" s="393">
        <v>158.94322</v>
      </c>
      <c r="N549" s="399">
        <v>73.172938000000002</v>
      </c>
      <c r="O549" s="36">
        <v>41.815153000000002</v>
      </c>
      <c r="P549" s="36">
        <v>33.261943000000002</v>
      </c>
      <c r="Q549" s="393">
        <v>63.111825000000003</v>
      </c>
      <c r="R549" s="399">
        <v>99.779826999999997</v>
      </c>
      <c r="S549" s="36">
        <v>50.941079999999999</v>
      </c>
      <c r="T549" s="36">
        <v>49.296740999999997</v>
      </c>
      <c r="U549" s="393">
        <v>88.489744000000002</v>
      </c>
    </row>
    <row r="550" spans="3:21" s="9" customFormat="1" ht="0.5" customHeight="1">
      <c r="C550" s="9" t="s">
        <v>45</v>
      </c>
      <c r="D550" s="9" t="str">
        <f t="shared" si="42"/>
        <v>Ecuador21</v>
      </c>
      <c r="E550" s="398">
        <v>21</v>
      </c>
      <c r="F550" s="399">
        <v>82.974794000000003</v>
      </c>
      <c r="G550" s="36">
        <v>55.881490999999997</v>
      </c>
      <c r="H550" s="36">
        <v>55.112699999999997</v>
      </c>
      <c r="I550" s="393">
        <v>89.096964999999997</v>
      </c>
      <c r="J550" s="399">
        <v>100.13869</v>
      </c>
      <c r="K550" s="36">
        <v>62.138966000000003</v>
      </c>
      <c r="L550" s="36">
        <v>70.353645</v>
      </c>
      <c r="M550" s="393">
        <v>163.24508</v>
      </c>
      <c r="N550" s="399">
        <v>74.243504999999999</v>
      </c>
      <c r="O550" s="36">
        <v>42.097313</v>
      </c>
      <c r="P550" s="36">
        <v>33.622545000000002</v>
      </c>
      <c r="Q550" s="393">
        <v>63.114541000000003</v>
      </c>
      <c r="R550" s="399">
        <v>101.1741</v>
      </c>
      <c r="S550" s="36">
        <v>52.23715</v>
      </c>
      <c r="T550" s="36">
        <v>51.295616000000003</v>
      </c>
      <c r="U550" s="393">
        <v>92.245721000000003</v>
      </c>
    </row>
    <row r="551" spans="3:21" s="9" customFormat="1" ht="0.5" customHeight="1">
      <c r="C551" s="9" t="s">
        <v>45</v>
      </c>
      <c r="D551" s="9" t="str">
        <f t="shared" si="42"/>
        <v>Ecuador21.5</v>
      </c>
      <c r="E551" s="398">
        <v>21.5</v>
      </c>
      <c r="F551" s="399">
        <v>83.886989</v>
      </c>
      <c r="G551" s="36">
        <v>56.556367000000002</v>
      </c>
      <c r="H551" s="36">
        <v>55.998393999999998</v>
      </c>
      <c r="I551" s="393">
        <v>89.845331000000002</v>
      </c>
      <c r="J551" s="399">
        <v>103.81053</v>
      </c>
      <c r="K551" s="36">
        <v>63.600859999999997</v>
      </c>
      <c r="L551" s="36">
        <v>73.347076999999999</v>
      </c>
      <c r="M551" s="393">
        <v>167.23466999999999</v>
      </c>
      <c r="N551" s="399">
        <v>75.222650000000002</v>
      </c>
      <c r="O551" s="36">
        <v>42.345205</v>
      </c>
      <c r="P551" s="36">
        <v>33.962201</v>
      </c>
      <c r="Q551" s="393">
        <v>62.998849999999997</v>
      </c>
      <c r="R551" s="399">
        <v>103.45971</v>
      </c>
      <c r="S551" s="36">
        <v>53.578868</v>
      </c>
      <c r="T551" s="36">
        <v>53.165801999999999</v>
      </c>
      <c r="U551" s="393">
        <v>95.725701000000001</v>
      </c>
    </row>
    <row r="552" spans="3:21" s="9" customFormat="1" ht="0.5" customHeight="1">
      <c r="C552" s="9" t="s">
        <v>45</v>
      </c>
      <c r="D552" s="9" t="str">
        <f t="shared" si="42"/>
        <v>Ecuador22</v>
      </c>
      <c r="E552" s="398">
        <v>22</v>
      </c>
      <c r="F552" s="399">
        <v>84.869465000000005</v>
      </c>
      <c r="G552" s="36">
        <v>57.171649000000002</v>
      </c>
      <c r="H552" s="36">
        <v>56.904544999999999</v>
      </c>
      <c r="I552" s="393">
        <v>90.727525</v>
      </c>
      <c r="J552" s="399">
        <v>107.82205</v>
      </c>
      <c r="K552" s="36">
        <v>65.157020000000003</v>
      </c>
      <c r="L552" s="36">
        <v>75.897544999999994</v>
      </c>
      <c r="M552" s="393">
        <v>170.50227000000001</v>
      </c>
      <c r="N552" s="399">
        <v>76.019910999999993</v>
      </c>
      <c r="O552" s="36">
        <v>42.563718999999999</v>
      </c>
      <c r="P552" s="36">
        <v>34.288184000000001</v>
      </c>
      <c r="Q552" s="393">
        <v>62.628850999999997</v>
      </c>
      <c r="R552" s="399">
        <v>106.06663</v>
      </c>
      <c r="S552" s="36">
        <v>54.934406000000003</v>
      </c>
      <c r="T552" s="36">
        <v>54.836761000000003</v>
      </c>
      <c r="U552" s="393">
        <v>98.878833999999998</v>
      </c>
    </row>
    <row r="553" spans="3:21" s="9" customFormat="1" ht="0.5" customHeight="1">
      <c r="C553" s="9" t="s">
        <v>45</v>
      </c>
      <c r="D553" s="9" t="str">
        <f t="shared" si="42"/>
        <v>Ecuador22.5</v>
      </c>
      <c r="E553" s="398">
        <v>22.5</v>
      </c>
      <c r="F553" s="399">
        <v>85.773312000000004</v>
      </c>
      <c r="G553" s="36">
        <v>57.738633999999998</v>
      </c>
      <c r="H553" s="36">
        <v>57.825885999999997</v>
      </c>
      <c r="I553" s="393">
        <v>91.610575999999995</v>
      </c>
      <c r="J553" s="399">
        <v>112.09558</v>
      </c>
      <c r="K553" s="36">
        <v>66.706830999999994</v>
      </c>
      <c r="L553" s="36">
        <v>78.246395000000007</v>
      </c>
      <c r="M553" s="393">
        <v>173.50986</v>
      </c>
      <c r="N553" s="399">
        <v>76.691931999999994</v>
      </c>
      <c r="O553" s="36">
        <v>42.752105</v>
      </c>
      <c r="P553" s="36">
        <v>34.603307999999998</v>
      </c>
      <c r="Q553" s="393">
        <v>62.737459000000001</v>
      </c>
      <c r="R553" s="399">
        <v>108.8502</v>
      </c>
      <c r="S553" s="36">
        <v>56.269539000000002</v>
      </c>
      <c r="T553" s="36">
        <v>56.411158999999998</v>
      </c>
      <c r="U553" s="393">
        <v>101.88357999999999</v>
      </c>
    </row>
    <row r="554" spans="3:21" s="9" customFormat="1" ht="0.5" customHeight="1">
      <c r="C554" s="9" t="s">
        <v>45</v>
      </c>
      <c r="D554" s="9" t="str">
        <f t="shared" si="42"/>
        <v>Ecuador23</v>
      </c>
      <c r="E554" s="398">
        <v>23</v>
      </c>
      <c r="F554" s="399">
        <v>86.587909999999994</v>
      </c>
      <c r="G554" s="36">
        <v>58.286146000000002</v>
      </c>
      <c r="H554" s="36">
        <v>58.726382000000001</v>
      </c>
      <c r="I554" s="393">
        <v>92.635587999999998</v>
      </c>
      <c r="J554" s="399">
        <v>116.56455</v>
      </c>
      <c r="K554" s="36">
        <v>68.257216</v>
      </c>
      <c r="L554" s="36">
        <v>80.498131000000001</v>
      </c>
      <c r="M554" s="393">
        <v>176.61242999999999</v>
      </c>
      <c r="N554" s="399">
        <v>77.186806000000004</v>
      </c>
      <c r="O554" s="36">
        <v>42.923541999999998</v>
      </c>
      <c r="P554" s="36">
        <v>34.912801000000002</v>
      </c>
      <c r="Q554" s="393">
        <v>63.157532000000003</v>
      </c>
      <c r="R554" s="399">
        <v>111.57579</v>
      </c>
      <c r="S554" s="36">
        <v>57.553544000000002</v>
      </c>
      <c r="T554" s="36">
        <v>57.889569999999999</v>
      </c>
      <c r="U554" s="393">
        <v>104.97687999999999</v>
      </c>
    </row>
    <row r="555" spans="3:21" s="9" customFormat="1" ht="0.5" customHeight="1">
      <c r="C555" s="9" t="s">
        <v>45</v>
      </c>
      <c r="D555" s="9" t="str">
        <f t="shared" si="42"/>
        <v>Ecuador23.5</v>
      </c>
      <c r="E555" s="398">
        <v>23.5</v>
      </c>
      <c r="F555" s="399">
        <v>87.329609000000005</v>
      </c>
      <c r="G555" s="36">
        <v>58.819552999999999</v>
      </c>
      <c r="H555" s="36">
        <v>59.613894000000002</v>
      </c>
      <c r="I555" s="393">
        <v>93.763660000000002</v>
      </c>
      <c r="J555" s="399">
        <v>120.96012</v>
      </c>
      <c r="K555" s="36">
        <v>69.814206999999996</v>
      </c>
      <c r="L555" s="36">
        <v>82.881193999999994</v>
      </c>
      <c r="M555" s="393">
        <v>179.65690000000001</v>
      </c>
      <c r="N555" s="399">
        <v>77.561363</v>
      </c>
      <c r="O555" s="36">
        <v>43.061332</v>
      </c>
      <c r="P555" s="36">
        <v>35.219262000000001</v>
      </c>
      <c r="Q555" s="393">
        <v>63.805042999999998</v>
      </c>
      <c r="R555" s="399">
        <v>114.29155</v>
      </c>
      <c r="S555" s="36">
        <v>58.760702000000002</v>
      </c>
      <c r="T555" s="36">
        <v>59.280033000000003</v>
      </c>
      <c r="U555" s="393">
        <v>107.91673</v>
      </c>
    </row>
    <row r="556" spans="3:21" s="9" customFormat="1" ht="0.5" customHeight="1">
      <c r="C556" s="9" t="s">
        <v>45</v>
      </c>
      <c r="D556" s="9" t="str">
        <f t="shared" si="42"/>
        <v>Ecuador24</v>
      </c>
      <c r="E556" s="398">
        <v>24</v>
      </c>
      <c r="F556" s="399">
        <v>88.043514000000002</v>
      </c>
      <c r="G556" s="36">
        <v>59.348224999999999</v>
      </c>
      <c r="H556" s="36">
        <v>60.461686</v>
      </c>
      <c r="I556" s="393">
        <v>94.914652000000004</v>
      </c>
      <c r="J556" s="399">
        <v>125.27364</v>
      </c>
      <c r="K556" s="36">
        <v>71.378372999999996</v>
      </c>
      <c r="L556" s="36">
        <v>85.329746999999998</v>
      </c>
      <c r="M556" s="393">
        <v>182.5154</v>
      </c>
      <c r="N556" s="399">
        <v>77.871741</v>
      </c>
      <c r="O556" s="36">
        <v>43.190652999999998</v>
      </c>
      <c r="P556" s="36">
        <v>35.522756999999999</v>
      </c>
      <c r="Q556" s="393">
        <v>64.592194000000006</v>
      </c>
      <c r="R556" s="399">
        <v>117.29895999999999</v>
      </c>
      <c r="S556" s="36">
        <v>59.866543999999998</v>
      </c>
      <c r="T556" s="36">
        <v>60.577899000000002</v>
      </c>
      <c r="U556" s="393">
        <v>110.66885000000001</v>
      </c>
    </row>
    <row r="557" spans="3:21" s="9" customFormat="1" ht="0.5" customHeight="1">
      <c r="C557" s="9" t="s">
        <v>45</v>
      </c>
      <c r="D557" s="9" t="str">
        <f t="shared" si="42"/>
        <v>Ecuador24.5</v>
      </c>
      <c r="E557" s="398">
        <v>24.5</v>
      </c>
      <c r="F557" s="399">
        <v>88.751407</v>
      </c>
      <c r="G557" s="36">
        <v>59.758924999999998</v>
      </c>
      <c r="H557" s="36">
        <v>61.318806000000002</v>
      </c>
      <c r="I557" s="393">
        <v>96.091048999999998</v>
      </c>
      <c r="J557" s="399">
        <v>129.44485</v>
      </c>
      <c r="K557" s="36">
        <v>72.977164000000002</v>
      </c>
      <c r="L557" s="36">
        <v>87.794019000000006</v>
      </c>
      <c r="M557" s="393">
        <v>185.31296</v>
      </c>
      <c r="N557" s="399">
        <v>78.151441000000005</v>
      </c>
      <c r="O557" s="36">
        <v>43.273698000000003</v>
      </c>
      <c r="P557" s="36">
        <v>35.825775999999998</v>
      </c>
      <c r="Q557" s="393">
        <v>65.451887999999997</v>
      </c>
      <c r="R557" s="399">
        <v>120.30673</v>
      </c>
      <c r="S557" s="36">
        <v>60.841572999999997</v>
      </c>
      <c r="T557" s="36">
        <v>61.789819999999999</v>
      </c>
      <c r="U557" s="393">
        <v>113.29107999999999</v>
      </c>
    </row>
    <row r="558" spans="3:21" s="9" customFormat="1" ht="0.5" customHeight="1">
      <c r="C558" s="9" t="s">
        <v>45</v>
      </c>
      <c r="D558" s="9" t="str">
        <f t="shared" si="42"/>
        <v>Ecuador25</v>
      </c>
      <c r="E558" s="398">
        <v>25</v>
      </c>
      <c r="F558" s="399">
        <v>89.437648999999993</v>
      </c>
      <c r="G558" s="36">
        <v>60.167231999999998</v>
      </c>
      <c r="H558" s="36">
        <v>62.207107000000001</v>
      </c>
      <c r="I558" s="393">
        <v>97.173484999999999</v>
      </c>
      <c r="J558" s="399">
        <v>133.48294999999999</v>
      </c>
      <c r="K558" s="36">
        <v>74.577016</v>
      </c>
      <c r="L558" s="36">
        <v>90.275846000000001</v>
      </c>
      <c r="M558" s="393">
        <v>187.96051</v>
      </c>
      <c r="N558" s="399">
        <v>78.417472000000004</v>
      </c>
      <c r="O558" s="36">
        <v>43.361541000000003</v>
      </c>
      <c r="P558" s="36">
        <v>36.131751000000001</v>
      </c>
      <c r="Q558" s="393">
        <v>66.337303000000006</v>
      </c>
      <c r="R558" s="399">
        <v>123.05594000000001</v>
      </c>
      <c r="S558" s="36">
        <v>61.784551999999998</v>
      </c>
      <c r="T558" s="36">
        <v>62.953102000000001</v>
      </c>
      <c r="U558" s="393">
        <v>115.82638</v>
      </c>
    </row>
    <row r="559" spans="3:21" s="9" customFormat="1" ht="0.5" customHeight="1">
      <c r="C559" s="9" t="s">
        <v>45</v>
      </c>
      <c r="D559" s="9" t="str">
        <f t="shared" si="42"/>
        <v>Ecuador25.5</v>
      </c>
      <c r="E559" s="398">
        <v>25.5</v>
      </c>
      <c r="F559" s="399">
        <v>90.102097000000001</v>
      </c>
      <c r="G559" s="36">
        <v>60.573009999999996</v>
      </c>
      <c r="H559" s="36">
        <v>63.075336999999998</v>
      </c>
      <c r="I559" s="393">
        <v>98.209288999999998</v>
      </c>
      <c r="J559" s="399">
        <v>137.28506999999999</v>
      </c>
      <c r="K559" s="36">
        <v>76.152902999999995</v>
      </c>
      <c r="L559" s="36">
        <v>92.781616999999997</v>
      </c>
      <c r="M559" s="393">
        <v>190.62424999999999</v>
      </c>
      <c r="N559" s="399">
        <v>78.679030999999995</v>
      </c>
      <c r="O559" s="36">
        <v>43.376106999999998</v>
      </c>
      <c r="P559" s="36">
        <v>36.438853000000002</v>
      </c>
      <c r="Q559" s="393">
        <v>67.233772000000002</v>
      </c>
      <c r="R559" s="399">
        <v>125.80043999999999</v>
      </c>
      <c r="S559" s="36">
        <v>62.674081999999999</v>
      </c>
      <c r="T559" s="36">
        <v>64.038570000000007</v>
      </c>
      <c r="U559" s="393">
        <v>118.25412</v>
      </c>
    </row>
    <row r="560" spans="3:21" s="9" customFormat="1" ht="0.5" customHeight="1">
      <c r="C560" s="9" t="s">
        <v>45</v>
      </c>
      <c r="D560" s="9" t="str">
        <f t="shared" si="42"/>
        <v>Ecuador26</v>
      </c>
      <c r="E560" s="398">
        <v>26</v>
      </c>
      <c r="F560" s="399">
        <v>90.762125999999995</v>
      </c>
      <c r="G560" s="36">
        <v>60.979422</v>
      </c>
      <c r="H560" s="36">
        <v>63.836866000000001</v>
      </c>
      <c r="I560" s="393">
        <v>99.229118</v>
      </c>
      <c r="J560" s="399">
        <v>140.89108999999999</v>
      </c>
      <c r="K560" s="36">
        <v>77.725311000000005</v>
      </c>
      <c r="L560" s="36">
        <v>95.270346000000004</v>
      </c>
      <c r="M560" s="393">
        <v>193.32417000000001</v>
      </c>
      <c r="N560" s="399">
        <v>78.942805000000007</v>
      </c>
      <c r="O560" s="36">
        <v>43.390422999999998</v>
      </c>
      <c r="P560" s="36">
        <v>36.746546000000002</v>
      </c>
      <c r="Q560" s="393">
        <v>67.915796999999998</v>
      </c>
      <c r="R560" s="399">
        <v>128.15127000000001</v>
      </c>
      <c r="S560" s="36">
        <v>63.487999000000002</v>
      </c>
      <c r="T560" s="36">
        <v>65.101432000000003</v>
      </c>
      <c r="U560" s="393">
        <v>120.58177999999999</v>
      </c>
    </row>
    <row r="561" spans="3:21" s="9" customFormat="1" ht="0.5" customHeight="1">
      <c r="C561" s="9" t="s">
        <v>45</v>
      </c>
      <c r="D561" s="9" t="str">
        <f t="shared" si="42"/>
        <v>Ecuador26.5</v>
      </c>
      <c r="E561" s="398">
        <v>26.5</v>
      </c>
      <c r="F561" s="399">
        <v>91.424983999999995</v>
      </c>
      <c r="G561" s="36">
        <v>61.284818000000001</v>
      </c>
      <c r="H561" s="36">
        <v>64.614975999999999</v>
      </c>
      <c r="I561" s="393">
        <v>100.2287</v>
      </c>
      <c r="J561" s="399">
        <v>144.22817000000001</v>
      </c>
      <c r="K561" s="36">
        <v>79.097123999999994</v>
      </c>
      <c r="L561" s="36">
        <v>97.659965999999997</v>
      </c>
      <c r="M561" s="393">
        <v>196.07671999999999</v>
      </c>
      <c r="N561" s="399">
        <v>79.143022000000002</v>
      </c>
      <c r="O561" s="36">
        <v>43.389409000000001</v>
      </c>
      <c r="P561" s="36">
        <v>37.062201000000002</v>
      </c>
      <c r="Q561" s="393">
        <v>68.511701000000002</v>
      </c>
      <c r="R561" s="399">
        <v>130.48727</v>
      </c>
      <c r="S561" s="36">
        <v>64.224452999999997</v>
      </c>
      <c r="T561" s="36">
        <v>66.034222</v>
      </c>
      <c r="U561" s="393">
        <v>122.81434</v>
      </c>
    </row>
    <row r="562" spans="3:21" s="9" customFormat="1" ht="0.5" customHeight="1">
      <c r="C562" s="9" t="s">
        <v>45</v>
      </c>
      <c r="D562" s="9" t="str">
        <f t="shared" si="42"/>
        <v>Ecuador27</v>
      </c>
      <c r="E562" s="398">
        <v>27</v>
      </c>
      <c r="F562" s="399">
        <v>92.031813999999997</v>
      </c>
      <c r="G562" s="36">
        <v>61.604107999999997</v>
      </c>
      <c r="H562" s="36">
        <v>65.393845999999996</v>
      </c>
      <c r="I562" s="393">
        <v>101.21516</v>
      </c>
      <c r="J562" s="399">
        <v>147.39223000000001</v>
      </c>
      <c r="K562" s="36">
        <v>80.471504999999993</v>
      </c>
      <c r="L562" s="36">
        <v>100.04917</v>
      </c>
      <c r="M562" s="393">
        <v>198.84463</v>
      </c>
      <c r="N562" s="399">
        <v>79.341870999999998</v>
      </c>
      <c r="O562" s="36">
        <v>43.392476000000002</v>
      </c>
      <c r="P562" s="36">
        <v>37.386463999999997</v>
      </c>
      <c r="Q562" s="393">
        <v>69.266086000000001</v>
      </c>
      <c r="R562" s="399">
        <v>132.21528000000001</v>
      </c>
      <c r="S562" s="36">
        <v>64.910201999999998</v>
      </c>
      <c r="T562" s="36">
        <v>66.940329000000006</v>
      </c>
      <c r="U562" s="393">
        <v>124.9252</v>
      </c>
    </row>
    <row r="563" spans="3:21" s="9" customFormat="1" ht="0.5" customHeight="1">
      <c r="C563" s="9" t="s">
        <v>45</v>
      </c>
      <c r="D563" s="9" t="str">
        <f t="shared" si="42"/>
        <v>Ecuador27.5</v>
      </c>
      <c r="E563" s="398">
        <v>27.5</v>
      </c>
      <c r="F563" s="399">
        <v>92.552361000000005</v>
      </c>
      <c r="G563" s="36">
        <v>61.947465000000001</v>
      </c>
      <c r="H563" s="36">
        <v>66.155860000000004</v>
      </c>
      <c r="I563" s="393">
        <v>102.18655</v>
      </c>
      <c r="J563" s="399">
        <v>150.35502</v>
      </c>
      <c r="K563" s="36">
        <v>81.739313999999993</v>
      </c>
      <c r="L563" s="36">
        <v>102.46623</v>
      </c>
      <c r="M563" s="393">
        <v>201.65955</v>
      </c>
      <c r="N563" s="399">
        <v>79.486056000000005</v>
      </c>
      <c r="O563" s="36">
        <v>43.372953000000003</v>
      </c>
      <c r="P563" s="36">
        <v>37.722628</v>
      </c>
      <c r="Q563" s="393">
        <v>70.158553999999995</v>
      </c>
      <c r="R563" s="399">
        <v>133.98662999999999</v>
      </c>
      <c r="S563" s="36">
        <v>65.523611000000002</v>
      </c>
      <c r="T563" s="36">
        <v>67.736980000000003</v>
      </c>
      <c r="U563" s="393">
        <v>126.84377000000001</v>
      </c>
    </row>
    <row r="564" spans="3:21" s="9" customFormat="1" ht="0.5" customHeight="1">
      <c r="C564" s="9" t="s">
        <v>45</v>
      </c>
      <c r="D564" s="9" t="str">
        <f t="shared" si="42"/>
        <v>Ecuador28</v>
      </c>
      <c r="E564" s="398">
        <v>28</v>
      </c>
      <c r="F564" s="399">
        <v>93.018905000000004</v>
      </c>
      <c r="G564" s="36">
        <v>62.295777999999999</v>
      </c>
      <c r="H564" s="36">
        <v>66.683655999999999</v>
      </c>
      <c r="I564" s="393">
        <v>103.1614</v>
      </c>
      <c r="J564" s="399">
        <v>153.10065</v>
      </c>
      <c r="K564" s="36">
        <v>83.009379999999993</v>
      </c>
      <c r="L564" s="36">
        <v>104.84302</v>
      </c>
      <c r="M564" s="393">
        <v>204.47328999999999</v>
      </c>
      <c r="N564" s="399">
        <v>79.622984000000002</v>
      </c>
      <c r="O564" s="36">
        <v>43.356589999999997</v>
      </c>
      <c r="P564" s="36">
        <v>38.100472000000003</v>
      </c>
      <c r="Q564" s="393">
        <v>71.409301999999997</v>
      </c>
      <c r="R564" s="399">
        <v>135.37947</v>
      </c>
      <c r="S564" s="36">
        <v>66.023352000000003</v>
      </c>
      <c r="T564" s="36">
        <v>68.500112000000001</v>
      </c>
      <c r="U564" s="393">
        <v>128.59399999999999</v>
      </c>
    </row>
    <row r="565" spans="3:21" s="9" customFormat="1" ht="0.5" customHeight="1">
      <c r="C565" s="9" t="s">
        <v>45</v>
      </c>
      <c r="D565" s="9" t="str">
        <f t="shared" si="42"/>
        <v>Ecuador28.5</v>
      </c>
      <c r="E565" s="398">
        <v>28.5</v>
      </c>
      <c r="F565" s="399">
        <v>93.448081999999999</v>
      </c>
      <c r="G565" s="36">
        <v>62.606957999999999</v>
      </c>
      <c r="H565" s="36">
        <v>67.207012000000006</v>
      </c>
      <c r="I565" s="393">
        <v>104.22875000000001</v>
      </c>
      <c r="J565" s="399">
        <v>155.61915999999999</v>
      </c>
      <c r="K565" s="36">
        <v>84.163876999999999</v>
      </c>
      <c r="L565" s="36">
        <v>107.12803</v>
      </c>
      <c r="M565" s="393">
        <v>207.34601000000001</v>
      </c>
      <c r="N565" s="399">
        <v>79.701014000000001</v>
      </c>
      <c r="O565" s="36">
        <v>43.307236000000003</v>
      </c>
      <c r="P565" s="36">
        <v>38.494163999999998</v>
      </c>
      <c r="Q565" s="393">
        <v>72.689965999999998</v>
      </c>
      <c r="R565" s="399">
        <v>136.78972999999999</v>
      </c>
      <c r="S565" s="36">
        <v>66.423124000000001</v>
      </c>
      <c r="T565" s="36">
        <v>69.072118000000003</v>
      </c>
      <c r="U565" s="393">
        <v>130.16603000000001</v>
      </c>
    </row>
    <row r="566" spans="3:21" s="9" customFormat="1" ht="0.5" customHeight="1">
      <c r="C566" s="9" t="s">
        <v>45</v>
      </c>
      <c r="D566" s="9" t="str">
        <f t="shared" si="42"/>
        <v>Ecuador29</v>
      </c>
      <c r="E566" s="398">
        <v>29</v>
      </c>
      <c r="F566" s="399">
        <v>93.814957000000007</v>
      </c>
      <c r="G566" s="36">
        <v>62.917594000000001</v>
      </c>
      <c r="H566" s="36">
        <v>67.640882000000005</v>
      </c>
      <c r="I566" s="393">
        <v>105.31072</v>
      </c>
      <c r="J566" s="399">
        <v>158.19456</v>
      </c>
      <c r="K566" s="36">
        <v>85.317468000000005</v>
      </c>
      <c r="L566" s="36">
        <v>109.42928000000001</v>
      </c>
      <c r="M566" s="393">
        <v>210.30016000000001</v>
      </c>
      <c r="N566" s="399">
        <v>79.768991</v>
      </c>
      <c r="O566" s="36">
        <v>43.259903999999999</v>
      </c>
      <c r="P566" s="36">
        <v>38.889011000000004</v>
      </c>
      <c r="Q566" s="393">
        <v>73.915863000000002</v>
      </c>
      <c r="R566" s="399">
        <v>137.88382999999999</v>
      </c>
      <c r="S566" s="36">
        <v>66.795914999999994</v>
      </c>
      <c r="T566" s="36">
        <v>69.637765999999999</v>
      </c>
      <c r="U566" s="393">
        <v>131.51938999999999</v>
      </c>
    </row>
    <row r="567" spans="3:21" s="9" customFormat="1" ht="0.5" customHeight="1">
      <c r="C567" s="9" t="s">
        <v>45</v>
      </c>
      <c r="D567" s="9" t="str">
        <f t="shared" si="42"/>
        <v>Ecuador29.5</v>
      </c>
      <c r="E567" s="398">
        <v>29.5</v>
      </c>
      <c r="F567" s="399">
        <v>94.165110999999996</v>
      </c>
      <c r="G567" s="36">
        <v>63.222208999999999</v>
      </c>
      <c r="H567" s="36">
        <v>68.070670000000007</v>
      </c>
      <c r="I567" s="393">
        <v>106.42634</v>
      </c>
      <c r="J567" s="399">
        <v>160.59969000000001</v>
      </c>
      <c r="K567" s="36">
        <v>86.242777000000004</v>
      </c>
      <c r="L567" s="36">
        <v>111.5852</v>
      </c>
      <c r="M567" s="393">
        <v>213.29025999999999</v>
      </c>
      <c r="N567" s="399">
        <v>79.864052000000001</v>
      </c>
      <c r="O567" s="36">
        <v>43.222971999999999</v>
      </c>
      <c r="P567" s="36">
        <v>39.266463999999999</v>
      </c>
      <c r="Q567" s="393">
        <v>75.124414999999999</v>
      </c>
      <c r="R567" s="399">
        <v>138.99415999999999</v>
      </c>
      <c r="S567" s="36">
        <v>67.161547999999996</v>
      </c>
      <c r="T567" s="36">
        <v>70.270304999999993</v>
      </c>
      <c r="U567" s="393">
        <v>132.76660999999999</v>
      </c>
    </row>
    <row r="568" spans="3:21" s="9" customFormat="1" ht="0.5" customHeight="1">
      <c r="C568" s="9" t="s">
        <v>45</v>
      </c>
      <c r="D568" s="9" t="str">
        <f t="shared" si="42"/>
        <v>Ecuador30</v>
      </c>
      <c r="E568" s="398">
        <v>30</v>
      </c>
      <c r="F568" s="399">
        <v>94.537683999999999</v>
      </c>
      <c r="G568" s="36">
        <v>63.525981000000002</v>
      </c>
      <c r="H568" s="36">
        <v>68.456418999999997</v>
      </c>
      <c r="I568" s="393">
        <v>107.55246</v>
      </c>
      <c r="J568" s="399">
        <v>162.94108</v>
      </c>
      <c r="K568" s="36">
        <v>87.161117000000004</v>
      </c>
      <c r="L568" s="36">
        <v>113.74175</v>
      </c>
      <c r="M568" s="393">
        <v>216.30368000000001</v>
      </c>
      <c r="N568" s="399">
        <v>79.949793999999997</v>
      </c>
      <c r="O568" s="36">
        <v>43.186331000000003</v>
      </c>
      <c r="P568" s="36">
        <v>39.610976999999998</v>
      </c>
      <c r="Q568" s="393">
        <v>76.211121000000006</v>
      </c>
      <c r="R568" s="399">
        <v>139.92339999999999</v>
      </c>
      <c r="S568" s="36">
        <v>67.510636000000005</v>
      </c>
      <c r="T568" s="36">
        <v>70.915250999999998</v>
      </c>
      <c r="U568" s="393">
        <v>133.99037999999999</v>
      </c>
    </row>
    <row r="569" spans="3:21" s="9" customFormat="1" ht="0.5" customHeight="1">
      <c r="C569" s="9" t="s">
        <v>45</v>
      </c>
      <c r="D569" s="9" t="str">
        <f t="shared" si="42"/>
        <v>Ecuador30.5</v>
      </c>
      <c r="E569" s="398">
        <v>30.5</v>
      </c>
      <c r="F569" s="399">
        <v>94.940062999999995</v>
      </c>
      <c r="G569" s="36">
        <v>63.783585000000002</v>
      </c>
      <c r="H569" s="36">
        <v>68.830534</v>
      </c>
      <c r="I569" s="393">
        <v>108.80893</v>
      </c>
      <c r="J569" s="399">
        <v>165.39458999999999</v>
      </c>
      <c r="K569" s="36">
        <v>87.932289999999995</v>
      </c>
      <c r="L569" s="36">
        <v>115.56341999999999</v>
      </c>
      <c r="M569" s="393">
        <v>219.31742</v>
      </c>
      <c r="N569" s="399">
        <v>80.087633999999994</v>
      </c>
      <c r="O569" s="36">
        <v>43.183414999999997</v>
      </c>
      <c r="P569" s="36">
        <v>39.947088999999998</v>
      </c>
      <c r="Q569" s="393">
        <v>77.278951000000006</v>
      </c>
      <c r="R569" s="399">
        <v>140.84191000000001</v>
      </c>
      <c r="S569" s="36">
        <v>67.846380999999994</v>
      </c>
      <c r="T569" s="36">
        <v>71.585676000000007</v>
      </c>
      <c r="U569" s="393">
        <v>135.22193999999999</v>
      </c>
    </row>
    <row r="570" spans="3:21" s="9" customFormat="1" ht="0.5" customHeight="1">
      <c r="C570" s="9" t="s">
        <v>45</v>
      </c>
      <c r="D570" s="9" t="str">
        <f t="shared" si="42"/>
        <v>Ecuador31</v>
      </c>
      <c r="E570" s="398">
        <v>31</v>
      </c>
      <c r="F570" s="399">
        <v>95.377770999999996</v>
      </c>
      <c r="G570" s="36">
        <v>64.040490000000005</v>
      </c>
      <c r="H570" s="36">
        <v>69.144255999999999</v>
      </c>
      <c r="I570" s="393">
        <v>110.07187</v>
      </c>
      <c r="J570" s="399">
        <v>167.84341000000001</v>
      </c>
      <c r="K570" s="36">
        <v>88.703970999999996</v>
      </c>
      <c r="L570" s="36">
        <v>117.39053</v>
      </c>
      <c r="M570" s="393">
        <v>222.32699</v>
      </c>
      <c r="N570" s="399">
        <v>80.223059000000006</v>
      </c>
      <c r="O570" s="36">
        <v>43.174660000000003</v>
      </c>
      <c r="P570" s="36">
        <v>40.283763</v>
      </c>
      <c r="Q570" s="393">
        <v>78.407824000000005</v>
      </c>
      <c r="R570" s="399">
        <v>141.99880999999999</v>
      </c>
      <c r="S570" s="36">
        <v>68.208246000000003</v>
      </c>
      <c r="T570" s="36">
        <v>72.251850000000005</v>
      </c>
      <c r="U570" s="393">
        <v>136.55161000000001</v>
      </c>
    </row>
    <row r="571" spans="3:21" s="9" customFormat="1" ht="0.5" customHeight="1">
      <c r="C571" s="9" t="s">
        <v>45</v>
      </c>
      <c r="D571" s="9" t="str">
        <f t="shared" ref="D571:D634" si="43">CONCATENATE(C571,E571)</f>
        <v>Ecuador31.5</v>
      </c>
      <c r="E571" s="398">
        <v>31.5</v>
      </c>
      <c r="F571" s="399">
        <v>95.864238</v>
      </c>
      <c r="G571" s="36">
        <v>64.217023999999995</v>
      </c>
      <c r="H571" s="36">
        <v>69.463154000000003</v>
      </c>
      <c r="I571" s="393">
        <v>111.25981</v>
      </c>
      <c r="J571" s="399">
        <v>170.03403</v>
      </c>
      <c r="K571" s="36">
        <v>89.098010000000002</v>
      </c>
      <c r="L571" s="36">
        <v>119.05103</v>
      </c>
      <c r="M571" s="393">
        <v>225.33284</v>
      </c>
      <c r="N571" s="399">
        <v>80.401439999999994</v>
      </c>
      <c r="O571" s="36">
        <v>43.162382999999998</v>
      </c>
      <c r="P571" s="36">
        <v>40.618448999999998</v>
      </c>
      <c r="Q571" s="393">
        <v>79.475331999999995</v>
      </c>
      <c r="R571" s="399">
        <v>143.14568</v>
      </c>
      <c r="S571" s="36">
        <v>68.594324999999998</v>
      </c>
      <c r="T571" s="36">
        <v>72.994445999999996</v>
      </c>
      <c r="U571" s="393">
        <v>137.91795999999999</v>
      </c>
    </row>
    <row r="572" spans="3:21" s="9" customFormat="1" ht="0.5" customHeight="1">
      <c r="C572" s="9" t="s">
        <v>45</v>
      </c>
      <c r="D572" s="9" t="str">
        <f t="shared" si="43"/>
        <v>Ecuador32</v>
      </c>
      <c r="E572" s="398">
        <v>32</v>
      </c>
      <c r="F572" s="399">
        <v>96.421136000000004</v>
      </c>
      <c r="G572" s="36">
        <v>64.400605999999996</v>
      </c>
      <c r="H572" s="36">
        <v>69.778131000000002</v>
      </c>
      <c r="I572" s="393">
        <v>112.44813000000001</v>
      </c>
      <c r="J572" s="399">
        <v>172.10240999999999</v>
      </c>
      <c r="K572" s="36">
        <v>89.509414000000007</v>
      </c>
      <c r="L572" s="36">
        <v>120.67624000000001</v>
      </c>
      <c r="M572" s="393">
        <v>228.33189999999999</v>
      </c>
      <c r="N572" s="399">
        <v>80.591435000000004</v>
      </c>
      <c r="O572" s="36">
        <v>43.149104999999999</v>
      </c>
      <c r="P572" s="36">
        <v>40.943753999999998</v>
      </c>
      <c r="Q572" s="393">
        <v>80.255467999999993</v>
      </c>
      <c r="R572" s="399">
        <v>143.8964</v>
      </c>
      <c r="S572" s="36">
        <v>69.050773000000007</v>
      </c>
      <c r="T572" s="36">
        <v>73.726896999999994</v>
      </c>
      <c r="U572" s="393">
        <v>139.22888</v>
      </c>
    </row>
    <row r="573" spans="3:21" s="9" customFormat="1" ht="0.5" customHeight="1">
      <c r="C573" s="9" t="s">
        <v>45</v>
      </c>
      <c r="D573" s="9" t="str">
        <f t="shared" si="43"/>
        <v>Ecuador32.5</v>
      </c>
      <c r="E573" s="398">
        <v>32.5</v>
      </c>
      <c r="F573" s="399">
        <v>96.976834999999994</v>
      </c>
      <c r="G573" s="36">
        <v>64.496973999999994</v>
      </c>
      <c r="H573" s="36">
        <v>70.082430000000002</v>
      </c>
      <c r="I573" s="393">
        <v>113.64897999999999</v>
      </c>
      <c r="J573" s="399">
        <v>174.13211999999999</v>
      </c>
      <c r="K573" s="36">
        <v>89.898111</v>
      </c>
      <c r="L573" s="36">
        <v>121.97488</v>
      </c>
      <c r="M573" s="393">
        <v>231.32332</v>
      </c>
      <c r="N573" s="399">
        <v>80.798444000000003</v>
      </c>
      <c r="O573" s="36">
        <v>43.147061000000001</v>
      </c>
      <c r="P573" s="36">
        <v>41.264032999999998</v>
      </c>
      <c r="Q573" s="393">
        <v>80.944452999999996</v>
      </c>
      <c r="R573" s="399">
        <v>144.66460000000001</v>
      </c>
      <c r="S573" s="36">
        <v>69.544798999999998</v>
      </c>
      <c r="T573" s="36">
        <v>74.342269000000002</v>
      </c>
      <c r="U573" s="393">
        <v>140.57875000000001</v>
      </c>
    </row>
    <row r="574" spans="3:21" s="9" customFormat="1" ht="0.5" customHeight="1">
      <c r="C574" s="9" t="s">
        <v>45</v>
      </c>
      <c r="D574" s="9" t="str">
        <f t="shared" si="43"/>
        <v>Ecuador33</v>
      </c>
      <c r="E574" s="398">
        <v>33</v>
      </c>
      <c r="F574" s="399">
        <v>97.502740000000003</v>
      </c>
      <c r="G574" s="36">
        <v>64.602829999999997</v>
      </c>
      <c r="H574" s="36">
        <v>70.353385000000003</v>
      </c>
      <c r="I574" s="393">
        <v>114.84831</v>
      </c>
      <c r="J574" s="399">
        <v>176.09361000000001</v>
      </c>
      <c r="K574" s="36">
        <v>90.296460999999994</v>
      </c>
      <c r="L574" s="36">
        <v>123.22588</v>
      </c>
      <c r="M574" s="393">
        <v>234.27033</v>
      </c>
      <c r="N574" s="399">
        <v>81.002926000000002</v>
      </c>
      <c r="O574" s="36">
        <v>43.144354999999997</v>
      </c>
      <c r="P574" s="36">
        <v>41.591887999999997</v>
      </c>
      <c r="Q574" s="393">
        <v>81.523090999999994</v>
      </c>
      <c r="R574" s="399">
        <v>145.46169</v>
      </c>
      <c r="S574" s="36">
        <v>69.917203000000001</v>
      </c>
      <c r="T574" s="36">
        <v>74.944438000000005</v>
      </c>
      <c r="U574" s="393">
        <v>142.00928999999999</v>
      </c>
    </row>
    <row r="575" spans="3:21" s="9" customFormat="1" ht="0.5" customHeight="1">
      <c r="C575" s="9" t="s">
        <v>45</v>
      </c>
      <c r="D575" s="9" t="str">
        <f t="shared" si="43"/>
        <v>Ecuador33.5</v>
      </c>
      <c r="E575" s="398">
        <v>33.5</v>
      </c>
      <c r="F575" s="399">
        <v>98.028014999999996</v>
      </c>
      <c r="G575" s="36">
        <v>64.763491000000002</v>
      </c>
      <c r="H575" s="36">
        <v>70.614018000000002</v>
      </c>
      <c r="I575" s="393">
        <v>115.96401</v>
      </c>
      <c r="J575" s="399">
        <v>177.86036999999999</v>
      </c>
      <c r="K575" s="36">
        <v>90.761388999999994</v>
      </c>
      <c r="L575" s="36">
        <v>124.3032</v>
      </c>
      <c r="M575" s="393">
        <v>237.17733000000001</v>
      </c>
      <c r="N575" s="399">
        <v>81.183665000000005</v>
      </c>
      <c r="O575" s="36">
        <v>43.150579999999998</v>
      </c>
      <c r="P575" s="36">
        <v>41.923673999999998</v>
      </c>
      <c r="Q575" s="393">
        <v>82.072219000000004</v>
      </c>
      <c r="R575" s="399">
        <v>146.30026000000001</v>
      </c>
      <c r="S575" s="36">
        <v>70.241309999999999</v>
      </c>
      <c r="T575" s="36">
        <v>75.501998</v>
      </c>
      <c r="U575" s="393">
        <v>143.4161</v>
      </c>
    </row>
    <row r="576" spans="3:21" s="9" customFormat="1" ht="0.5" customHeight="1">
      <c r="C576" s="9" t="s">
        <v>45</v>
      </c>
      <c r="D576" s="9" t="str">
        <f t="shared" si="43"/>
        <v>Ecuador34</v>
      </c>
      <c r="E576" s="398">
        <v>34</v>
      </c>
      <c r="F576" s="399">
        <v>98.561660000000003</v>
      </c>
      <c r="G576" s="36">
        <v>64.934383999999994</v>
      </c>
      <c r="H576" s="36">
        <v>70.940963999999994</v>
      </c>
      <c r="I576" s="393">
        <v>117.06578</v>
      </c>
      <c r="J576" s="399">
        <v>179.49714</v>
      </c>
      <c r="K576" s="36">
        <v>91.224879999999999</v>
      </c>
      <c r="L576" s="36">
        <v>125.38914</v>
      </c>
      <c r="M576" s="393">
        <v>240.08638999999999</v>
      </c>
      <c r="N576" s="399">
        <v>81.378608999999997</v>
      </c>
      <c r="O576" s="36">
        <v>43.159075999999999</v>
      </c>
      <c r="P576" s="36">
        <v>42.235678</v>
      </c>
      <c r="Q576" s="393">
        <v>82.381304999999998</v>
      </c>
      <c r="R576" s="399">
        <v>147.25980999999999</v>
      </c>
      <c r="S576" s="36">
        <v>70.503532000000007</v>
      </c>
      <c r="T576" s="36">
        <v>76.058599000000001</v>
      </c>
      <c r="U576" s="393">
        <v>144.81863999999999</v>
      </c>
    </row>
    <row r="577" spans="3:21" s="9" customFormat="1" ht="0.5" customHeight="1">
      <c r="C577" s="9" t="s">
        <v>45</v>
      </c>
      <c r="D577" s="9" t="str">
        <f t="shared" si="43"/>
        <v>Ecuador34.5</v>
      </c>
      <c r="E577" s="398">
        <v>34.5</v>
      </c>
      <c r="F577" s="399">
        <v>99.131974999999997</v>
      </c>
      <c r="G577" s="36">
        <v>64.934087000000005</v>
      </c>
      <c r="H577" s="36">
        <v>71.291184999999999</v>
      </c>
      <c r="I577" s="393">
        <v>118.14655</v>
      </c>
      <c r="J577" s="399">
        <v>180.94220999999999</v>
      </c>
      <c r="K577" s="36">
        <v>91.873520999999997</v>
      </c>
      <c r="L577" s="36">
        <v>126.22906</v>
      </c>
      <c r="M577" s="393">
        <v>242.99573000000001</v>
      </c>
      <c r="N577" s="399">
        <v>81.574074999999993</v>
      </c>
      <c r="O577" s="36">
        <v>43.142318000000003</v>
      </c>
      <c r="P577" s="36">
        <v>42.531990999999998</v>
      </c>
      <c r="Q577" s="393">
        <v>82.713166000000001</v>
      </c>
      <c r="R577" s="399">
        <v>148.22055</v>
      </c>
      <c r="S577" s="36">
        <v>70.689637000000005</v>
      </c>
      <c r="T577" s="36">
        <v>76.631630000000001</v>
      </c>
      <c r="U577" s="393">
        <v>146.30009999999999</v>
      </c>
    </row>
    <row r="578" spans="3:21" s="9" customFormat="1" ht="0.5" customHeight="1">
      <c r="C578" s="9" t="s">
        <v>45</v>
      </c>
      <c r="D578" s="9" t="str">
        <f t="shared" si="43"/>
        <v>Ecuador35</v>
      </c>
      <c r="E578" s="398">
        <v>35</v>
      </c>
      <c r="F578" s="399">
        <v>99.680655000000002</v>
      </c>
      <c r="G578" s="36">
        <v>64.931297999999998</v>
      </c>
      <c r="H578" s="36">
        <v>71.706760000000003</v>
      </c>
      <c r="I578" s="393">
        <v>119.21791</v>
      </c>
      <c r="J578" s="399">
        <v>182.34504000000001</v>
      </c>
      <c r="K578" s="36">
        <v>92.515455000000003</v>
      </c>
      <c r="L578" s="36">
        <v>127.05295</v>
      </c>
      <c r="M578" s="393">
        <v>245.85292999999999</v>
      </c>
      <c r="N578" s="399">
        <v>81.756747000000004</v>
      </c>
      <c r="O578" s="36">
        <v>43.128753000000003</v>
      </c>
      <c r="P578" s="36">
        <v>42.806863999999997</v>
      </c>
      <c r="Q578" s="393">
        <v>83.082831999999996</v>
      </c>
      <c r="R578" s="399">
        <v>148.88290000000001</v>
      </c>
      <c r="S578" s="36">
        <v>70.865114000000005</v>
      </c>
      <c r="T578" s="36">
        <v>77.212678999999994</v>
      </c>
      <c r="U578" s="393">
        <v>147.84634</v>
      </c>
    </row>
    <row r="579" spans="3:21" s="9" customFormat="1" ht="0.5" customHeight="1">
      <c r="C579" s="9" t="s">
        <v>45</v>
      </c>
      <c r="D579" s="9" t="str">
        <f t="shared" si="43"/>
        <v>Ecuador35.5</v>
      </c>
      <c r="E579" s="398">
        <v>35.5</v>
      </c>
      <c r="F579" s="399">
        <v>100.20623999999999</v>
      </c>
      <c r="G579" s="36">
        <v>65.037488999999994</v>
      </c>
      <c r="H579" s="36">
        <v>72.115647999999993</v>
      </c>
      <c r="I579" s="393">
        <v>120.23112999999999</v>
      </c>
      <c r="J579" s="399">
        <v>183.59914000000001</v>
      </c>
      <c r="K579" s="36">
        <v>93.094133999999997</v>
      </c>
      <c r="L579" s="36">
        <v>127.7805</v>
      </c>
      <c r="M579" s="393">
        <v>248.67430999999999</v>
      </c>
      <c r="N579" s="399">
        <v>81.915491000000003</v>
      </c>
      <c r="O579" s="36">
        <v>43.169759999999997</v>
      </c>
      <c r="P579" s="36">
        <v>43.067506999999999</v>
      </c>
      <c r="Q579" s="393">
        <v>83.425610000000006</v>
      </c>
      <c r="R579" s="399">
        <v>149.54978</v>
      </c>
      <c r="S579" s="36">
        <v>71.000634000000005</v>
      </c>
      <c r="T579" s="36">
        <v>77.732748999999998</v>
      </c>
      <c r="U579" s="393">
        <v>149.42819</v>
      </c>
    </row>
    <row r="580" spans="3:21" s="9" customFormat="1" ht="0.5" customHeight="1">
      <c r="C580" s="9" t="s">
        <v>45</v>
      </c>
      <c r="D580" s="9" t="str">
        <f t="shared" si="43"/>
        <v>Ecuador36</v>
      </c>
      <c r="E580" s="398">
        <v>36</v>
      </c>
      <c r="F580" s="399">
        <v>100.75116</v>
      </c>
      <c r="G580" s="36">
        <v>65.139100999999997</v>
      </c>
      <c r="H580" s="36">
        <v>72.551303000000004</v>
      </c>
      <c r="I580" s="393">
        <v>121.22599</v>
      </c>
      <c r="J580" s="399">
        <v>184.82467</v>
      </c>
      <c r="K580" s="36">
        <v>93.658665999999997</v>
      </c>
      <c r="L580" s="36">
        <v>128.51283000000001</v>
      </c>
      <c r="M580" s="393">
        <v>251.489</v>
      </c>
      <c r="N580" s="399">
        <v>82.068725999999998</v>
      </c>
      <c r="O580" s="36">
        <v>43.211156000000003</v>
      </c>
      <c r="P580" s="36">
        <v>43.308622999999997</v>
      </c>
      <c r="Q580" s="393">
        <v>83.624339000000006</v>
      </c>
      <c r="R580" s="399">
        <v>149.96796000000001</v>
      </c>
      <c r="S580" s="36">
        <v>71.204059999999998</v>
      </c>
      <c r="T580" s="36">
        <v>78.239711999999997</v>
      </c>
      <c r="U580" s="393">
        <v>151.13055</v>
      </c>
    </row>
    <row r="581" spans="3:21" s="9" customFormat="1" ht="0.5" customHeight="1">
      <c r="C581" s="9" t="s">
        <v>45</v>
      </c>
      <c r="D581" s="9" t="str">
        <f t="shared" si="43"/>
        <v>Ecuador36.5</v>
      </c>
      <c r="E581" s="398">
        <v>36.5</v>
      </c>
      <c r="F581" s="399">
        <v>101.3142</v>
      </c>
      <c r="G581" s="36">
        <v>65.195672000000002</v>
      </c>
      <c r="H581" s="36">
        <v>73.015242999999998</v>
      </c>
      <c r="I581" s="393">
        <v>122.12286</v>
      </c>
      <c r="J581" s="399">
        <v>186.22225</v>
      </c>
      <c r="K581" s="36">
        <v>94.284577999999996</v>
      </c>
      <c r="L581" s="36">
        <v>129.01679999999999</v>
      </c>
      <c r="M581" s="393">
        <v>254.29069999999999</v>
      </c>
      <c r="N581" s="399">
        <v>82.231979999999993</v>
      </c>
      <c r="O581" s="36">
        <v>43.264741999999998</v>
      </c>
      <c r="P581" s="36">
        <v>43.545445000000001</v>
      </c>
      <c r="Q581" s="393">
        <v>83.766148999999999</v>
      </c>
      <c r="R581" s="399">
        <v>150.38459</v>
      </c>
      <c r="S581" s="36">
        <v>71.420180000000002</v>
      </c>
      <c r="T581" s="36">
        <v>78.688468</v>
      </c>
      <c r="U581" s="393">
        <v>152.98636999999999</v>
      </c>
    </row>
    <row r="582" spans="3:21" s="9" customFormat="1" ht="0.5" customHeight="1">
      <c r="C582" s="9" t="s">
        <v>45</v>
      </c>
      <c r="D582" s="9" t="str">
        <f t="shared" si="43"/>
        <v>Ecuador37</v>
      </c>
      <c r="E582" s="398">
        <v>37</v>
      </c>
      <c r="F582" s="399">
        <v>101.86418</v>
      </c>
      <c r="G582" s="36">
        <v>65.248279999999994</v>
      </c>
      <c r="H582" s="36">
        <v>73.463245000000001</v>
      </c>
      <c r="I582" s="393">
        <v>123.01687</v>
      </c>
      <c r="J582" s="399">
        <v>187.59960000000001</v>
      </c>
      <c r="K582" s="36">
        <v>94.917924999999997</v>
      </c>
      <c r="L582" s="36">
        <v>129.53381999999999</v>
      </c>
      <c r="M582" s="393">
        <v>257.01083999999997</v>
      </c>
      <c r="N582" s="399">
        <v>82.395846000000006</v>
      </c>
      <c r="O582" s="36">
        <v>43.317762000000002</v>
      </c>
      <c r="P582" s="36">
        <v>43.764608000000003</v>
      </c>
      <c r="Q582" s="393">
        <v>83.842679000000004</v>
      </c>
      <c r="R582" s="399">
        <v>151.07014000000001</v>
      </c>
      <c r="S582" s="36">
        <v>71.621533999999997</v>
      </c>
      <c r="T582" s="36">
        <v>79.142499000000001</v>
      </c>
      <c r="U582" s="393">
        <v>154.98352</v>
      </c>
    </row>
    <row r="583" spans="3:21" s="9" customFormat="1" ht="0.5" customHeight="1">
      <c r="C583" s="9" t="s">
        <v>45</v>
      </c>
      <c r="D583" s="9" t="str">
        <f t="shared" si="43"/>
        <v>Ecuador37.5</v>
      </c>
      <c r="E583" s="398">
        <v>37.5</v>
      </c>
      <c r="F583" s="399">
        <v>102.35298</v>
      </c>
      <c r="G583" s="36">
        <v>65.346658000000005</v>
      </c>
      <c r="H583" s="36">
        <v>73.895690000000002</v>
      </c>
      <c r="I583" s="393">
        <v>123.92066</v>
      </c>
      <c r="J583" s="399">
        <v>189.06625</v>
      </c>
      <c r="K583" s="36">
        <v>95.788506999999996</v>
      </c>
      <c r="L583" s="36">
        <v>130.32205999999999</v>
      </c>
      <c r="M583" s="393">
        <v>259.68893000000003</v>
      </c>
      <c r="N583" s="399">
        <v>82.549424000000002</v>
      </c>
      <c r="O583" s="36">
        <v>43.365141999999999</v>
      </c>
      <c r="P583" s="36">
        <v>43.956642000000002</v>
      </c>
      <c r="Q583" s="393">
        <v>83.918898999999996</v>
      </c>
      <c r="R583" s="399">
        <v>151.73750000000001</v>
      </c>
      <c r="S583" s="36">
        <v>71.880211000000003</v>
      </c>
      <c r="T583" s="36">
        <v>79.568887000000004</v>
      </c>
      <c r="U583" s="393">
        <v>157.04714000000001</v>
      </c>
    </row>
    <row r="584" spans="3:21" s="9" customFormat="1" ht="0.5" customHeight="1">
      <c r="C584" s="9" t="s">
        <v>45</v>
      </c>
      <c r="D584" s="9" t="str">
        <f t="shared" si="43"/>
        <v>Ecuador38</v>
      </c>
      <c r="E584" s="398">
        <v>38</v>
      </c>
      <c r="F584" s="399">
        <v>102.80616999999999</v>
      </c>
      <c r="G584" s="36">
        <v>65.443725000000001</v>
      </c>
      <c r="H584" s="36">
        <v>74.320272000000003</v>
      </c>
      <c r="I584" s="393">
        <v>124.82104</v>
      </c>
      <c r="J584" s="399">
        <v>190.81422000000001</v>
      </c>
      <c r="K584" s="36">
        <v>96.684344999999993</v>
      </c>
      <c r="L584" s="36">
        <v>131.12409</v>
      </c>
      <c r="M584" s="393">
        <v>262.34035999999998</v>
      </c>
      <c r="N584" s="399">
        <v>82.701549</v>
      </c>
      <c r="O584" s="36">
        <v>43.411416000000003</v>
      </c>
      <c r="P584" s="36">
        <v>44.117570000000001</v>
      </c>
      <c r="Q584" s="393">
        <v>83.853568999999993</v>
      </c>
      <c r="R584" s="399">
        <v>152.59788</v>
      </c>
      <c r="S584" s="36">
        <v>72.139827999999994</v>
      </c>
      <c r="T584" s="36">
        <v>79.996499</v>
      </c>
      <c r="U584" s="393">
        <v>159.10251</v>
      </c>
    </row>
    <row r="585" spans="3:21" s="9" customFormat="1" ht="0.5" customHeight="1">
      <c r="C585" s="9" t="s">
        <v>45</v>
      </c>
      <c r="D585" s="9" t="str">
        <f t="shared" si="43"/>
        <v>Ecuador38.5</v>
      </c>
      <c r="E585" s="398">
        <v>38.5</v>
      </c>
      <c r="F585" s="399">
        <v>103.24832000000001</v>
      </c>
      <c r="G585" s="36">
        <v>65.485372999999996</v>
      </c>
      <c r="H585" s="36">
        <v>74.740198000000007</v>
      </c>
      <c r="I585" s="393">
        <v>125.73644</v>
      </c>
      <c r="J585" s="399">
        <v>192.54694000000001</v>
      </c>
      <c r="K585" s="36">
        <v>97.671475999999998</v>
      </c>
      <c r="L585" s="36">
        <v>131.75396000000001</v>
      </c>
      <c r="M585" s="393">
        <v>264.98786999999999</v>
      </c>
      <c r="N585" s="399">
        <v>82.831052999999997</v>
      </c>
      <c r="O585" s="36">
        <v>43.426979000000003</v>
      </c>
      <c r="P585" s="36">
        <v>44.261761</v>
      </c>
      <c r="Q585" s="393">
        <v>83.645444999999995</v>
      </c>
      <c r="R585" s="399">
        <v>153.46647999999999</v>
      </c>
      <c r="S585" s="36">
        <v>72.386972999999998</v>
      </c>
      <c r="T585" s="36">
        <v>80.468986000000001</v>
      </c>
      <c r="U585" s="393">
        <v>161.19951</v>
      </c>
    </row>
    <row r="586" spans="3:21" s="9" customFormat="1" ht="0.5" customHeight="1">
      <c r="C586" s="9" t="s">
        <v>45</v>
      </c>
      <c r="D586" s="9" t="str">
        <f t="shared" si="43"/>
        <v>Ecuador39</v>
      </c>
      <c r="E586" s="398">
        <v>39</v>
      </c>
      <c r="F586" s="399">
        <v>103.67586</v>
      </c>
      <c r="G586" s="36">
        <v>65.528795000000002</v>
      </c>
      <c r="H586" s="36">
        <v>75.143917000000002</v>
      </c>
      <c r="I586" s="393">
        <v>126.64827</v>
      </c>
      <c r="J586" s="399">
        <v>194.11492000000001</v>
      </c>
      <c r="K586" s="36">
        <v>98.651073999999994</v>
      </c>
      <c r="L586" s="36">
        <v>132.36091999999999</v>
      </c>
      <c r="M586" s="393">
        <v>267.65690000000001</v>
      </c>
      <c r="N586" s="399">
        <v>82.954995999999994</v>
      </c>
      <c r="O586" s="36">
        <v>43.440159000000001</v>
      </c>
      <c r="P586" s="36">
        <v>44.371090000000002</v>
      </c>
      <c r="Q586" s="393">
        <v>83.05453</v>
      </c>
      <c r="R586" s="399">
        <v>154.38037</v>
      </c>
      <c r="S586" s="36">
        <v>72.633004</v>
      </c>
      <c r="T586" s="36">
        <v>80.939575000000005</v>
      </c>
      <c r="U586" s="393">
        <v>163.24888000000001</v>
      </c>
    </row>
    <row r="587" spans="3:21" s="9" customFormat="1" ht="0.5" customHeight="1">
      <c r="C587" s="9" t="s">
        <v>45</v>
      </c>
      <c r="D587" s="9" t="str">
        <f t="shared" si="43"/>
        <v>Ecuador39.5</v>
      </c>
      <c r="E587" s="398">
        <v>39.5</v>
      </c>
      <c r="F587" s="399">
        <v>104.06543000000001</v>
      </c>
      <c r="G587" s="36">
        <v>65.549216000000001</v>
      </c>
      <c r="H587" s="36">
        <v>75.554333</v>
      </c>
      <c r="I587" s="393">
        <v>127.52261</v>
      </c>
      <c r="J587" s="399">
        <v>195.79189</v>
      </c>
      <c r="K587" s="36">
        <v>99.683220000000006</v>
      </c>
      <c r="L587" s="36">
        <v>132.89357000000001</v>
      </c>
      <c r="M587" s="393">
        <v>270.34554000000003</v>
      </c>
      <c r="N587" s="399">
        <v>83.026330999999999</v>
      </c>
      <c r="O587" s="36">
        <v>43.413077000000001</v>
      </c>
      <c r="P587" s="36">
        <v>44.473936999999999</v>
      </c>
      <c r="Q587" s="393">
        <v>82.500641000000002</v>
      </c>
      <c r="R587" s="399">
        <v>155.27109999999999</v>
      </c>
      <c r="S587" s="36">
        <v>72.949909000000005</v>
      </c>
      <c r="T587" s="36">
        <v>81.397891999999999</v>
      </c>
      <c r="U587" s="393">
        <v>165.20108999999999</v>
      </c>
    </row>
    <row r="588" spans="3:21" s="9" customFormat="1" ht="0.5" customHeight="1">
      <c r="C588" s="9" t="s">
        <v>45</v>
      </c>
      <c r="D588" s="9" t="str">
        <f t="shared" si="43"/>
        <v>Ecuador40</v>
      </c>
      <c r="E588" s="398">
        <v>40</v>
      </c>
      <c r="F588" s="399">
        <v>104.44475</v>
      </c>
      <c r="G588" s="36">
        <v>65.568944999999999</v>
      </c>
      <c r="H588" s="36">
        <v>75.928208999999995</v>
      </c>
      <c r="I588" s="393">
        <v>128.37611999999999</v>
      </c>
      <c r="J588" s="399">
        <v>197.65450000000001</v>
      </c>
      <c r="K588" s="36">
        <v>100.73829000000001</v>
      </c>
      <c r="L588" s="36">
        <v>133.41798</v>
      </c>
      <c r="M588" s="393">
        <v>273.03007000000002</v>
      </c>
      <c r="N588" s="399">
        <v>83.112975000000006</v>
      </c>
      <c r="O588" s="36">
        <v>43.387206999999997</v>
      </c>
      <c r="P588" s="36">
        <v>44.585873999999997</v>
      </c>
      <c r="Q588" s="393">
        <v>82.088158000000007</v>
      </c>
      <c r="R588" s="399">
        <v>156.47361000000001</v>
      </c>
      <c r="S588" s="36">
        <v>73.422286999999997</v>
      </c>
      <c r="T588" s="36">
        <v>81.855853999999994</v>
      </c>
      <c r="U588" s="393">
        <v>167.16032000000001</v>
      </c>
    </row>
    <row r="589" spans="3:21" s="9" customFormat="1" ht="0.5" customHeight="1">
      <c r="C589" s="9" t="s">
        <v>45</v>
      </c>
      <c r="D589" s="9" t="str">
        <f t="shared" si="43"/>
        <v>Ecuador40.5</v>
      </c>
      <c r="E589" s="398">
        <v>40.5</v>
      </c>
      <c r="F589" s="399">
        <v>104.84913</v>
      </c>
      <c r="G589" s="36">
        <v>65.536987999999994</v>
      </c>
      <c r="H589" s="36">
        <v>76.278414999999995</v>
      </c>
      <c r="I589" s="393">
        <v>129.10388</v>
      </c>
      <c r="J589" s="399">
        <v>199.45066</v>
      </c>
      <c r="K589" s="36">
        <v>101.98023999999999</v>
      </c>
      <c r="L589" s="36">
        <v>133.90946</v>
      </c>
      <c r="M589" s="393">
        <v>275.69880000000001</v>
      </c>
      <c r="N589" s="399">
        <v>83.289130999999998</v>
      </c>
      <c r="O589" s="36">
        <v>43.380343000000003</v>
      </c>
      <c r="P589" s="36">
        <v>44.708333000000003</v>
      </c>
      <c r="Q589" s="393">
        <v>81.722102000000007</v>
      </c>
      <c r="R589" s="399">
        <v>157.68437</v>
      </c>
      <c r="S589" s="36">
        <v>74.198003999999997</v>
      </c>
      <c r="T589" s="36">
        <v>82.212745999999996</v>
      </c>
      <c r="U589" s="393">
        <v>169.11342999999999</v>
      </c>
    </row>
    <row r="590" spans="3:21" s="9" customFormat="1" ht="0.5" customHeight="1">
      <c r="C590" s="9" t="s">
        <v>45</v>
      </c>
      <c r="D590" s="9" t="str">
        <f t="shared" si="43"/>
        <v>Ecuador41</v>
      </c>
      <c r="E590" s="398">
        <v>41</v>
      </c>
      <c r="F590" s="399">
        <v>105.26558</v>
      </c>
      <c r="G590" s="36">
        <v>65.507063000000002</v>
      </c>
      <c r="H590" s="36">
        <v>76.512084000000002</v>
      </c>
      <c r="I590" s="393">
        <v>129.82737</v>
      </c>
      <c r="J590" s="399">
        <v>201.10921999999999</v>
      </c>
      <c r="K590" s="36">
        <v>103.24585999999999</v>
      </c>
      <c r="L590" s="36">
        <v>134.38016999999999</v>
      </c>
      <c r="M590" s="393">
        <v>278.35887000000002</v>
      </c>
      <c r="N590" s="399">
        <v>83.469395000000006</v>
      </c>
      <c r="O590" s="36">
        <v>43.375698999999997</v>
      </c>
      <c r="P590" s="36">
        <v>44.863961000000003</v>
      </c>
      <c r="Q590" s="393">
        <v>81.535820000000001</v>
      </c>
      <c r="R590" s="399">
        <v>159.13932</v>
      </c>
      <c r="S590" s="36">
        <v>75.012612000000004</v>
      </c>
      <c r="T590" s="36">
        <v>82.557346999999993</v>
      </c>
      <c r="U590" s="393">
        <v>170.98240999999999</v>
      </c>
    </row>
    <row r="591" spans="3:21" s="9" customFormat="1" ht="0.5" customHeight="1">
      <c r="C591" s="9" t="s">
        <v>45</v>
      </c>
      <c r="D591" s="9" t="str">
        <f t="shared" si="43"/>
        <v>Ecuador41.5</v>
      </c>
      <c r="E591" s="398">
        <v>41.5</v>
      </c>
      <c r="F591" s="399">
        <v>105.70245</v>
      </c>
      <c r="G591" s="36">
        <v>65.445921999999996</v>
      </c>
      <c r="H591" s="36">
        <v>76.749909000000002</v>
      </c>
      <c r="I591" s="393">
        <v>130.51967999999999</v>
      </c>
      <c r="J591" s="399">
        <v>202.74943999999999</v>
      </c>
      <c r="K591" s="36">
        <v>104.57192999999999</v>
      </c>
      <c r="L591" s="36">
        <v>134.83617000000001</v>
      </c>
      <c r="M591" s="393">
        <v>281.00706000000002</v>
      </c>
      <c r="N591" s="399">
        <v>83.741308000000004</v>
      </c>
      <c r="O591" s="36">
        <v>43.304828000000001</v>
      </c>
      <c r="P591" s="36">
        <v>45.024996000000002</v>
      </c>
      <c r="Q591" s="393">
        <v>81.362735000000001</v>
      </c>
      <c r="R591" s="399">
        <v>160.59531999999999</v>
      </c>
      <c r="S591" s="36">
        <v>75.699798999999999</v>
      </c>
      <c r="T591" s="36">
        <v>82.991449000000003</v>
      </c>
      <c r="U591" s="393">
        <v>172.68646000000001</v>
      </c>
    </row>
    <row r="592" spans="3:21" s="9" customFormat="1" ht="0.5" customHeight="1">
      <c r="C592" s="9" t="s">
        <v>45</v>
      </c>
      <c r="D592" s="9" t="str">
        <f t="shared" si="43"/>
        <v>Ecuador42</v>
      </c>
      <c r="E592" s="398">
        <v>42</v>
      </c>
      <c r="F592" s="399">
        <v>106.14653</v>
      </c>
      <c r="G592" s="36">
        <v>65.385226000000003</v>
      </c>
      <c r="H592" s="36">
        <v>76.901931000000005</v>
      </c>
      <c r="I592" s="393">
        <v>131.18928</v>
      </c>
      <c r="J592" s="399">
        <v>204.39255</v>
      </c>
      <c r="K592" s="36">
        <v>105.90027000000001</v>
      </c>
      <c r="L592" s="36">
        <v>135.34050999999999</v>
      </c>
      <c r="M592" s="393">
        <v>283.63574999999997</v>
      </c>
      <c r="N592" s="399">
        <v>84.017256000000003</v>
      </c>
      <c r="O592" s="36">
        <v>43.237560999999999</v>
      </c>
      <c r="P592" s="36">
        <v>45.185775999999997</v>
      </c>
      <c r="Q592" s="393">
        <v>81.334990000000005</v>
      </c>
      <c r="R592" s="399">
        <v>161.74417</v>
      </c>
      <c r="S592" s="36">
        <v>76.344401000000005</v>
      </c>
      <c r="T592" s="36">
        <v>83.446804999999998</v>
      </c>
      <c r="U592" s="393">
        <v>174.15978999999999</v>
      </c>
    </row>
    <row r="593" spans="3:21" s="9" customFormat="1" ht="0.5" customHeight="1">
      <c r="C593" s="9" t="s">
        <v>45</v>
      </c>
      <c r="D593" s="9" t="str">
        <f t="shared" si="43"/>
        <v>Ecuador42.5</v>
      </c>
      <c r="E593" s="398">
        <v>42.5</v>
      </c>
      <c r="F593" s="399">
        <v>106.61918</v>
      </c>
      <c r="G593" s="36">
        <v>65.325818999999996</v>
      </c>
      <c r="H593" s="36">
        <v>77.056366999999995</v>
      </c>
      <c r="I593" s="393">
        <v>131.59037000000001</v>
      </c>
      <c r="J593" s="399">
        <v>205.77233000000001</v>
      </c>
      <c r="K593" s="36">
        <v>107.31301000000001</v>
      </c>
      <c r="L593" s="36">
        <v>136.02119999999999</v>
      </c>
      <c r="M593" s="393">
        <v>286.26038999999997</v>
      </c>
      <c r="N593" s="399">
        <v>84.355529000000004</v>
      </c>
      <c r="O593" s="36">
        <v>43.204948999999999</v>
      </c>
      <c r="P593" s="36">
        <v>45.344183000000001</v>
      </c>
      <c r="Q593" s="393">
        <v>81.336100000000002</v>
      </c>
      <c r="R593" s="399">
        <v>162.93595999999999</v>
      </c>
      <c r="S593" s="36">
        <v>76.878004000000004</v>
      </c>
      <c r="T593" s="36">
        <v>84.037796</v>
      </c>
      <c r="U593" s="393">
        <v>175.47114999999999</v>
      </c>
    </row>
    <row r="594" spans="3:21" s="9" customFormat="1" ht="0.5" customHeight="1">
      <c r="C594" s="9" t="s">
        <v>45</v>
      </c>
      <c r="D594" s="9" t="str">
        <f t="shared" si="43"/>
        <v>Ecuador43</v>
      </c>
      <c r="E594" s="398">
        <v>43</v>
      </c>
      <c r="F594" s="399">
        <v>107.10656</v>
      </c>
      <c r="G594" s="36">
        <v>65.270275999999996</v>
      </c>
      <c r="H594" s="36">
        <v>77.102198000000001</v>
      </c>
      <c r="I594" s="393">
        <v>131.98479</v>
      </c>
      <c r="J594" s="399">
        <v>206.86637999999999</v>
      </c>
      <c r="K594" s="36">
        <v>108.71678</v>
      </c>
      <c r="L594" s="36">
        <v>136.69262000000001</v>
      </c>
      <c r="M594" s="393">
        <v>288.88096999999999</v>
      </c>
      <c r="N594" s="399">
        <v>84.689139999999995</v>
      </c>
      <c r="O594" s="36">
        <v>43.169476000000003</v>
      </c>
      <c r="P594" s="36">
        <v>45.471806999999998</v>
      </c>
      <c r="Q594" s="393">
        <v>81.306297999999998</v>
      </c>
      <c r="R594" s="399">
        <v>164.21001000000001</v>
      </c>
      <c r="S594" s="36">
        <v>77.42004</v>
      </c>
      <c r="T594" s="36">
        <v>84.639690000000002</v>
      </c>
      <c r="U594" s="393">
        <v>176.52524</v>
      </c>
    </row>
    <row r="595" spans="3:21" s="9" customFormat="1" ht="0.5" customHeight="1">
      <c r="C595" s="9" t="s">
        <v>45</v>
      </c>
      <c r="D595" s="9" t="str">
        <f t="shared" si="43"/>
        <v>Ecuador43.5</v>
      </c>
      <c r="E595" s="398">
        <v>43.5</v>
      </c>
      <c r="F595" s="399">
        <v>107.59189000000001</v>
      </c>
      <c r="G595" s="36">
        <v>65.293340000000001</v>
      </c>
      <c r="H595" s="36">
        <v>77.122023999999996</v>
      </c>
      <c r="I595" s="393">
        <v>132.49214000000001</v>
      </c>
      <c r="J595" s="399">
        <v>207.94309999999999</v>
      </c>
      <c r="K595" s="36">
        <v>109.88112</v>
      </c>
      <c r="L595" s="36">
        <v>137.20106000000001</v>
      </c>
      <c r="M595" s="393">
        <v>291.49200000000002</v>
      </c>
      <c r="N595" s="399">
        <v>84.997708000000003</v>
      </c>
      <c r="O595" s="36">
        <v>43.063858000000003</v>
      </c>
      <c r="P595" s="36">
        <v>45.582234</v>
      </c>
      <c r="Q595" s="393">
        <v>81.293087999999997</v>
      </c>
      <c r="R595" s="399">
        <v>165.48668000000001</v>
      </c>
      <c r="S595" s="36">
        <v>77.989782000000005</v>
      </c>
      <c r="T595" s="36">
        <v>85.310941999999997</v>
      </c>
      <c r="U595" s="393">
        <v>177.35717</v>
      </c>
    </row>
    <row r="596" spans="3:21" s="9" customFormat="1" ht="0.5" customHeight="1">
      <c r="C596" s="9" t="s">
        <v>45</v>
      </c>
      <c r="D596" s="9" t="str">
        <f t="shared" si="43"/>
        <v>Ecuador44</v>
      </c>
      <c r="E596" s="398">
        <v>44</v>
      </c>
      <c r="F596" s="399">
        <v>108.04747999999999</v>
      </c>
      <c r="G596" s="36">
        <v>65.316259000000002</v>
      </c>
      <c r="H596" s="36">
        <v>77.051090000000002</v>
      </c>
      <c r="I596" s="393">
        <v>133.00009</v>
      </c>
      <c r="J596" s="399">
        <v>209.08403000000001</v>
      </c>
      <c r="K596" s="36">
        <v>111.03845</v>
      </c>
      <c r="L596" s="36">
        <v>137.72304</v>
      </c>
      <c r="M596" s="393">
        <v>294.09064000000001</v>
      </c>
      <c r="N596" s="399">
        <v>85.305041000000003</v>
      </c>
      <c r="O596" s="36">
        <v>42.957635000000003</v>
      </c>
      <c r="P596" s="36">
        <v>45.685290999999999</v>
      </c>
      <c r="Q596" s="393">
        <v>81.407950999999997</v>
      </c>
      <c r="R596" s="399">
        <v>166.71684999999999</v>
      </c>
      <c r="S596" s="36">
        <v>78.387991</v>
      </c>
      <c r="T596" s="36">
        <v>85.965310000000002</v>
      </c>
      <c r="U596" s="393">
        <v>178.09735000000001</v>
      </c>
    </row>
    <row r="597" spans="3:21" s="9" customFormat="1" ht="0.5" customHeight="1">
      <c r="C597" s="9" t="s">
        <v>45</v>
      </c>
      <c r="D597" s="9" t="str">
        <f t="shared" si="43"/>
        <v>Ecuador44.5</v>
      </c>
      <c r="E597" s="398">
        <v>44.5</v>
      </c>
      <c r="F597" s="399">
        <v>108.48475000000001</v>
      </c>
      <c r="G597" s="36">
        <v>65.268111000000005</v>
      </c>
      <c r="H597" s="36">
        <v>77.008702</v>
      </c>
      <c r="I597" s="393">
        <v>133.47194999999999</v>
      </c>
      <c r="J597" s="399">
        <v>210.33240000000001</v>
      </c>
      <c r="K597" s="36">
        <v>111.3283</v>
      </c>
      <c r="L597" s="36">
        <v>138.32909000000001</v>
      </c>
      <c r="M597" s="393">
        <v>296.67979000000003</v>
      </c>
      <c r="N597" s="399">
        <v>85.713508000000004</v>
      </c>
      <c r="O597" s="36">
        <v>42.798102999999998</v>
      </c>
      <c r="P597" s="36">
        <v>45.789079999999998</v>
      </c>
      <c r="Q597" s="393">
        <v>81.508015</v>
      </c>
      <c r="R597" s="399">
        <v>167.93984</v>
      </c>
      <c r="S597" s="36">
        <v>78.610744999999994</v>
      </c>
      <c r="T597" s="36">
        <v>86.426609999999997</v>
      </c>
      <c r="U597" s="393">
        <v>178.81223</v>
      </c>
    </row>
    <row r="598" spans="3:21" s="9" customFormat="1" ht="0.5" customHeight="1">
      <c r="C598" s="9" t="s">
        <v>45</v>
      </c>
      <c r="D598" s="9" t="str">
        <f t="shared" si="43"/>
        <v>Ecuador45</v>
      </c>
      <c r="E598" s="398">
        <v>45</v>
      </c>
      <c r="F598" s="399">
        <v>108.89104</v>
      </c>
      <c r="G598" s="36">
        <v>65.218576999999996</v>
      </c>
      <c r="H598" s="36">
        <v>76.861131</v>
      </c>
      <c r="I598" s="393">
        <v>133.94087999999999</v>
      </c>
      <c r="J598" s="399">
        <v>211.86264</v>
      </c>
      <c r="K598" s="36">
        <v>111.58593999999999</v>
      </c>
      <c r="L598" s="36">
        <v>138.92361</v>
      </c>
      <c r="M598" s="393">
        <v>299.25671</v>
      </c>
      <c r="N598" s="399">
        <v>86.120232999999999</v>
      </c>
      <c r="O598" s="36">
        <v>42.633425000000003</v>
      </c>
      <c r="P598" s="36">
        <v>45.895746000000003</v>
      </c>
      <c r="Q598" s="393">
        <v>81.667733999999996</v>
      </c>
      <c r="R598" s="399">
        <v>168.96088</v>
      </c>
      <c r="S598" s="36">
        <v>78.99821</v>
      </c>
      <c r="T598" s="36">
        <v>86.881587999999994</v>
      </c>
      <c r="U598" s="393">
        <v>179.61843999999999</v>
      </c>
    </row>
    <row r="599" spans="3:21" s="9" customFormat="1" ht="0.5" customHeight="1">
      <c r="C599" s="9" t="s">
        <v>45</v>
      </c>
      <c r="D599" s="9" t="str">
        <f t="shared" si="43"/>
        <v>Ecuador45.5</v>
      </c>
      <c r="E599" s="398">
        <v>45.5</v>
      </c>
      <c r="F599" s="399">
        <v>109.24021999999999</v>
      </c>
      <c r="G599" s="36">
        <v>65.162015999999994</v>
      </c>
      <c r="H599" s="36">
        <v>76.679586</v>
      </c>
      <c r="I599" s="393">
        <v>134.41182000000001</v>
      </c>
      <c r="J599" s="399">
        <v>213.94833</v>
      </c>
      <c r="K599" s="36">
        <v>112.19023</v>
      </c>
      <c r="L599" s="36">
        <v>139.40637000000001</v>
      </c>
      <c r="M599" s="393">
        <v>301.80667</v>
      </c>
      <c r="N599" s="399">
        <v>86.512293999999997</v>
      </c>
      <c r="O599" s="36">
        <v>42.442121999999998</v>
      </c>
      <c r="P599" s="36">
        <v>46.015287000000001</v>
      </c>
      <c r="Q599" s="393">
        <v>81.888542999999999</v>
      </c>
      <c r="R599" s="399">
        <v>169.96784</v>
      </c>
      <c r="S599" s="36">
        <v>79.674835999999999</v>
      </c>
      <c r="T599" s="36">
        <v>87.218587999999997</v>
      </c>
      <c r="U599" s="393">
        <v>180.56496999999999</v>
      </c>
    </row>
    <row r="600" spans="3:21" s="9" customFormat="1" ht="0.5" customHeight="1">
      <c r="C600" s="9" t="s">
        <v>45</v>
      </c>
      <c r="D600" s="9" t="str">
        <f t="shared" si="43"/>
        <v>Ecuador46</v>
      </c>
      <c r="E600" s="398">
        <v>46</v>
      </c>
      <c r="F600" s="399">
        <v>109.53418000000001</v>
      </c>
      <c r="G600" s="36">
        <v>65.105688000000001</v>
      </c>
      <c r="H600" s="36">
        <v>76.441378999999998</v>
      </c>
      <c r="I600" s="393">
        <v>134.85802000000001</v>
      </c>
      <c r="J600" s="399">
        <v>216.15773999999999</v>
      </c>
      <c r="K600" s="36">
        <v>112.80465</v>
      </c>
      <c r="L600" s="36">
        <v>139.91335000000001</v>
      </c>
      <c r="M600" s="393">
        <v>304.32576</v>
      </c>
      <c r="N600" s="399">
        <v>86.899303000000003</v>
      </c>
      <c r="O600" s="36">
        <v>42.255243</v>
      </c>
      <c r="P600" s="36">
        <v>46.158369</v>
      </c>
      <c r="Q600" s="393">
        <v>82.328545000000005</v>
      </c>
      <c r="R600" s="399">
        <v>171.24011999999999</v>
      </c>
      <c r="S600" s="36">
        <v>80.442738000000006</v>
      </c>
      <c r="T600" s="36">
        <v>87.550521000000003</v>
      </c>
      <c r="U600" s="393">
        <v>181.42477</v>
      </c>
    </row>
    <row r="601" spans="3:21" s="9" customFormat="1" ht="0.5" customHeight="1">
      <c r="C601" s="9" t="s">
        <v>45</v>
      </c>
      <c r="D601" s="9" t="str">
        <f t="shared" si="43"/>
        <v>Ecuador46.5</v>
      </c>
      <c r="E601" s="398">
        <v>46.5</v>
      </c>
      <c r="F601" s="399">
        <v>109.79658000000001</v>
      </c>
      <c r="G601" s="36">
        <v>64.848020000000005</v>
      </c>
      <c r="H601" s="36">
        <v>76.240727000000007</v>
      </c>
      <c r="I601" s="393">
        <v>135.24610000000001</v>
      </c>
      <c r="J601" s="399">
        <v>218.45160999999999</v>
      </c>
      <c r="K601" s="36">
        <v>112.66838</v>
      </c>
      <c r="L601" s="36">
        <v>140.60141999999999</v>
      </c>
      <c r="M601" s="393">
        <v>306.81814000000003</v>
      </c>
      <c r="N601" s="399">
        <v>87.430726000000007</v>
      </c>
      <c r="O601" s="36">
        <v>42.076205999999999</v>
      </c>
      <c r="P601" s="36">
        <v>46.279972999999998</v>
      </c>
      <c r="Q601" s="393">
        <v>82.818118999999996</v>
      </c>
      <c r="R601" s="399">
        <v>172.50184999999999</v>
      </c>
      <c r="S601" s="36">
        <v>81.225314999999995</v>
      </c>
      <c r="T601" s="36">
        <v>87.838246999999996</v>
      </c>
      <c r="U601" s="393">
        <v>182.13457</v>
      </c>
    </row>
    <row r="602" spans="3:21" s="9" customFormat="1" ht="0.5" customHeight="1">
      <c r="C602" s="9" t="s">
        <v>45</v>
      </c>
      <c r="D602" s="9" t="str">
        <f t="shared" si="43"/>
        <v>Ecuador47</v>
      </c>
      <c r="E602" s="398">
        <v>47</v>
      </c>
      <c r="F602" s="399">
        <v>110.06003</v>
      </c>
      <c r="G602" s="36">
        <v>64.602615999999998</v>
      </c>
      <c r="H602" s="36">
        <v>76.081576999999996</v>
      </c>
      <c r="I602" s="393">
        <v>135.64401000000001</v>
      </c>
      <c r="J602" s="399">
        <v>220.99199999999999</v>
      </c>
      <c r="K602" s="36">
        <v>112.5351</v>
      </c>
      <c r="L602" s="36">
        <v>141.25136000000001</v>
      </c>
      <c r="M602" s="393">
        <v>309.26785000000001</v>
      </c>
      <c r="N602" s="399">
        <v>87.973129</v>
      </c>
      <c r="O602" s="36">
        <v>41.902092000000003</v>
      </c>
      <c r="P602" s="36">
        <v>46.376114000000001</v>
      </c>
      <c r="Q602" s="393">
        <v>83.445003</v>
      </c>
      <c r="R602" s="399">
        <v>173.88495</v>
      </c>
      <c r="S602" s="36">
        <v>81.826260000000005</v>
      </c>
      <c r="T602" s="36">
        <v>88.117574000000005</v>
      </c>
      <c r="U602" s="393">
        <v>182.60003</v>
      </c>
    </row>
    <row r="603" spans="3:21" s="9" customFormat="1" ht="0.5" customHeight="1">
      <c r="C603" s="9" t="s">
        <v>45</v>
      </c>
      <c r="D603" s="9" t="str">
        <f t="shared" si="43"/>
        <v>Ecuador47.5</v>
      </c>
      <c r="E603" s="398">
        <v>47.5</v>
      </c>
      <c r="F603" s="399">
        <v>110.28901</v>
      </c>
      <c r="G603" s="36">
        <v>64.439753999999994</v>
      </c>
      <c r="H603" s="36">
        <v>75.896550000000005</v>
      </c>
      <c r="I603" s="393">
        <v>136.04921999999999</v>
      </c>
      <c r="J603" s="399">
        <v>223.76263</v>
      </c>
      <c r="K603" s="36">
        <v>112.72033</v>
      </c>
      <c r="L603" s="36">
        <v>142.25958</v>
      </c>
      <c r="M603" s="393">
        <v>311.66253</v>
      </c>
      <c r="N603" s="399">
        <v>88.514863000000005</v>
      </c>
      <c r="O603" s="36">
        <v>41.740437999999997</v>
      </c>
      <c r="P603" s="36">
        <v>46.470033000000001</v>
      </c>
      <c r="Q603" s="393">
        <v>84.050625999999994</v>
      </c>
      <c r="R603" s="399">
        <v>175.27821</v>
      </c>
      <c r="S603" s="36">
        <v>82.214444</v>
      </c>
      <c r="T603" s="36">
        <v>88.280709000000002</v>
      </c>
      <c r="U603" s="393">
        <v>182.83551</v>
      </c>
    </row>
    <row r="604" spans="3:21" s="9" customFormat="1" ht="0.5" customHeight="1">
      <c r="C604" s="9" t="s">
        <v>45</v>
      </c>
      <c r="D604" s="9" t="str">
        <f t="shared" si="43"/>
        <v>Ecuador48</v>
      </c>
      <c r="E604" s="398">
        <v>48</v>
      </c>
      <c r="F604" s="399">
        <v>110.49231</v>
      </c>
      <c r="G604" s="36">
        <v>64.282894999999996</v>
      </c>
      <c r="H604" s="36">
        <v>75.532690000000002</v>
      </c>
      <c r="I604" s="393">
        <v>136.45469</v>
      </c>
      <c r="J604" s="399">
        <v>226.44309000000001</v>
      </c>
      <c r="K604" s="36">
        <v>112.92955000000001</v>
      </c>
      <c r="L604" s="36">
        <v>143.25994</v>
      </c>
      <c r="M604" s="393">
        <v>314.01812999999999</v>
      </c>
      <c r="N604" s="399">
        <v>89.061892999999998</v>
      </c>
      <c r="O604" s="36">
        <v>41.582652000000003</v>
      </c>
      <c r="P604" s="36">
        <v>46.545613000000003</v>
      </c>
      <c r="Q604" s="393">
        <v>84.484339000000006</v>
      </c>
      <c r="R604" s="399">
        <v>177.24151000000001</v>
      </c>
      <c r="S604" s="36">
        <v>82.532319999999999</v>
      </c>
      <c r="T604" s="36">
        <v>88.453180000000003</v>
      </c>
      <c r="U604" s="393">
        <v>183.11971</v>
      </c>
    </row>
    <row r="605" spans="3:21" s="9" customFormat="1" ht="0.5" customHeight="1">
      <c r="C605" s="9" t="s">
        <v>45</v>
      </c>
      <c r="D605" s="9" t="str">
        <f t="shared" si="43"/>
        <v>Ecuador48.5</v>
      </c>
      <c r="E605" s="398">
        <v>48.5</v>
      </c>
      <c r="F605" s="399">
        <v>110.70724</v>
      </c>
      <c r="G605" s="36">
        <v>64.126458999999997</v>
      </c>
      <c r="H605" s="36">
        <v>75.176426000000006</v>
      </c>
      <c r="I605" s="393">
        <v>136.89848000000001</v>
      </c>
      <c r="J605" s="399">
        <v>228.97206</v>
      </c>
      <c r="K605" s="36">
        <v>113.40172</v>
      </c>
      <c r="L605" s="36">
        <v>144.11104</v>
      </c>
      <c r="M605" s="393">
        <v>316.32010000000002</v>
      </c>
      <c r="N605" s="399">
        <v>89.656183999999996</v>
      </c>
      <c r="O605" s="36">
        <v>41.457248</v>
      </c>
      <c r="P605" s="36">
        <v>46.601103000000002</v>
      </c>
      <c r="Q605" s="393">
        <v>84.866692</v>
      </c>
      <c r="R605" s="399">
        <v>179.19502</v>
      </c>
      <c r="S605" s="36">
        <v>82.882057000000003</v>
      </c>
      <c r="T605" s="36">
        <v>88.564526000000001</v>
      </c>
      <c r="U605" s="393">
        <v>183.54955000000001</v>
      </c>
    </row>
    <row r="606" spans="3:21" s="9" customFormat="1" ht="0.5" customHeight="1">
      <c r="C606" s="9" t="s">
        <v>45</v>
      </c>
      <c r="D606" s="9" t="str">
        <f t="shared" si="43"/>
        <v>Ecuador49</v>
      </c>
      <c r="E606" s="398">
        <v>49</v>
      </c>
      <c r="F606" s="399">
        <v>110.83592</v>
      </c>
      <c r="G606" s="36">
        <v>63.970072000000002</v>
      </c>
      <c r="H606" s="36">
        <v>74.923187999999996</v>
      </c>
      <c r="I606" s="393">
        <v>137.34085999999999</v>
      </c>
      <c r="J606" s="399">
        <v>231.50532999999999</v>
      </c>
      <c r="K606" s="36">
        <v>113.82168</v>
      </c>
      <c r="L606" s="36">
        <v>144.95058</v>
      </c>
      <c r="M606" s="393">
        <v>318.56115999999997</v>
      </c>
      <c r="N606" s="399">
        <v>90.251845000000003</v>
      </c>
      <c r="O606" s="36">
        <v>41.329614999999997</v>
      </c>
      <c r="P606" s="36">
        <v>46.626497000000001</v>
      </c>
      <c r="Q606" s="393">
        <v>85.390225999999998</v>
      </c>
      <c r="R606" s="399">
        <v>181.42499000000001</v>
      </c>
      <c r="S606" s="36">
        <v>83.296075000000002</v>
      </c>
      <c r="T606" s="36">
        <v>88.675393999999997</v>
      </c>
      <c r="U606" s="393">
        <v>183.96777</v>
      </c>
    </row>
    <row r="607" spans="3:21" s="9" customFormat="1" ht="0.5" customHeight="1">
      <c r="C607" s="9" t="s">
        <v>45</v>
      </c>
      <c r="D607" s="9" t="str">
        <f t="shared" si="43"/>
        <v>Ecuador49.5</v>
      </c>
      <c r="E607" s="398">
        <v>49.5</v>
      </c>
      <c r="F607" s="399">
        <v>110.89254</v>
      </c>
      <c r="G607" s="36">
        <v>63.725127999999998</v>
      </c>
      <c r="H607" s="36">
        <v>74.671654000000004</v>
      </c>
      <c r="I607" s="393">
        <v>137.73802000000001</v>
      </c>
      <c r="J607" s="399">
        <v>234.16747000000001</v>
      </c>
      <c r="K607" s="36">
        <v>114.27012000000001</v>
      </c>
      <c r="L607" s="36">
        <v>145.57612</v>
      </c>
      <c r="M607" s="393">
        <v>320.72480999999999</v>
      </c>
      <c r="N607" s="399">
        <v>90.843840999999998</v>
      </c>
      <c r="O607" s="36">
        <v>41.143005000000002</v>
      </c>
      <c r="P607" s="36">
        <v>46.650004000000003</v>
      </c>
      <c r="Q607" s="393">
        <v>86.010074000000003</v>
      </c>
      <c r="R607" s="399">
        <v>183.65588</v>
      </c>
      <c r="S607" s="36">
        <v>83.586426000000003</v>
      </c>
      <c r="T607" s="36">
        <v>88.914361999999997</v>
      </c>
      <c r="U607" s="393">
        <v>184.37118000000001</v>
      </c>
    </row>
    <row r="608" spans="3:21" s="9" customFormat="1" ht="0.5" customHeight="1">
      <c r="C608" s="9" t="s">
        <v>45</v>
      </c>
      <c r="D608" s="9" t="str">
        <f t="shared" si="43"/>
        <v>Ecuador50</v>
      </c>
      <c r="E608" s="398">
        <v>50</v>
      </c>
      <c r="F608" s="399">
        <v>110.92232</v>
      </c>
      <c r="G608" s="36">
        <v>63.481102999999997</v>
      </c>
      <c r="H608" s="36">
        <v>74.308312999999998</v>
      </c>
      <c r="I608" s="393">
        <v>138.13426999999999</v>
      </c>
      <c r="J608" s="399">
        <v>236.64506</v>
      </c>
      <c r="K608" s="36">
        <v>114.70668000000001</v>
      </c>
      <c r="L608" s="36">
        <v>146.20675</v>
      </c>
      <c r="M608" s="393">
        <v>322.81344000000001</v>
      </c>
      <c r="N608" s="399">
        <v>91.435783999999998</v>
      </c>
      <c r="O608" s="36">
        <v>40.952440000000003</v>
      </c>
      <c r="P608" s="36">
        <v>46.675111999999999</v>
      </c>
      <c r="Q608" s="393">
        <v>86.757148999999998</v>
      </c>
      <c r="R608" s="399">
        <v>186.14505</v>
      </c>
      <c r="S608" s="36">
        <v>83.722282000000007</v>
      </c>
      <c r="T608" s="36">
        <v>89.144311000000002</v>
      </c>
      <c r="U608" s="393">
        <v>184.80385999999999</v>
      </c>
    </row>
    <row r="609" spans="3:21" s="9" customFormat="1" ht="0.5" customHeight="1">
      <c r="C609" s="9" t="s">
        <v>45</v>
      </c>
      <c r="D609" s="9" t="str">
        <f t="shared" si="43"/>
        <v>Ecuador50.5</v>
      </c>
      <c r="E609" s="398">
        <v>50.5</v>
      </c>
      <c r="F609" s="399">
        <v>110.95856999999999</v>
      </c>
      <c r="G609" s="36">
        <v>63.306623000000002</v>
      </c>
      <c r="H609" s="36">
        <v>73.928807000000006</v>
      </c>
      <c r="I609" s="393">
        <v>138.55208999999999</v>
      </c>
      <c r="J609" s="399">
        <v>238.79901000000001</v>
      </c>
      <c r="K609" s="36">
        <v>114.95558</v>
      </c>
      <c r="L609" s="36">
        <v>146.69694999999999</v>
      </c>
      <c r="M609" s="393">
        <v>324.82276000000002</v>
      </c>
      <c r="N609" s="399">
        <v>91.993021999999996</v>
      </c>
      <c r="O609" s="36">
        <v>40.756307999999997</v>
      </c>
      <c r="P609" s="36">
        <v>46.691674999999996</v>
      </c>
      <c r="Q609" s="393">
        <v>87.472903000000002</v>
      </c>
      <c r="R609" s="399">
        <v>188.64209</v>
      </c>
      <c r="S609" s="36">
        <v>83.693687999999995</v>
      </c>
      <c r="T609" s="36">
        <v>89.387838000000002</v>
      </c>
      <c r="U609" s="393">
        <v>185.38550000000001</v>
      </c>
    </row>
    <row r="610" spans="3:21" s="9" customFormat="1" ht="0.5" customHeight="1">
      <c r="C610" s="9" t="s">
        <v>45</v>
      </c>
      <c r="D610" s="9" t="str">
        <f t="shared" si="43"/>
        <v>Ecuador51</v>
      </c>
      <c r="E610" s="398">
        <v>51</v>
      </c>
      <c r="F610" s="399">
        <v>111.00801</v>
      </c>
      <c r="G610" s="36">
        <v>63.133837</v>
      </c>
      <c r="H610" s="36">
        <v>73.477087999999995</v>
      </c>
      <c r="I610" s="393">
        <v>138.96184</v>
      </c>
      <c r="J610" s="399">
        <v>240.88560000000001</v>
      </c>
      <c r="K610" s="36">
        <v>115.21096</v>
      </c>
      <c r="L610" s="36">
        <v>147.17973000000001</v>
      </c>
      <c r="M610" s="393">
        <v>326.84278</v>
      </c>
      <c r="N610" s="399">
        <v>92.539134000000004</v>
      </c>
      <c r="O610" s="36">
        <v>40.561363999999998</v>
      </c>
      <c r="P610" s="36">
        <v>46.667380000000001</v>
      </c>
      <c r="Q610" s="393">
        <v>88.113613999999998</v>
      </c>
      <c r="R610" s="399">
        <v>191.59205</v>
      </c>
      <c r="S610" s="36">
        <v>83.578890999999999</v>
      </c>
      <c r="T610" s="36">
        <v>89.639702999999997</v>
      </c>
      <c r="U610" s="393">
        <v>186.11595</v>
      </c>
    </row>
    <row r="611" spans="3:21" s="9" customFormat="1" ht="0.5" customHeight="1">
      <c r="C611" s="9" t="s">
        <v>45</v>
      </c>
      <c r="D611" s="9" t="str">
        <f t="shared" si="43"/>
        <v>Ecuador51.5</v>
      </c>
      <c r="E611" s="398">
        <v>51.5</v>
      </c>
      <c r="F611" s="399">
        <v>111.0707</v>
      </c>
      <c r="G611" s="36">
        <v>62.925077999999999</v>
      </c>
      <c r="H611" s="36">
        <v>73.027682999999996</v>
      </c>
      <c r="I611" s="393">
        <v>139.35095999999999</v>
      </c>
      <c r="J611" s="399">
        <v>242.80882</v>
      </c>
      <c r="K611" s="36">
        <v>115.6345</v>
      </c>
      <c r="L611" s="36">
        <v>147.37780000000001</v>
      </c>
      <c r="M611" s="393">
        <v>328.84859</v>
      </c>
      <c r="N611" s="399">
        <v>93.001422000000005</v>
      </c>
      <c r="O611" s="36">
        <v>40.348897000000001</v>
      </c>
      <c r="P611" s="36">
        <v>46.610038000000003</v>
      </c>
      <c r="Q611" s="393">
        <v>88.718366000000003</v>
      </c>
      <c r="R611" s="399">
        <v>194.53785999999999</v>
      </c>
      <c r="S611" s="36">
        <v>83.479091999999994</v>
      </c>
      <c r="T611" s="36">
        <v>89.885192000000004</v>
      </c>
      <c r="U611" s="393">
        <v>186.97657000000001</v>
      </c>
    </row>
    <row r="612" spans="3:21" s="9" customFormat="1" ht="0.5" customHeight="1">
      <c r="C612" s="9" t="s">
        <v>45</v>
      </c>
      <c r="D612" s="9" t="str">
        <f t="shared" si="43"/>
        <v>Ecuador52</v>
      </c>
      <c r="E612" s="398">
        <v>52</v>
      </c>
      <c r="F612" s="399">
        <v>111.14548000000001</v>
      </c>
      <c r="G612" s="36">
        <v>62.716954999999999</v>
      </c>
      <c r="H612" s="36">
        <v>72.582749000000007</v>
      </c>
      <c r="I612" s="393">
        <v>139.68877000000001</v>
      </c>
      <c r="J612" s="399">
        <v>244.56665000000001</v>
      </c>
      <c r="K612" s="36">
        <v>116.02638</v>
      </c>
      <c r="L612" s="36">
        <v>147.51197999999999</v>
      </c>
      <c r="M612" s="393">
        <v>331.02375999999998</v>
      </c>
      <c r="N612" s="399">
        <v>93.491101999999998</v>
      </c>
      <c r="O612" s="36">
        <v>40.151837</v>
      </c>
      <c r="P612" s="36">
        <v>46.510961000000002</v>
      </c>
      <c r="Q612" s="393">
        <v>89.266069000000002</v>
      </c>
      <c r="R612" s="399">
        <v>197.53554</v>
      </c>
      <c r="S612" s="36">
        <v>83.327012999999994</v>
      </c>
      <c r="T612" s="36">
        <v>90.187984999999998</v>
      </c>
      <c r="U612" s="393">
        <v>187.88027</v>
      </c>
    </row>
    <row r="613" spans="3:21" s="9" customFormat="1" ht="0.5" customHeight="1">
      <c r="C613" s="9" t="s">
        <v>45</v>
      </c>
      <c r="D613" s="9" t="str">
        <f t="shared" si="43"/>
        <v>Ecuador52.5</v>
      </c>
      <c r="E613" s="398">
        <v>52.5</v>
      </c>
      <c r="F613" s="399">
        <v>111.22591</v>
      </c>
      <c r="G613" s="36">
        <v>62.517699</v>
      </c>
      <c r="H613" s="36">
        <v>72.120617999999993</v>
      </c>
      <c r="I613" s="393">
        <v>139.95907</v>
      </c>
      <c r="J613" s="399">
        <v>246.19022000000001</v>
      </c>
      <c r="K613" s="36">
        <v>115.90392</v>
      </c>
      <c r="L613" s="36">
        <v>147.57836</v>
      </c>
      <c r="M613" s="393">
        <v>333.18601000000001</v>
      </c>
      <c r="N613" s="399">
        <v>94.043454999999994</v>
      </c>
      <c r="O613" s="36">
        <v>40.000072000000003</v>
      </c>
      <c r="P613" s="36">
        <v>46.392035</v>
      </c>
      <c r="Q613" s="393">
        <v>89.795382000000004</v>
      </c>
      <c r="R613" s="399">
        <v>200.53100000000001</v>
      </c>
      <c r="S613" s="36">
        <v>82.869726999999997</v>
      </c>
      <c r="T613" s="36">
        <v>90.597413000000003</v>
      </c>
      <c r="U613" s="393">
        <v>188.76985999999999</v>
      </c>
    </row>
    <row r="614" spans="3:21" s="9" customFormat="1" ht="0.5" customHeight="1">
      <c r="C614" s="9" t="s">
        <v>45</v>
      </c>
      <c r="D614" s="9" t="str">
        <f t="shared" si="43"/>
        <v>Ecuador53</v>
      </c>
      <c r="E614" s="398">
        <v>53</v>
      </c>
      <c r="F614" s="399">
        <v>111.30362</v>
      </c>
      <c r="G614" s="36">
        <v>62.313335000000002</v>
      </c>
      <c r="H614" s="36">
        <v>71.572427000000005</v>
      </c>
      <c r="I614" s="393">
        <v>140.12266</v>
      </c>
      <c r="J614" s="399">
        <v>247.94654</v>
      </c>
      <c r="K614" s="36">
        <v>115.84076</v>
      </c>
      <c r="L614" s="36">
        <v>147.39875000000001</v>
      </c>
      <c r="M614" s="393">
        <v>335.23455999999999</v>
      </c>
      <c r="N614" s="399">
        <v>94.643067000000002</v>
      </c>
      <c r="O614" s="36">
        <v>39.834128999999997</v>
      </c>
      <c r="P614" s="36">
        <v>46.263407999999998</v>
      </c>
      <c r="Q614" s="393">
        <v>90.345074999999994</v>
      </c>
      <c r="R614" s="399">
        <v>203.65223</v>
      </c>
      <c r="S614" s="36">
        <v>82.450222999999994</v>
      </c>
      <c r="T614" s="36">
        <v>91.197492999999994</v>
      </c>
      <c r="U614" s="393">
        <v>189.54844</v>
      </c>
    </row>
    <row r="615" spans="3:21" s="9" customFormat="1" ht="0.5" customHeight="1">
      <c r="C615" s="9" t="s">
        <v>45</v>
      </c>
      <c r="D615" s="9" t="str">
        <f t="shared" si="43"/>
        <v>Ecuador53.5</v>
      </c>
      <c r="E615" s="398">
        <v>53.5</v>
      </c>
      <c r="F615" s="399">
        <v>111.35856</v>
      </c>
      <c r="G615" s="36">
        <v>62.090589999999999</v>
      </c>
      <c r="H615" s="36">
        <v>71.012153999999995</v>
      </c>
      <c r="I615" s="393">
        <v>140.25601</v>
      </c>
      <c r="J615" s="399">
        <v>249.82873000000001</v>
      </c>
      <c r="K615" s="36">
        <v>115.76303</v>
      </c>
      <c r="L615" s="36">
        <v>146.95206999999999</v>
      </c>
      <c r="M615" s="393">
        <v>337.35037</v>
      </c>
      <c r="N615" s="399">
        <v>95.275340999999997</v>
      </c>
      <c r="O615" s="36">
        <v>39.645395999999998</v>
      </c>
      <c r="P615" s="36">
        <v>46.124147000000001</v>
      </c>
      <c r="Q615" s="393">
        <v>90.967416</v>
      </c>
      <c r="R615" s="399">
        <v>206.66766999999999</v>
      </c>
      <c r="S615" s="36">
        <v>82.405061000000003</v>
      </c>
      <c r="T615" s="36">
        <v>92.039407999999995</v>
      </c>
      <c r="U615" s="393">
        <v>190.35687999999999</v>
      </c>
    </row>
    <row r="616" spans="3:21" s="9" customFormat="1" ht="0.5" customHeight="1">
      <c r="C616" s="9" t="s">
        <v>45</v>
      </c>
      <c r="D616" s="9" t="str">
        <f t="shared" si="43"/>
        <v>Ecuador54</v>
      </c>
      <c r="E616" s="398">
        <v>54</v>
      </c>
      <c r="F616" s="399">
        <v>111.33761</v>
      </c>
      <c r="G616" s="36">
        <v>61.723765</v>
      </c>
      <c r="H616" s="36">
        <v>70.419210000000007</v>
      </c>
      <c r="I616" s="393">
        <v>140.28882999999999</v>
      </c>
      <c r="J616" s="399">
        <v>251.72922</v>
      </c>
      <c r="K616" s="36">
        <v>114.89521000000001</v>
      </c>
      <c r="L616" s="36">
        <v>146.26263</v>
      </c>
      <c r="M616" s="393">
        <v>339.81616000000002</v>
      </c>
      <c r="N616" s="399">
        <v>95.951223999999996</v>
      </c>
      <c r="O616" s="36">
        <v>39.417188000000003</v>
      </c>
      <c r="P616" s="36">
        <v>45.949559999999998</v>
      </c>
      <c r="Q616" s="393">
        <v>91.726070000000007</v>
      </c>
      <c r="R616" s="399">
        <v>209.44603000000001</v>
      </c>
      <c r="S616" s="36">
        <v>82.666175999999993</v>
      </c>
      <c r="T616" s="36">
        <v>93.381546</v>
      </c>
      <c r="U616" s="393">
        <v>191.55279999999999</v>
      </c>
    </row>
    <row r="617" spans="3:21" s="9" customFormat="1" ht="0.5" customHeight="1">
      <c r="C617" s="9" t="s">
        <v>45</v>
      </c>
      <c r="D617" s="9" t="str">
        <f t="shared" si="43"/>
        <v>Ecuador54.5</v>
      </c>
      <c r="E617" s="398">
        <v>54.5</v>
      </c>
      <c r="F617" s="399">
        <v>111.1927</v>
      </c>
      <c r="G617" s="36">
        <v>61.310746000000002</v>
      </c>
      <c r="H617" s="36">
        <v>69.668128999999993</v>
      </c>
      <c r="I617" s="393">
        <v>140.61525</v>
      </c>
      <c r="J617" s="399">
        <v>253.35118</v>
      </c>
      <c r="K617" s="36">
        <v>114.32136</v>
      </c>
      <c r="L617" s="36">
        <v>145.22539</v>
      </c>
      <c r="M617" s="393">
        <v>342.46609000000001</v>
      </c>
      <c r="N617" s="399">
        <v>96.589063999999993</v>
      </c>
      <c r="O617" s="36">
        <v>39.114497999999998</v>
      </c>
      <c r="P617" s="36">
        <v>45.693275</v>
      </c>
      <c r="Q617" s="393">
        <v>92.677595999999994</v>
      </c>
      <c r="R617" s="399">
        <v>212.84204</v>
      </c>
      <c r="S617" s="36">
        <v>83.149043000000006</v>
      </c>
      <c r="T617" s="36">
        <v>94.900407999999999</v>
      </c>
      <c r="U617" s="393">
        <v>192.8877</v>
      </c>
    </row>
    <row r="618" spans="3:21" s="9" customFormat="1" ht="0.5" customHeight="1">
      <c r="C618" s="9" t="s">
        <v>45</v>
      </c>
      <c r="D618" s="9" t="str">
        <f t="shared" si="43"/>
        <v>Ecuador55</v>
      </c>
      <c r="E618" s="398">
        <v>55</v>
      </c>
      <c r="F618" s="399">
        <v>110.87262</v>
      </c>
      <c r="G618" s="36">
        <v>60.949415000000002</v>
      </c>
      <c r="H618" s="36">
        <v>68.989908999999997</v>
      </c>
      <c r="I618" s="393">
        <v>141.23203000000001</v>
      </c>
      <c r="J618" s="399">
        <v>254.40029999999999</v>
      </c>
      <c r="K618" s="36">
        <v>114.64637</v>
      </c>
      <c r="L618" s="36">
        <v>143.07050000000001</v>
      </c>
      <c r="M618" s="393">
        <v>345.34433000000001</v>
      </c>
      <c r="N618" s="399">
        <v>97.173367999999996</v>
      </c>
      <c r="O618" s="36">
        <v>38.550862000000002</v>
      </c>
      <c r="P618" s="36">
        <v>45.363193000000003</v>
      </c>
      <c r="Q618" s="393">
        <v>93.521479999999997</v>
      </c>
      <c r="R618" s="399">
        <v>216.47608</v>
      </c>
      <c r="S618" s="36">
        <v>82.810722999999996</v>
      </c>
      <c r="T618" s="36">
        <v>97.011495999999994</v>
      </c>
      <c r="U618" s="393">
        <v>193.99809999999999</v>
      </c>
    </row>
    <row r="619" spans="3:21" s="9" customFormat="1" ht="0.5" customHeight="1">
      <c r="C619" s="9" t="s">
        <v>50</v>
      </c>
      <c r="D619" s="9" t="str">
        <f t="shared" si="43"/>
        <v>Honduras20</v>
      </c>
      <c r="E619" s="398">
        <v>20</v>
      </c>
      <c r="F619" s="399">
        <v>67.150654000000003</v>
      </c>
      <c r="G619" s="36">
        <v>36.92604</v>
      </c>
      <c r="H619" s="36">
        <v>38.104782</v>
      </c>
      <c r="I619" s="393">
        <v>69.761413000000005</v>
      </c>
      <c r="J619" s="399">
        <v>86.090784999999997</v>
      </c>
      <c r="K619" s="36">
        <v>64.522525000000002</v>
      </c>
      <c r="L619" s="36">
        <v>80.632527999999994</v>
      </c>
      <c r="M619" s="393">
        <v>95.911850000000001</v>
      </c>
      <c r="N619" s="399">
        <v>64.167053999999993</v>
      </c>
      <c r="O619" s="36">
        <v>34.672364999999999</v>
      </c>
      <c r="P619" s="36">
        <v>21.625323000000002</v>
      </c>
      <c r="Q619" s="393">
        <v>46.273350000000001</v>
      </c>
      <c r="R619" s="399">
        <v>79.321431000000004</v>
      </c>
      <c r="S619" s="36">
        <v>63.294139000000001</v>
      </c>
      <c r="T619" s="36">
        <v>41.152977</v>
      </c>
      <c r="U619" s="393">
        <v>95.585706000000002</v>
      </c>
    </row>
    <row r="620" spans="3:21" s="9" customFormat="1" ht="0.5" customHeight="1">
      <c r="C620" s="9" t="s">
        <v>50</v>
      </c>
      <c r="D620" s="9" t="str">
        <f t="shared" si="43"/>
        <v>Honduras20.5</v>
      </c>
      <c r="E620" s="398">
        <v>20.5</v>
      </c>
      <c r="F620" s="399">
        <v>68.728227000000004</v>
      </c>
      <c r="G620" s="36">
        <v>37.859802000000002</v>
      </c>
      <c r="H620" s="36">
        <v>39.305554999999998</v>
      </c>
      <c r="I620" s="393">
        <v>71.451823000000005</v>
      </c>
      <c r="J620" s="399">
        <v>90.347846000000004</v>
      </c>
      <c r="K620" s="36">
        <v>68.593749000000003</v>
      </c>
      <c r="L620" s="36">
        <v>82.265478999999999</v>
      </c>
      <c r="M620" s="393">
        <v>103.55865</v>
      </c>
      <c r="N620" s="399">
        <v>65.252384000000006</v>
      </c>
      <c r="O620" s="36">
        <v>35.358322000000001</v>
      </c>
      <c r="P620" s="36">
        <v>22.204930000000001</v>
      </c>
      <c r="Q620" s="393">
        <v>47.201239999999999</v>
      </c>
      <c r="R620" s="399">
        <v>83.908452999999994</v>
      </c>
      <c r="S620" s="36">
        <v>65.836098000000007</v>
      </c>
      <c r="T620" s="36">
        <v>49.348633</v>
      </c>
      <c r="U620" s="393">
        <v>100.79592</v>
      </c>
    </row>
    <row r="621" spans="3:21" s="9" customFormat="1" ht="0.5" customHeight="1">
      <c r="C621" s="9" t="s">
        <v>50</v>
      </c>
      <c r="D621" s="9" t="str">
        <f t="shared" si="43"/>
        <v>Honduras21</v>
      </c>
      <c r="E621" s="398">
        <v>21</v>
      </c>
      <c r="F621" s="399">
        <v>70.186080000000004</v>
      </c>
      <c r="G621" s="36">
        <v>38.801188000000003</v>
      </c>
      <c r="H621" s="36">
        <v>40.362265000000001</v>
      </c>
      <c r="I621" s="393">
        <v>72.973089999999999</v>
      </c>
      <c r="J621" s="399">
        <v>95.107652000000002</v>
      </c>
      <c r="K621" s="36">
        <v>72.999581000000006</v>
      </c>
      <c r="L621" s="36">
        <v>82.847279</v>
      </c>
      <c r="M621" s="393">
        <v>108.77997000000001</v>
      </c>
      <c r="N621" s="399">
        <v>66.053555000000003</v>
      </c>
      <c r="O621" s="36">
        <v>35.962519</v>
      </c>
      <c r="P621" s="36">
        <v>22.713080000000001</v>
      </c>
      <c r="Q621" s="393">
        <v>48.866439</v>
      </c>
      <c r="R621" s="399">
        <v>88.369465000000005</v>
      </c>
      <c r="S621" s="36">
        <v>68.268123000000003</v>
      </c>
      <c r="T621" s="36">
        <v>54.928722999999998</v>
      </c>
      <c r="U621" s="393">
        <v>111.70031</v>
      </c>
    </row>
    <row r="622" spans="3:21" s="9" customFormat="1" ht="0.5" customHeight="1">
      <c r="C622" s="9" t="s">
        <v>50</v>
      </c>
      <c r="D622" s="9" t="str">
        <f t="shared" si="43"/>
        <v>Honduras21.5</v>
      </c>
      <c r="E622" s="398">
        <v>21.5</v>
      </c>
      <c r="F622" s="399">
        <v>71.571973</v>
      </c>
      <c r="G622" s="36">
        <v>39.676175000000001</v>
      </c>
      <c r="H622" s="36">
        <v>41.278590999999999</v>
      </c>
      <c r="I622" s="393">
        <v>74.186912000000007</v>
      </c>
      <c r="J622" s="399">
        <v>100.07043</v>
      </c>
      <c r="K622" s="36">
        <v>77.334858999999994</v>
      </c>
      <c r="L622" s="36">
        <v>84.134017</v>
      </c>
      <c r="M622" s="393">
        <v>115.19495999999999</v>
      </c>
      <c r="N622" s="399">
        <v>66.749120000000005</v>
      </c>
      <c r="O622" s="36">
        <v>36.513455</v>
      </c>
      <c r="P622" s="36">
        <v>23.190981000000001</v>
      </c>
      <c r="Q622" s="393">
        <v>50.611685000000001</v>
      </c>
      <c r="R622" s="399">
        <v>93.000320000000002</v>
      </c>
      <c r="S622" s="36">
        <v>70.551816000000002</v>
      </c>
      <c r="T622" s="36">
        <v>59.642786999999998</v>
      </c>
      <c r="U622" s="393">
        <v>119.46826</v>
      </c>
    </row>
    <row r="623" spans="3:21" s="9" customFormat="1" ht="0.5" customHeight="1">
      <c r="C623" s="9" t="s">
        <v>50</v>
      </c>
      <c r="D623" s="9" t="str">
        <f t="shared" si="43"/>
        <v>Honduras22</v>
      </c>
      <c r="E623" s="398">
        <v>22</v>
      </c>
      <c r="F623" s="399">
        <v>72.864525</v>
      </c>
      <c r="G623" s="36">
        <v>40.500948999999999</v>
      </c>
      <c r="H623" s="36">
        <v>42.107511000000002</v>
      </c>
      <c r="I623" s="393">
        <v>75.226887000000005</v>
      </c>
      <c r="J623" s="399">
        <v>104.89219</v>
      </c>
      <c r="K623" s="36">
        <v>81.622839999999997</v>
      </c>
      <c r="L623" s="36">
        <v>86.22654</v>
      </c>
      <c r="M623" s="393">
        <v>125.65466000000001</v>
      </c>
      <c r="N623" s="399">
        <v>67.296184999999994</v>
      </c>
      <c r="O623" s="36">
        <v>37.010154999999997</v>
      </c>
      <c r="P623" s="36">
        <v>23.663449</v>
      </c>
      <c r="Q623" s="393">
        <v>52.231613000000003</v>
      </c>
      <c r="R623" s="399">
        <v>97.171279999999996</v>
      </c>
      <c r="S623" s="36">
        <v>73.189081999999999</v>
      </c>
      <c r="T623" s="36">
        <v>62.977173999999998</v>
      </c>
      <c r="U623" s="393">
        <v>126.72418</v>
      </c>
    </row>
    <row r="624" spans="3:21" s="9" customFormat="1" ht="0.5" customHeight="1">
      <c r="C624" s="9" t="s">
        <v>50</v>
      </c>
      <c r="D624" s="9" t="str">
        <f t="shared" si="43"/>
        <v>Honduras22.5</v>
      </c>
      <c r="E624" s="398">
        <v>22.5</v>
      </c>
      <c r="F624" s="399">
        <v>74.088856000000007</v>
      </c>
      <c r="G624" s="36">
        <v>41.296104</v>
      </c>
      <c r="H624" s="36">
        <v>42.972371000000003</v>
      </c>
      <c r="I624" s="393">
        <v>76.274446999999995</v>
      </c>
      <c r="J624" s="399">
        <v>109.75893000000001</v>
      </c>
      <c r="K624" s="36">
        <v>85.908935999999997</v>
      </c>
      <c r="L624" s="36">
        <v>88.199078999999998</v>
      </c>
      <c r="M624" s="393">
        <v>136.09359000000001</v>
      </c>
      <c r="N624" s="399">
        <v>67.856223</v>
      </c>
      <c r="O624" s="36">
        <v>37.436453</v>
      </c>
      <c r="P624" s="36">
        <v>24.135459000000001</v>
      </c>
      <c r="Q624" s="393">
        <v>53.640627000000002</v>
      </c>
      <c r="R624" s="399">
        <v>101.12884</v>
      </c>
      <c r="S624" s="36">
        <v>76.045576999999994</v>
      </c>
      <c r="T624" s="36">
        <v>65.647820999999993</v>
      </c>
      <c r="U624" s="393">
        <v>132.08394000000001</v>
      </c>
    </row>
    <row r="625" spans="3:21" s="9" customFormat="1" ht="0.5" customHeight="1">
      <c r="C625" s="9" t="s">
        <v>50</v>
      </c>
      <c r="D625" s="9" t="str">
        <f t="shared" si="43"/>
        <v>Honduras23</v>
      </c>
      <c r="E625" s="398">
        <v>23</v>
      </c>
      <c r="F625" s="399">
        <v>75.261470000000003</v>
      </c>
      <c r="G625" s="36">
        <v>42.061191000000001</v>
      </c>
      <c r="H625" s="36">
        <v>43.828792999999997</v>
      </c>
      <c r="I625" s="393">
        <v>77.323133999999996</v>
      </c>
      <c r="J625" s="399">
        <v>114.80549000000001</v>
      </c>
      <c r="K625" s="36">
        <v>90.206906000000004</v>
      </c>
      <c r="L625" s="36">
        <v>90.031259000000006</v>
      </c>
      <c r="M625" s="393">
        <v>144.98428999999999</v>
      </c>
      <c r="N625" s="399">
        <v>68.426070999999993</v>
      </c>
      <c r="O625" s="36">
        <v>37.818637000000003</v>
      </c>
      <c r="P625" s="36">
        <v>24.611768999999999</v>
      </c>
      <c r="Q625" s="393">
        <v>54.844318000000001</v>
      </c>
      <c r="R625" s="399">
        <v>104.91094</v>
      </c>
      <c r="S625" s="36">
        <v>79.005249000000006</v>
      </c>
      <c r="T625" s="36">
        <v>67.776743999999994</v>
      </c>
      <c r="U625" s="393">
        <v>136.2244</v>
      </c>
    </row>
    <row r="626" spans="3:21" s="9" customFormat="1" ht="0.5" customHeight="1">
      <c r="C626" s="9" t="s">
        <v>50</v>
      </c>
      <c r="D626" s="9" t="str">
        <f t="shared" si="43"/>
        <v>Honduras23.5</v>
      </c>
      <c r="E626" s="398">
        <v>23.5</v>
      </c>
      <c r="F626" s="399">
        <v>76.359437999999997</v>
      </c>
      <c r="G626" s="36">
        <v>42.803404999999998</v>
      </c>
      <c r="H626" s="36">
        <v>44.631655000000002</v>
      </c>
      <c r="I626" s="393">
        <v>78.355851999999999</v>
      </c>
      <c r="J626" s="399">
        <v>119.97723999999999</v>
      </c>
      <c r="K626" s="36">
        <v>94.514707999999999</v>
      </c>
      <c r="L626" s="36">
        <v>91.922298999999995</v>
      </c>
      <c r="M626" s="393">
        <v>153.37313</v>
      </c>
      <c r="N626" s="399">
        <v>69.002516999999997</v>
      </c>
      <c r="O626" s="36">
        <v>38.157938000000001</v>
      </c>
      <c r="P626" s="36">
        <v>25.044865000000001</v>
      </c>
      <c r="Q626" s="393">
        <v>55.954816999999998</v>
      </c>
      <c r="R626" s="399">
        <v>108.51139000000001</v>
      </c>
      <c r="S626" s="36">
        <v>82.500811999999996</v>
      </c>
      <c r="T626" s="36">
        <v>69.613156000000004</v>
      </c>
      <c r="U626" s="393">
        <v>139.94543999999999</v>
      </c>
    </row>
    <row r="627" spans="3:21" s="9" customFormat="1" ht="0.5" customHeight="1">
      <c r="C627" s="9" t="s">
        <v>50</v>
      </c>
      <c r="D627" s="9" t="str">
        <f t="shared" si="43"/>
        <v>Honduras24</v>
      </c>
      <c r="E627" s="398">
        <v>24</v>
      </c>
      <c r="F627" s="399">
        <v>77.412043999999995</v>
      </c>
      <c r="G627" s="36">
        <v>43.472256999999999</v>
      </c>
      <c r="H627" s="36">
        <v>45.470305000000003</v>
      </c>
      <c r="I627" s="393">
        <v>79.398438999999996</v>
      </c>
      <c r="J627" s="399">
        <v>125.19485</v>
      </c>
      <c r="K627" s="36">
        <v>98.845679000000004</v>
      </c>
      <c r="L627" s="36">
        <v>93.888416000000007</v>
      </c>
      <c r="M627" s="393">
        <v>161.63980000000001</v>
      </c>
      <c r="N627" s="399">
        <v>69.579121000000001</v>
      </c>
      <c r="O627" s="36">
        <v>38.467351000000001</v>
      </c>
      <c r="P627" s="36">
        <v>25.457158</v>
      </c>
      <c r="Q627" s="393">
        <v>57.004058999999998</v>
      </c>
      <c r="R627" s="399">
        <v>111.99578</v>
      </c>
      <c r="S627" s="36">
        <v>86.273471999999998</v>
      </c>
      <c r="T627" s="36">
        <v>71.292192</v>
      </c>
      <c r="U627" s="393">
        <v>143.53062</v>
      </c>
    </row>
    <row r="628" spans="3:21" s="9" customFormat="1" ht="0.5" customHeight="1">
      <c r="C628" s="9" t="s">
        <v>50</v>
      </c>
      <c r="D628" s="9" t="str">
        <f t="shared" si="43"/>
        <v>Honduras24.5</v>
      </c>
      <c r="E628" s="398">
        <v>24.5</v>
      </c>
      <c r="F628" s="399">
        <v>78.391990000000007</v>
      </c>
      <c r="G628" s="36">
        <v>44.060870999999999</v>
      </c>
      <c r="H628" s="36">
        <v>46.335197999999998</v>
      </c>
      <c r="I628" s="393">
        <v>80.474281000000005</v>
      </c>
      <c r="J628" s="399">
        <v>130.33333999999999</v>
      </c>
      <c r="K628" s="36">
        <v>103.18535</v>
      </c>
      <c r="L628" s="36">
        <v>95.726774000000006</v>
      </c>
      <c r="M628" s="393">
        <v>169.67926</v>
      </c>
      <c r="N628" s="399">
        <v>70.045613000000003</v>
      </c>
      <c r="O628" s="36">
        <v>38.721454000000001</v>
      </c>
      <c r="P628" s="36">
        <v>25.872295999999999</v>
      </c>
      <c r="Q628" s="393">
        <v>57.959741999999999</v>
      </c>
      <c r="R628" s="399">
        <v>115.35760000000001</v>
      </c>
      <c r="S628" s="36">
        <v>89.784699000000003</v>
      </c>
      <c r="T628" s="36">
        <v>73.010062000000005</v>
      </c>
      <c r="U628" s="393">
        <v>146.95323999999999</v>
      </c>
    </row>
    <row r="629" spans="3:21" s="9" customFormat="1" ht="0.5" customHeight="1">
      <c r="C629" s="9" t="s">
        <v>50</v>
      </c>
      <c r="D629" s="9" t="str">
        <f t="shared" si="43"/>
        <v>Honduras25</v>
      </c>
      <c r="E629" s="398">
        <v>25</v>
      </c>
      <c r="F629" s="399">
        <v>79.313548999999995</v>
      </c>
      <c r="G629" s="36">
        <v>44.605010999999998</v>
      </c>
      <c r="H629" s="36">
        <v>47.212363000000003</v>
      </c>
      <c r="I629" s="393">
        <v>81.571490999999995</v>
      </c>
      <c r="J629" s="399">
        <v>135.43527</v>
      </c>
      <c r="K629" s="36">
        <v>107.60754</v>
      </c>
      <c r="L629" s="36">
        <v>97.507503</v>
      </c>
      <c r="M629" s="393">
        <v>177.30311</v>
      </c>
      <c r="N629" s="399">
        <v>70.511566999999999</v>
      </c>
      <c r="O629" s="36">
        <v>38.975357000000002</v>
      </c>
      <c r="P629" s="36">
        <v>26.285865000000001</v>
      </c>
      <c r="Q629" s="393">
        <v>58.876280999999999</v>
      </c>
      <c r="R629" s="399">
        <v>118.67037000000001</v>
      </c>
      <c r="S629" s="36">
        <v>93.267429000000007</v>
      </c>
      <c r="T629" s="36">
        <v>74.754981000000001</v>
      </c>
      <c r="U629" s="393">
        <v>150.30834999999999</v>
      </c>
    </row>
    <row r="630" spans="3:21" s="9" customFormat="1" ht="0.5" customHeight="1">
      <c r="C630" s="9" t="s">
        <v>50</v>
      </c>
      <c r="D630" s="9" t="str">
        <f t="shared" si="43"/>
        <v>Honduras25.5</v>
      </c>
      <c r="E630" s="398">
        <v>25.5</v>
      </c>
      <c r="F630" s="399">
        <v>80.132492999999997</v>
      </c>
      <c r="G630" s="36">
        <v>45.152422999999999</v>
      </c>
      <c r="H630" s="36">
        <v>48.205505000000002</v>
      </c>
      <c r="I630" s="393">
        <v>82.688693000000001</v>
      </c>
      <c r="J630" s="399">
        <v>140.46411000000001</v>
      </c>
      <c r="K630" s="36">
        <v>112.03908</v>
      </c>
      <c r="L630" s="36">
        <v>99.269413999999998</v>
      </c>
      <c r="M630" s="393">
        <v>184.14377999999999</v>
      </c>
      <c r="N630" s="399">
        <v>70.814133999999996</v>
      </c>
      <c r="O630" s="36">
        <v>39.194671</v>
      </c>
      <c r="P630" s="36">
        <v>26.646118000000001</v>
      </c>
      <c r="Q630" s="393">
        <v>59.787466999999999</v>
      </c>
      <c r="R630" s="399">
        <v>121.83091</v>
      </c>
      <c r="S630" s="36">
        <v>96.576127999999997</v>
      </c>
      <c r="T630" s="36">
        <v>76.149806999999996</v>
      </c>
      <c r="U630" s="393">
        <v>153.51988</v>
      </c>
    </row>
    <row r="631" spans="3:21" s="9" customFormat="1" ht="0.5" customHeight="1">
      <c r="C631" s="9" t="s">
        <v>50</v>
      </c>
      <c r="D631" s="9" t="str">
        <f t="shared" si="43"/>
        <v>Honduras26</v>
      </c>
      <c r="E631" s="398">
        <v>26</v>
      </c>
      <c r="F631" s="399">
        <v>80.928287999999995</v>
      </c>
      <c r="G631" s="36">
        <v>45.629199999999997</v>
      </c>
      <c r="H631" s="36">
        <v>49.119258000000002</v>
      </c>
      <c r="I631" s="393">
        <v>83.856620000000007</v>
      </c>
      <c r="J631" s="399">
        <v>145.41466</v>
      </c>
      <c r="K631" s="36">
        <v>116.64418000000001</v>
      </c>
      <c r="L631" s="36">
        <v>100.99092</v>
      </c>
      <c r="M631" s="393">
        <v>190.41104000000001</v>
      </c>
      <c r="N631" s="399">
        <v>71.116488000000004</v>
      </c>
      <c r="O631" s="36">
        <v>39.386020000000002</v>
      </c>
      <c r="P631" s="36">
        <v>27.006874</v>
      </c>
      <c r="Q631" s="393">
        <v>60.716138000000001</v>
      </c>
      <c r="R631" s="399">
        <v>124.94289000000001</v>
      </c>
      <c r="S631" s="36">
        <v>99.715783000000002</v>
      </c>
      <c r="T631" s="36">
        <v>77.480926999999994</v>
      </c>
      <c r="U631" s="393">
        <v>156.63181</v>
      </c>
    </row>
    <row r="632" spans="3:21" s="9" customFormat="1" ht="0.5" customHeight="1">
      <c r="C632" s="9" t="s">
        <v>50</v>
      </c>
      <c r="D632" s="9" t="str">
        <f t="shared" si="43"/>
        <v>Honduras26.5</v>
      </c>
      <c r="E632" s="398">
        <v>26.5</v>
      </c>
      <c r="F632" s="399">
        <v>81.687078999999997</v>
      </c>
      <c r="G632" s="36">
        <v>46.042492000000003</v>
      </c>
      <c r="H632" s="36">
        <v>49.814162000000003</v>
      </c>
      <c r="I632" s="393">
        <v>85.034919000000002</v>
      </c>
      <c r="J632" s="399">
        <v>150.20830000000001</v>
      </c>
      <c r="K632" s="36">
        <v>121.28247</v>
      </c>
      <c r="L632" s="36">
        <v>102.69147</v>
      </c>
      <c r="M632" s="393">
        <v>196.1593</v>
      </c>
      <c r="N632" s="399">
        <v>71.563411000000002</v>
      </c>
      <c r="O632" s="36">
        <v>39.530372</v>
      </c>
      <c r="P632" s="36">
        <v>27.356210000000001</v>
      </c>
      <c r="Q632" s="393">
        <v>61.709398</v>
      </c>
      <c r="R632" s="399">
        <v>127.59957</v>
      </c>
      <c r="S632" s="36">
        <v>102.63955</v>
      </c>
      <c r="T632" s="36">
        <v>78.535263</v>
      </c>
      <c r="U632" s="393">
        <v>160.05247</v>
      </c>
    </row>
    <row r="633" spans="3:21" s="9" customFormat="1" ht="0.5" customHeight="1">
      <c r="C633" s="9" t="s">
        <v>50</v>
      </c>
      <c r="D633" s="9" t="str">
        <f t="shared" si="43"/>
        <v>Honduras27</v>
      </c>
      <c r="E633" s="398">
        <v>27</v>
      </c>
      <c r="F633" s="399">
        <v>82.430594999999997</v>
      </c>
      <c r="G633" s="36">
        <v>46.451390000000004</v>
      </c>
      <c r="H633" s="36">
        <v>50.492116000000003</v>
      </c>
      <c r="I633" s="393">
        <v>86.194032000000007</v>
      </c>
      <c r="J633" s="399">
        <v>154.88567</v>
      </c>
      <c r="K633" s="36">
        <v>125.7522</v>
      </c>
      <c r="L633" s="36">
        <v>104.48859</v>
      </c>
      <c r="M633" s="393">
        <v>201.72293999999999</v>
      </c>
      <c r="N633" s="399">
        <v>72.010990000000007</v>
      </c>
      <c r="O633" s="36">
        <v>39.672249999999998</v>
      </c>
      <c r="P633" s="36">
        <v>27.702776</v>
      </c>
      <c r="Q633" s="393">
        <v>62.745404999999998</v>
      </c>
      <c r="R633" s="399">
        <v>130.18425999999999</v>
      </c>
      <c r="S633" s="36">
        <v>105.49034</v>
      </c>
      <c r="T633" s="36">
        <v>79.500602000000001</v>
      </c>
      <c r="U633" s="393">
        <v>163.59554</v>
      </c>
    </row>
    <row r="634" spans="3:21" s="9" customFormat="1" ht="0.5" customHeight="1">
      <c r="C634" s="9" t="s">
        <v>50</v>
      </c>
      <c r="D634" s="9" t="str">
        <f t="shared" si="43"/>
        <v>Honduras27.5</v>
      </c>
      <c r="E634" s="398">
        <v>27.5</v>
      </c>
      <c r="F634" s="399">
        <v>83.205388999999997</v>
      </c>
      <c r="G634" s="36">
        <v>46.866174999999998</v>
      </c>
      <c r="H634" s="36">
        <v>51.226391</v>
      </c>
      <c r="I634" s="393">
        <v>87.355089000000007</v>
      </c>
      <c r="J634" s="399">
        <v>159.36044999999999</v>
      </c>
      <c r="K634" s="36">
        <v>130.18402</v>
      </c>
      <c r="L634" s="36">
        <v>106.29895</v>
      </c>
      <c r="M634" s="393">
        <v>206.76912999999999</v>
      </c>
      <c r="N634" s="399">
        <v>72.424209000000005</v>
      </c>
      <c r="O634" s="36">
        <v>39.820722000000004</v>
      </c>
      <c r="P634" s="36">
        <v>28.017444999999999</v>
      </c>
      <c r="Q634" s="393">
        <v>63.721156999999998</v>
      </c>
      <c r="R634" s="399">
        <v>132.40034</v>
      </c>
      <c r="S634" s="36">
        <v>108.4111</v>
      </c>
      <c r="T634" s="36">
        <v>80.183603000000005</v>
      </c>
      <c r="U634" s="393">
        <v>167.14833999999999</v>
      </c>
    </row>
    <row r="635" spans="3:21" s="9" customFormat="1" ht="0.5" customHeight="1">
      <c r="C635" s="9" t="s">
        <v>50</v>
      </c>
      <c r="D635" s="9" t="str">
        <f t="shared" ref="D635:D698" si="44">CONCATENATE(C635,E635)</f>
        <v>Honduras28</v>
      </c>
      <c r="E635" s="398">
        <v>28</v>
      </c>
      <c r="F635" s="399">
        <v>83.987126000000004</v>
      </c>
      <c r="G635" s="36">
        <v>47.228411000000001</v>
      </c>
      <c r="H635" s="36">
        <v>51.96331</v>
      </c>
      <c r="I635" s="393">
        <v>88.490376999999995</v>
      </c>
      <c r="J635" s="399">
        <v>163.77665999999999</v>
      </c>
      <c r="K635" s="36">
        <v>133.79267999999999</v>
      </c>
      <c r="L635" s="36">
        <v>108.21616</v>
      </c>
      <c r="M635" s="393">
        <v>211.35737</v>
      </c>
      <c r="N635" s="399">
        <v>72.838351000000003</v>
      </c>
      <c r="O635" s="36">
        <v>39.978653999999999</v>
      </c>
      <c r="P635" s="36">
        <v>28.328664</v>
      </c>
      <c r="Q635" s="393">
        <v>64.665077999999994</v>
      </c>
      <c r="R635" s="399">
        <v>134.58255</v>
      </c>
      <c r="S635" s="36">
        <v>111.32341</v>
      </c>
      <c r="T635" s="36">
        <v>80.829255000000003</v>
      </c>
      <c r="U635" s="393">
        <v>170.52694</v>
      </c>
    </row>
    <row r="636" spans="3:21" s="9" customFormat="1" ht="0.5" customHeight="1">
      <c r="C636" s="9" t="s">
        <v>50</v>
      </c>
      <c r="D636" s="9" t="str">
        <f t="shared" si="44"/>
        <v>Honduras28.5</v>
      </c>
      <c r="E636" s="398">
        <v>28.5</v>
      </c>
      <c r="F636" s="399">
        <v>84.743365999999995</v>
      </c>
      <c r="G636" s="36">
        <v>47.579645999999997</v>
      </c>
      <c r="H636" s="36">
        <v>52.599741000000002</v>
      </c>
      <c r="I636" s="393">
        <v>89.602356</v>
      </c>
      <c r="J636" s="399">
        <v>167.93105</v>
      </c>
      <c r="K636" s="36">
        <v>137.30067</v>
      </c>
      <c r="L636" s="36">
        <v>110.14409000000001</v>
      </c>
      <c r="M636" s="393">
        <v>215.90969000000001</v>
      </c>
      <c r="N636" s="399">
        <v>73.335213999999993</v>
      </c>
      <c r="O636" s="36">
        <v>40.144615000000002</v>
      </c>
      <c r="P636" s="36">
        <v>28.617812000000001</v>
      </c>
      <c r="Q636" s="393">
        <v>65.581633999999994</v>
      </c>
      <c r="R636" s="399">
        <v>136.55063000000001</v>
      </c>
      <c r="S636" s="36">
        <v>114.52086</v>
      </c>
      <c r="T636" s="36">
        <v>81.430858999999998</v>
      </c>
      <c r="U636" s="393">
        <v>173.80731</v>
      </c>
    </row>
    <row r="637" spans="3:21" s="9" customFormat="1" ht="0.5" customHeight="1">
      <c r="C637" s="9" t="s">
        <v>50</v>
      </c>
      <c r="D637" s="9" t="str">
        <f t="shared" si="44"/>
        <v>Honduras29</v>
      </c>
      <c r="E637" s="398">
        <v>29</v>
      </c>
      <c r="F637" s="399">
        <v>85.515783999999996</v>
      </c>
      <c r="G637" s="36">
        <v>47.963721999999997</v>
      </c>
      <c r="H637" s="36">
        <v>53.204434999999997</v>
      </c>
      <c r="I637" s="393">
        <v>90.682488000000006</v>
      </c>
      <c r="J637" s="399">
        <v>172.06040999999999</v>
      </c>
      <c r="K637" s="36">
        <v>140.00493</v>
      </c>
      <c r="L637" s="36">
        <v>112.02307999999999</v>
      </c>
      <c r="M637" s="393">
        <v>220.19605999999999</v>
      </c>
      <c r="N637" s="399">
        <v>73.828203999999999</v>
      </c>
      <c r="O637" s="36">
        <v>40.288476000000003</v>
      </c>
      <c r="P637" s="36">
        <v>28.909516</v>
      </c>
      <c r="Q637" s="393">
        <v>66.443939999999998</v>
      </c>
      <c r="R637" s="399">
        <v>138.53124</v>
      </c>
      <c r="S637" s="36">
        <v>117.76203</v>
      </c>
      <c r="T637" s="36">
        <v>81.962981999999997</v>
      </c>
      <c r="U637" s="393">
        <v>176.75317000000001</v>
      </c>
    </row>
    <row r="638" spans="3:21" s="9" customFormat="1" ht="0.5" customHeight="1">
      <c r="C638" s="9" t="s">
        <v>50</v>
      </c>
      <c r="D638" s="9" t="str">
        <f t="shared" si="44"/>
        <v>Honduras29.5</v>
      </c>
      <c r="E638" s="398">
        <v>29.5</v>
      </c>
      <c r="F638" s="399">
        <v>86.379755000000003</v>
      </c>
      <c r="G638" s="36">
        <v>48.349814000000002</v>
      </c>
      <c r="H638" s="36">
        <v>53.69659</v>
      </c>
      <c r="I638" s="393">
        <v>91.757728</v>
      </c>
      <c r="J638" s="399">
        <v>176.10628</v>
      </c>
      <c r="K638" s="36">
        <v>142.62105</v>
      </c>
      <c r="L638" s="36">
        <v>113.89951000000001</v>
      </c>
      <c r="M638" s="393">
        <v>223.80004</v>
      </c>
      <c r="N638" s="399">
        <v>74.335024000000004</v>
      </c>
      <c r="O638" s="36">
        <v>40.409674000000003</v>
      </c>
      <c r="P638" s="36">
        <v>29.229234999999999</v>
      </c>
      <c r="Q638" s="393">
        <v>67.342513999999994</v>
      </c>
      <c r="R638" s="399">
        <v>140.70379</v>
      </c>
      <c r="S638" s="36">
        <v>121.30282</v>
      </c>
      <c r="T638" s="36">
        <v>82.430447999999998</v>
      </c>
      <c r="U638" s="393">
        <v>179.62718000000001</v>
      </c>
    </row>
    <row r="639" spans="3:21" s="9" customFormat="1" ht="0.5" customHeight="1">
      <c r="C639" s="9" t="s">
        <v>50</v>
      </c>
      <c r="D639" s="9" t="str">
        <f t="shared" si="44"/>
        <v>Honduras30</v>
      </c>
      <c r="E639" s="398">
        <v>30</v>
      </c>
      <c r="F639" s="399">
        <v>87.258722000000006</v>
      </c>
      <c r="G639" s="36">
        <v>48.682513999999998</v>
      </c>
      <c r="H639" s="36">
        <v>54.078426999999998</v>
      </c>
      <c r="I639" s="393">
        <v>92.735592999999994</v>
      </c>
      <c r="J639" s="399">
        <v>180.02086</v>
      </c>
      <c r="K639" s="36">
        <v>144.54757000000001</v>
      </c>
      <c r="L639" s="36">
        <v>115.77857</v>
      </c>
      <c r="M639" s="393">
        <v>227.23917</v>
      </c>
      <c r="N639" s="399">
        <v>74.838684000000001</v>
      </c>
      <c r="O639" s="36">
        <v>40.540734</v>
      </c>
      <c r="P639" s="36">
        <v>29.549330000000001</v>
      </c>
      <c r="Q639" s="393">
        <v>68.227086</v>
      </c>
      <c r="R639" s="399">
        <v>142.88377</v>
      </c>
      <c r="S639" s="36">
        <v>124.86809</v>
      </c>
      <c r="T639" s="36">
        <v>82.898465999999999</v>
      </c>
      <c r="U639" s="393">
        <v>182.27278999999999</v>
      </c>
    </row>
    <row r="640" spans="3:21" s="9" customFormat="1" ht="0.5" customHeight="1">
      <c r="C640" s="9" t="s">
        <v>50</v>
      </c>
      <c r="D640" s="9" t="str">
        <f t="shared" si="44"/>
        <v>Honduras30.5</v>
      </c>
      <c r="E640" s="398">
        <v>30.5</v>
      </c>
      <c r="F640" s="399">
        <v>88.027573000000004</v>
      </c>
      <c r="G640" s="36">
        <v>49.000151000000002</v>
      </c>
      <c r="H640" s="36">
        <v>54.388905000000001</v>
      </c>
      <c r="I640" s="393">
        <v>93.696303999999998</v>
      </c>
      <c r="J640" s="399">
        <v>183.71825999999999</v>
      </c>
      <c r="K640" s="36">
        <v>146.44494</v>
      </c>
      <c r="L640" s="36">
        <v>117.6584</v>
      </c>
      <c r="M640" s="393">
        <v>230.52575999999999</v>
      </c>
      <c r="N640" s="399">
        <v>75.353374000000002</v>
      </c>
      <c r="O640" s="36">
        <v>40.699917999999997</v>
      </c>
      <c r="P640" s="36">
        <v>29.814012000000002</v>
      </c>
      <c r="Q640" s="393">
        <v>69.042186000000001</v>
      </c>
      <c r="R640" s="399">
        <v>145.0778</v>
      </c>
      <c r="S640" s="36">
        <v>127.74171</v>
      </c>
      <c r="T640" s="36">
        <v>83.010970999999998</v>
      </c>
      <c r="U640" s="393">
        <v>184.81165999999999</v>
      </c>
    </row>
    <row r="641" spans="3:21" s="9" customFormat="1" ht="0.5" customHeight="1">
      <c r="C641" s="9" t="s">
        <v>50</v>
      </c>
      <c r="D641" s="9" t="str">
        <f t="shared" si="44"/>
        <v>Honduras31</v>
      </c>
      <c r="E641" s="398">
        <v>31</v>
      </c>
      <c r="F641" s="399">
        <v>88.753690000000006</v>
      </c>
      <c r="G641" s="36">
        <v>49.193623000000002</v>
      </c>
      <c r="H641" s="36">
        <v>54.655737999999999</v>
      </c>
      <c r="I641" s="393">
        <v>94.699510000000004</v>
      </c>
      <c r="J641" s="399">
        <v>187.47695999999999</v>
      </c>
      <c r="K641" s="36">
        <v>147.76745</v>
      </c>
      <c r="L641" s="36">
        <v>119.62872</v>
      </c>
      <c r="M641" s="393">
        <v>233.77046999999999</v>
      </c>
      <c r="N641" s="399">
        <v>75.872331000000003</v>
      </c>
      <c r="O641" s="36">
        <v>40.85765</v>
      </c>
      <c r="P641" s="36">
        <v>30.076823000000001</v>
      </c>
      <c r="Q641" s="393">
        <v>69.784621000000001</v>
      </c>
      <c r="R641" s="399">
        <v>147.26264</v>
      </c>
      <c r="S641" s="36">
        <v>130.47516999999999</v>
      </c>
      <c r="T641" s="36">
        <v>83.206003999999993</v>
      </c>
      <c r="U641" s="393">
        <v>186.25653</v>
      </c>
    </row>
    <row r="642" spans="3:21" s="9" customFormat="1" ht="0.5" customHeight="1">
      <c r="C642" s="9" t="s">
        <v>50</v>
      </c>
      <c r="D642" s="9" t="str">
        <f t="shared" si="44"/>
        <v>Honduras31.5</v>
      </c>
      <c r="E642" s="398">
        <v>31.5</v>
      </c>
      <c r="F642" s="399">
        <v>89.429529000000002</v>
      </c>
      <c r="G642" s="36">
        <v>49.295718000000001</v>
      </c>
      <c r="H642" s="36">
        <v>54.735318999999997</v>
      </c>
      <c r="I642" s="393">
        <v>95.720067999999998</v>
      </c>
      <c r="J642" s="399">
        <v>191.45276999999999</v>
      </c>
      <c r="K642" s="36">
        <v>148.99619999999999</v>
      </c>
      <c r="L642" s="36">
        <v>121.59813</v>
      </c>
      <c r="M642" s="393">
        <v>237.98444000000001</v>
      </c>
      <c r="N642" s="399">
        <v>76.505398999999997</v>
      </c>
      <c r="O642" s="36">
        <v>41.007606000000003</v>
      </c>
      <c r="P642" s="36">
        <v>30.363752000000002</v>
      </c>
      <c r="Q642" s="393">
        <v>70.431693999999993</v>
      </c>
      <c r="R642" s="399">
        <v>149.75048000000001</v>
      </c>
      <c r="S642" s="36">
        <v>133.27718999999999</v>
      </c>
      <c r="T642" s="36">
        <v>83.597793999999993</v>
      </c>
      <c r="U642" s="393">
        <v>187.58696</v>
      </c>
    </row>
    <row r="643" spans="3:21" s="9" customFormat="1" ht="0.5" customHeight="1">
      <c r="C643" s="9" t="s">
        <v>50</v>
      </c>
      <c r="D643" s="9" t="str">
        <f t="shared" si="44"/>
        <v>Honduras32</v>
      </c>
      <c r="E643" s="398">
        <v>32</v>
      </c>
      <c r="F643" s="399">
        <v>90.099569000000002</v>
      </c>
      <c r="G643" s="36">
        <v>49.405881999999998</v>
      </c>
      <c r="H643" s="36">
        <v>54.741149</v>
      </c>
      <c r="I643" s="393">
        <v>96.794922999999997</v>
      </c>
      <c r="J643" s="399">
        <v>195.31322</v>
      </c>
      <c r="K643" s="36">
        <v>149.61326</v>
      </c>
      <c r="L643" s="36">
        <v>123.36463999999999</v>
      </c>
      <c r="M643" s="393">
        <v>242.70901000000001</v>
      </c>
      <c r="N643" s="399">
        <v>77.146293</v>
      </c>
      <c r="O643" s="36">
        <v>41.158628</v>
      </c>
      <c r="P643" s="36">
        <v>30.652671000000002</v>
      </c>
      <c r="Q643" s="393">
        <v>71.013293000000004</v>
      </c>
      <c r="R643" s="399">
        <v>152.22814</v>
      </c>
      <c r="S643" s="36">
        <v>136.01673</v>
      </c>
      <c r="T643" s="36">
        <v>83.953112000000004</v>
      </c>
      <c r="U643" s="393">
        <v>188.14928</v>
      </c>
    </row>
    <row r="644" spans="3:21" s="9" customFormat="1" ht="0.5" customHeight="1">
      <c r="C644" s="9" t="s">
        <v>50</v>
      </c>
      <c r="D644" s="9" t="str">
        <f t="shared" si="44"/>
        <v>Honduras32.5</v>
      </c>
      <c r="E644" s="398">
        <v>32.5</v>
      </c>
      <c r="F644" s="399">
        <v>90.759716999999995</v>
      </c>
      <c r="G644" s="36">
        <v>49.494808999999997</v>
      </c>
      <c r="H644" s="36">
        <v>54.734036000000003</v>
      </c>
      <c r="I644" s="393">
        <v>97.865010999999996</v>
      </c>
      <c r="J644" s="399">
        <v>198.89684</v>
      </c>
      <c r="K644" s="36">
        <v>150.12620000000001</v>
      </c>
      <c r="L644" s="36">
        <v>125.13442999999999</v>
      </c>
      <c r="M644" s="393">
        <v>246.76772</v>
      </c>
      <c r="N644" s="399">
        <v>77.821495999999996</v>
      </c>
      <c r="O644" s="36">
        <v>41.282860999999997</v>
      </c>
      <c r="P644" s="36">
        <v>30.897949000000001</v>
      </c>
      <c r="Q644" s="393">
        <v>71.633712000000003</v>
      </c>
      <c r="R644" s="399">
        <v>154.69589999999999</v>
      </c>
      <c r="S644" s="36">
        <v>138.09491</v>
      </c>
      <c r="T644" s="36">
        <v>84.262510000000006</v>
      </c>
      <c r="U644" s="393">
        <v>188.68217000000001</v>
      </c>
    </row>
    <row r="645" spans="3:21" s="9" customFormat="1" ht="0.5" customHeight="1">
      <c r="C645" s="9" t="s">
        <v>50</v>
      </c>
      <c r="D645" s="9" t="str">
        <f t="shared" si="44"/>
        <v>Honduras33</v>
      </c>
      <c r="E645" s="398">
        <v>33</v>
      </c>
      <c r="F645" s="399">
        <v>91.407983999999999</v>
      </c>
      <c r="G645" s="36">
        <v>49.528657000000003</v>
      </c>
      <c r="H645" s="36">
        <v>54.749113000000001</v>
      </c>
      <c r="I645" s="393">
        <v>98.865616000000003</v>
      </c>
      <c r="J645" s="399">
        <v>202.27359999999999</v>
      </c>
      <c r="K645" s="36">
        <v>151.3005</v>
      </c>
      <c r="L645" s="36">
        <v>126.67327</v>
      </c>
      <c r="M645" s="393">
        <v>250.29787999999999</v>
      </c>
      <c r="N645" s="399">
        <v>78.490829000000005</v>
      </c>
      <c r="O645" s="36">
        <v>41.414512000000002</v>
      </c>
      <c r="P645" s="36">
        <v>31.141774000000002</v>
      </c>
      <c r="Q645" s="393">
        <v>72.255719999999997</v>
      </c>
      <c r="R645" s="399">
        <v>157.13247999999999</v>
      </c>
      <c r="S645" s="36">
        <v>140.26097999999999</v>
      </c>
      <c r="T645" s="36">
        <v>84.519283999999999</v>
      </c>
      <c r="U645" s="393">
        <v>190.18749</v>
      </c>
    </row>
    <row r="646" spans="3:21" s="9" customFormat="1" ht="0.5" customHeight="1">
      <c r="C646" s="9" t="s">
        <v>50</v>
      </c>
      <c r="D646" s="9" t="str">
        <f t="shared" si="44"/>
        <v>Honduras33.5</v>
      </c>
      <c r="E646" s="398">
        <v>33.5</v>
      </c>
      <c r="F646" s="399">
        <v>92.080748</v>
      </c>
      <c r="G646" s="36">
        <v>49.568198000000002</v>
      </c>
      <c r="H646" s="36">
        <v>54.866506999999999</v>
      </c>
      <c r="I646" s="393">
        <v>99.863572000000005</v>
      </c>
      <c r="J646" s="399">
        <v>205.05710999999999</v>
      </c>
      <c r="K646" s="36">
        <v>152.51693</v>
      </c>
      <c r="L646" s="36">
        <v>128.21611999999999</v>
      </c>
      <c r="M646" s="393">
        <v>254.16501</v>
      </c>
      <c r="N646" s="399">
        <v>79.249325999999996</v>
      </c>
      <c r="O646" s="36">
        <v>41.591129000000002</v>
      </c>
      <c r="P646" s="36">
        <v>31.306493</v>
      </c>
      <c r="Q646" s="393">
        <v>72.715722</v>
      </c>
      <c r="R646" s="399">
        <v>158.85248000000001</v>
      </c>
      <c r="S646" s="36">
        <v>143.13363000000001</v>
      </c>
      <c r="T646" s="36">
        <v>84.727967000000007</v>
      </c>
      <c r="U646" s="393">
        <v>191.81765999999999</v>
      </c>
    </row>
    <row r="647" spans="3:21" s="9" customFormat="1" ht="0.5" customHeight="1">
      <c r="C647" s="9" t="s">
        <v>50</v>
      </c>
      <c r="D647" s="9" t="str">
        <f t="shared" si="44"/>
        <v>Honduras34</v>
      </c>
      <c r="E647" s="398">
        <v>34</v>
      </c>
      <c r="F647" s="399">
        <v>92.759680000000003</v>
      </c>
      <c r="G647" s="36">
        <v>49.624017000000002</v>
      </c>
      <c r="H647" s="36">
        <v>55.108511</v>
      </c>
      <c r="I647" s="393">
        <v>100.84307</v>
      </c>
      <c r="J647" s="399">
        <v>207.60466</v>
      </c>
      <c r="K647" s="36">
        <v>153.60855000000001</v>
      </c>
      <c r="L647" s="36">
        <v>129.56967</v>
      </c>
      <c r="M647" s="393">
        <v>257.93292000000002</v>
      </c>
      <c r="N647" s="399">
        <v>79.993014000000002</v>
      </c>
      <c r="O647" s="36">
        <v>41.752254000000001</v>
      </c>
      <c r="P647" s="36">
        <v>31.475598000000002</v>
      </c>
      <c r="Q647" s="393">
        <v>73.068299999999994</v>
      </c>
      <c r="R647" s="399">
        <v>160.56969000000001</v>
      </c>
      <c r="S647" s="36">
        <v>145.90455</v>
      </c>
      <c r="T647" s="36">
        <v>84.965277</v>
      </c>
      <c r="U647" s="393">
        <v>193.2432</v>
      </c>
    </row>
    <row r="648" spans="3:21" s="9" customFormat="1" ht="0.5" customHeight="1">
      <c r="C648" s="9" t="s">
        <v>50</v>
      </c>
      <c r="D648" s="9" t="str">
        <f t="shared" si="44"/>
        <v>Honduras34.5</v>
      </c>
      <c r="E648" s="398">
        <v>34.5</v>
      </c>
      <c r="F648" s="399">
        <v>93.478973999999994</v>
      </c>
      <c r="G648" s="36">
        <v>49.620249000000001</v>
      </c>
      <c r="H648" s="36">
        <v>55.356546999999999</v>
      </c>
      <c r="I648" s="393">
        <v>101.79622999999999</v>
      </c>
      <c r="J648" s="399">
        <v>209.90666999999999</v>
      </c>
      <c r="K648" s="36">
        <v>154.59565000000001</v>
      </c>
      <c r="L648" s="36">
        <v>130.93303</v>
      </c>
      <c r="M648" s="393">
        <v>261.31981000000002</v>
      </c>
      <c r="N648" s="399">
        <v>80.717743999999996</v>
      </c>
      <c r="O648" s="36">
        <v>41.835611</v>
      </c>
      <c r="P648" s="36">
        <v>31.606983</v>
      </c>
      <c r="Q648" s="393">
        <v>73.288471000000001</v>
      </c>
      <c r="R648" s="399">
        <v>162.27950000000001</v>
      </c>
      <c r="S648" s="36">
        <v>148.12147999999999</v>
      </c>
      <c r="T648" s="36">
        <v>85.842473999999996</v>
      </c>
      <c r="U648" s="393">
        <v>194.67048</v>
      </c>
    </row>
    <row r="649" spans="3:21" s="9" customFormat="1" ht="0.5" customHeight="1">
      <c r="C649" s="9" t="s">
        <v>50</v>
      </c>
      <c r="D649" s="9" t="str">
        <f t="shared" si="44"/>
        <v>Honduras35</v>
      </c>
      <c r="E649" s="398">
        <v>35</v>
      </c>
      <c r="F649" s="399">
        <v>94.215367999999998</v>
      </c>
      <c r="G649" s="36">
        <v>49.501536000000002</v>
      </c>
      <c r="H649" s="36">
        <v>55.567374999999998</v>
      </c>
      <c r="I649" s="393">
        <v>102.6009</v>
      </c>
      <c r="J649" s="399">
        <v>212.34044</v>
      </c>
      <c r="K649" s="36">
        <v>155.59911</v>
      </c>
      <c r="L649" s="36">
        <v>132.48974999999999</v>
      </c>
      <c r="M649" s="393">
        <v>264.62018999999998</v>
      </c>
      <c r="N649" s="399">
        <v>81.442946000000006</v>
      </c>
      <c r="O649" s="36">
        <v>41.919837999999999</v>
      </c>
      <c r="P649" s="36">
        <v>31.745377999999999</v>
      </c>
      <c r="Q649" s="393">
        <v>73.464670999999996</v>
      </c>
      <c r="R649" s="399">
        <v>164.06394</v>
      </c>
      <c r="S649" s="36">
        <v>150.20804000000001</v>
      </c>
      <c r="T649" s="36">
        <v>86.828682000000001</v>
      </c>
      <c r="U649" s="393">
        <v>196.21790999999999</v>
      </c>
    </row>
    <row r="650" spans="3:21" s="9" customFormat="1" ht="0.5" customHeight="1">
      <c r="C650" s="9" t="s">
        <v>50</v>
      </c>
      <c r="D650" s="9" t="str">
        <f t="shared" si="44"/>
        <v>Honduras35.5</v>
      </c>
      <c r="E650" s="398">
        <v>35.5</v>
      </c>
      <c r="F650" s="399">
        <v>94.954025000000001</v>
      </c>
      <c r="G650" s="36">
        <v>49.406170000000003</v>
      </c>
      <c r="H650" s="36">
        <v>55.865886000000003</v>
      </c>
      <c r="I650" s="393">
        <v>103.39314</v>
      </c>
      <c r="J650" s="399">
        <v>214.89501999999999</v>
      </c>
      <c r="K650" s="36">
        <v>156.39592999999999</v>
      </c>
      <c r="L650" s="36">
        <v>134.05438000000001</v>
      </c>
      <c r="M650" s="393">
        <v>267.46240999999998</v>
      </c>
      <c r="N650" s="399">
        <v>82.130127000000002</v>
      </c>
      <c r="O650" s="36">
        <v>42.060068000000001</v>
      </c>
      <c r="P650" s="36">
        <v>31.857614000000002</v>
      </c>
      <c r="Q650" s="393">
        <v>73.683381999999995</v>
      </c>
      <c r="R650" s="399">
        <v>165.90433999999999</v>
      </c>
      <c r="S650" s="36">
        <v>151.76015000000001</v>
      </c>
      <c r="T650" s="36">
        <v>88.361594999999994</v>
      </c>
      <c r="U650" s="393">
        <v>197.72471999999999</v>
      </c>
    </row>
    <row r="651" spans="3:21" s="9" customFormat="1" ht="0.5" customHeight="1">
      <c r="C651" s="9" t="s">
        <v>50</v>
      </c>
      <c r="D651" s="9" t="str">
        <f t="shared" si="44"/>
        <v>Honduras36</v>
      </c>
      <c r="E651" s="398">
        <v>36</v>
      </c>
      <c r="F651" s="399">
        <v>95.697837000000007</v>
      </c>
      <c r="G651" s="36">
        <v>49.349195999999999</v>
      </c>
      <c r="H651" s="36">
        <v>56.126480999999998</v>
      </c>
      <c r="I651" s="393">
        <v>104.09869999999999</v>
      </c>
      <c r="J651" s="399">
        <v>217.5155</v>
      </c>
      <c r="K651" s="36">
        <v>157.77977000000001</v>
      </c>
      <c r="L651" s="36">
        <v>135.32766000000001</v>
      </c>
      <c r="M651" s="393">
        <v>270.11993000000001</v>
      </c>
      <c r="N651" s="399">
        <v>82.812147999999993</v>
      </c>
      <c r="O651" s="36">
        <v>42.200009999999999</v>
      </c>
      <c r="P651" s="36">
        <v>31.971717000000002</v>
      </c>
      <c r="Q651" s="393">
        <v>73.865719999999996</v>
      </c>
      <c r="R651" s="399">
        <v>167.79186000000001</v>
      </c>
      <c r="S651" s="36">
        <v>153.27457000000001</v>
      </c>
      <c r="T651" s="36">
        <v>89.919287999999995</v>
      </c>
      <c r="U651" s="393">
        <v>199.01686000000001</v>
      </c>
    </row>
    <row r="652" spans="3:21" s="9" customFormat="1" ht="0.5" customHeight="1">
      <c r="C652" s="9" t="s">
        <v>50</v>
      </c>
      <c r="D652" s="9" t="str">
        <f t="shared" si="44"/>
        <v>Honduras36.5</v>
      </c>
      <c r="E652" s="398">
        <v>36.5</v>
      </c>
      <c r="F652" s="399">
        <v>96.414798000000005</v>
      </c>
      <c r="G652" s="36">
        <v>49.278820000000003</v>
      </c>
      <c r="H652" s="36">
        <v>56.340093000000003</v>
      </c>
      <c r="I652" s="393">
        <v>104.77975000000001</v>
      </c>
      <c r="J652" s="399">
        <v>220.0865</v>
      </c>
      <c r="K652" s="36">
        <v>159.26284000000001</v>
      </c>
      <c r="L652" s="36">
        <v>136.60192000000001</v>
      </c>
      <c r="M652" s="393">
        <v>272.59500000000003</v>
      </c>
      <c r="N652" s="399">
        <v>83.284115</v>
      </c>
      <c r="O652" s="36">
        <v>42.278047000000001</v>
      </c>
      <c r="P652" s="36">
        <v>32.045414000000001</v>
      </c>
      <c r="Q652" s="393">
        <v>73.881048000000007</v>
      </c>
      <c r="R652" s="399">
        <v>169.36935</v>
      </c>
      <c r="S652" s="36">
        <v>154.42967999999999</v>
      </c>
      <c r="T652" s="36">
        <v>91.427940000000007</v>
      </c>
      <c r="U652" s="393">
        <v>200.32889</v>
      </c>
    </row>
    <row r="653" spans="3:21" s="9" customFormat="1" ht="0.5" customHeight="1">
      <c r="C653" s="9" t="s">
        <v>50</v>
      </c>
      <c r="D653" s="9" t="str">
        <f t="shared" si="44"/>
        <v>Honduras37</v>
      </c>
      <c r="E653" s="398">
        <v>37</v>
      </c>
      <c r="F653" s="399">
        <v>97.143728999999993</v>
      </c>
      <c r="G653" s="36">
        <v>49.230034000000003</v>
      </c>
      <c r="H653" s="36">
        <v>56.636968000000003</v>
      </c>
      <c r="I653" s="393">
        <v>105.44241</v>
      </c>
      <c r="J653" s="399">
        <v>222.64397</v>
      </c>
      <c r="K653" s="36">
        <v>160.10915</v>
      </c>
      <c r="L653" s="36">
        <v>137.77893</v>
      </c>
      <c r="M653" s="393">
        <v>275.05493999999999</v>
      </c>
      <c r="N653" s="399">
        <v>83.798833000000002</v>
      </c>
      <c r="O653" s="36">
        <v>42.328042000000003</v>
      </c>
      <c r="P653" s="36">
        <v>32.118046</v>
      </c>
      <c r="Q653" s="393">
        <v>73.741383999999996</v>
      </c>
      <c r="R653" s="399">
        <v>170.96290999999999</v>
      </c>
      <c r="S653" s="36">
        <v>155.55047999999999</v>
      </c>
      <c r="T653" s="36">
        <v>93.042311999999995</v>
      </c>
      <c r="U653" s="393">
        <v>201.58896999999999</v>
      </c>
    </row>
    <row r="654" spans="3:21" s="9" customFormat="1" ht="0.5" customHeight="1">
      <c r="C654" s="9" t="s">
        <v>50</v>
      </c>
      <c r="D654" s="9" t="str">
        <f t="shared" si="44"/>
        <v>Honduras37.5</v>
      </c>
      <c r="E654" s="398">
        <v>37.5</v>
      </c>
      <c r="F654" s="399">
        <v>97.771180999999999</v>
      </c>
      <c r="G654" s="36">
        <v>49.269264999999997</v>
      </c>
      <c r="H654" s="36">
        <v>57.144132999999997</v>
      </c>
      <c r="I654" s="393">
        <v>106.07579</v>
      </c>
      <c r="J654" s="399">
        <v>225.29247000000001</v>
      </c>
      <c r="K654" s="36">
        <v>160.93818999999999</v>
      </c>
      <c r="L654" s="36">
        <v>138.95992000000001</v>
      </c>
      <c r="M654" s="393">
        <v>277.8519</v>
      </c>
      <c r="N654" s="399">
        <v>84.458181999999994</v>
      </c>
      <c r="O654" s="36">
        <v>42.321945999999997</v>
      </c>
      <c r="P654" s="36">
        <v>32.157611000000003</v>
      </c>
      <c r="Q654" s="393">
        <v>73.549396999999999</v>
      </c>
      <c r="R654" s="399">
        <v>172.15852000000001</v>
      </c>
      <c r="S654" s="36">
        <v>156.71942999999999</v>
      </c>
      <c r="T654" s="36">
        <v>94.975098000000003</v>
      </c>
      <c r="U654" s="393">
        <v>202.90946</v>
      </c>
    </row>
    <row r="655" spans="3:21" s="9" customFormat="1" ht="0.5" customHeight="1">
      <c r="C655" s="9" t="s">
        <v>50</v>
      </c>
      <c r="D655" s="9" t="str">
        <f t="shared" si="44"/>
        <v>Honduras38</v>
      </c>
      <c r="E655" s="398">
        <v>38</v>
      </c>
      <c r="F655" s="399">
        <v>98.342523</v>
      </c>
      <c r="G655" s="36">
        <v>49.347741999999997</v>
      </c>
      <c r="H655" s="36">
        <v>57.662472999999999</v>
      </c>
      <c r="I655" s="393">
        <v>106.52862</v>
      </c>
      <c r="J655" s="399">
        <v>228.00129000000001</v>
      </c>
      <c r="K655" s="36">
        <v>162.76219</v>
      </c>
      <c r="L655" s="36">
        <v>140.1369</v>
      </c>
      <c r="M655" s="393">
        <v>281.49146999999999</v>
      </c>
      <c r="N655" s="399">
        <v>85.121151999999995</v>
      </c>
      <c r="O655" s="36">
        <v>42.298656000000001</v>
      </c>
      <c r="P655" s="36">
        <v>32.197642000000002</v>
      </c>
      <c r="Q655" s="393">
        <v>73.376687000000004</v>
      </c>
      <c r="R655" s="399">
        <v>173.34183999999999</v>
      </c>
      <c r="S655" s="36">
        <v>157.94508999999999</v>
      </c>
      <c r="T655" s="36">
        <v>96.879210999999998</v>
      </c>
      <c r="U655" s="393">
        <v>204.83815999999999</v>
      </c>
    </row>
    <row r="656" spans="3:21" s="9" customFormat="1" ht="0.5" customHeight="1">
      <c r="C656" s="9" t="s">
        <v>50</v>
      </c>
      <c r="D656" s="9" t="str">
        <f t="shared" si="44"/>
        <v>Honduras38.5</v>
      </c>
      <c r="E656" s="398">
        <v>38.5</v>
      </c>
      <c r="F656" s="399">
        <v>98.96705</v>
      </c>
      <c r="G656" s="36">
        <v>49.428207</v>
      </c>
      <c r="H656" s="36">
        <v>58.102865000000001</v>
      </c>
      <c r="I656" s="393">
        <v>106.94334000000001</v>
      </c>
      <c r="J656" s="399">
        <v>230.77352999999999</v>
      </c>
      <c r="K656" s="36">
        <v>164.70651000000001</v>
      </c>
      <c r="L656" s="36">
        <v>141.32085000000001</v>
      </c>
      <c r="M656" s="393">
        <v>286.10219999999998</v>
      </c>
      <c r="N656" s="399">
        <v>85.908663000000004</v>
      </c>
      <c r="O656" s="36">
        <v>42.243220999999998</v>
      </c>
      <c r="P656" s="36">
        <v>32.292850999999999</v>
      </c>
      <c r="Q656" s="393">
        <v>73.242529000000005</v>
      </c>
      <c r="R656" s="399">
        <v>174.47773000000001</v>
      </c>
      <c r="S656" s="36">
        <v>158.79570000000001</v>
      </c>
      <c r="T656" s="36">
        <v>98.744456999999997</v>
      </c>
      <c r="U656" s="393">
        <v>206.90259</v>
      </c>
    </row>
    <row r="657" spans="3:21" s="9" customFormat="1" ht="0.5" customHeight="1">
      <c r="C657" s="9" t="s">
        <v>50</v>
      </c>
      <c r="D657" s="9" t="str">
        <f t="shared" si="44"/>
        <v>Honduras39</v>
      </c>
      <c r="E657" s="398">
        <v>39</v>
      </c>
      <c r="F657" s="399">
        <v>99.648292999999995</v>
      </c>
      <c r="G657" s="36">
        <v>49.579270999999999</v>
      </c>
      <c r="H657" s="36">
        <v>58.572418999999996</v>
      </c>
      <c r="I657" s="393">
        <v>107.30634999999999</v>
      </c>
      <c r="J657" s="399">
        <v>233.44738000000001</v>
      </c>
      <c r="K657" s="36">
        <v>166.42565999999999</v>
      </c>
      <c r="L657" s="36">
        <v>142.10490999999999</v>
      </c>
      <c r="M657" s="393">
        <v>290.45513999999997</v>
      </c>
      <c r="N657" s="399">
        <v>86.676282</v>
      </c>
      <c r="O657" s="36">
        <v>42.180729999999997</v>
      </c>
      <c r="P657" s="36">
        <v>32.390853999999997</v>
      </c>
      <c r="Q657" s="393">
        <v>73.140161000000006</v>
      </c>
      <c r="R657" s="399">
        <v>175.63237000000001</v>
      </c>
      <c r="S657" s="36">
        <v>159.56214</v>
      </c>
      <c r="T657" s="36">
        <v>100.59390999999999</v>
      </c>
      <c r="U657" s="393">
        <v>208.98510999999999</v>
      </c>
    </row>
    <row r="658" spans="3:21" s="9" customFormat="1" ht="0.5" customHeight="1">
      <c r="C658" s="9" t="s">
        <v>50</v>
      </c>
      <c r="D658" s="9" t="str">
        <f t="shared" si="44"/>
        <v>Honduras39.5</v>
      </c>
      <c r="E658" s="398">
        <v>39.5</v>
      </c>
      <c r="F658" s="399">
        <v>100.30893</v>
      </c>
      <c r="G658" s="36">
        <v>49.705593</v>
      </c>
      <c r="H658" s="36">
        <v>59.030738999999997</v>
      </c>
      <c r="I658" s="393">
        <v>107.66713</v>
      </c>
      <c r="J658" s="399">
        <v>235.83867000000001</v>
      </c>
      <c r="K658" s="36">
        <v>168.10162</v>
      </c>
      <c r="L658" s="36">
        <v>142.88737</v>
      </c>
      <c r="M658" s="393">
        <v>294.13290000000001</v>
      </c>
      <c r="N658" s="399">
        <v>87.614597000000003</v>
      </c>
      <c r="O658" s="36">
        <v>42.019812999999999</v>
      </c>
      <c r="P658" s="36">
        <v>32.468843</v>
      </c>
      <c r="Q658" s="393">
        <v>73.094481000000002</v>
      </c>
      <c r="R658" s="399">
        <v>176.53568999999999</v>
      </c>
      <c r="S658" s="36">
        <v>160.64204000000001</v>
      </c>
      <c r="T658" s="36">
        <v>102.10617000000001</v>
      </c>
      <c r="U658" s="393">
        <v>211.1464</v>
      </c>
    </row>
    <row r="659" spans="3:21" s="9" customFormat="1" ht="0.5" customHeight="1">
      <c r="C659" s="9" t="s">
        <v>50</v>
      </c>
      <c r="D659" s="9" t="str">
        <f t="shared" si="44"/>
        <v>Honduras40</v>
      </c>
      <c r="E659" s="398">
        <v>40</v>
      </c>
      <c r="F659" s="399">
        <v>100.89467999999999</v>
      </c>
      <c r="G659" s="36">
        <v>49.760334999999998</v>
      </c>
      <c r="H659" s="36">
        <v>59.412266000000002</v>
      </c>
      <c r="I659" s="393">
        <v>107.9619</v>
      </c>
      <c r="J659" s="399">
        <v>237.94035</v>
      </c>
      <c r="K659" s="36">
        <v>169.90870000000001</v>
      </c>
      <c r="L659" s="36">
        <v>143.52681000000001</v>
      </c>
      <c r="M659" s="393">
        <v>297.90053999999998</v>
      </c>
      <c r="N659" s="399">
        <v>88.543115999999998</v>
      </c>
      <c r="O659" s="36">
        <v>41.850349999999999</v>
      </c>
      <c r="P659" s="36">
        <v>32.542592999999997</v>
      </c>
      <c r="Q659" s="393">
        <v>73.094738000000007</v>
      </c>
      <c r="R659" s="399">
        <v>177.41381000000001</v>
      </c>
      <c r="S659" s="36">
        <v>161.52332000000001</v>
      </c>
      <c r="T659" s="36">
        <v>103.62738</v>
      </c>
      <c r="U659" s="393">
        <v>213.28237999999999</v>
      </c>
    </row>
    <row r="660" spans="3:21" s="9" customFormat="1" ht="0.5" customHeight="1">
      <c r="C660" s="9" t="s">
        <v>50</v>
      </c>
      <c r="D660" s="9" t="str">
        <f t="shared" si="44"/>
        <v>Honduras40.5</v>
      </c>
      <c r="E660" s="398">
        <v>40.5</v>
      </c>
      <c r="F660" s="399">
        <v>101.28733</v>
      </c>
      <c r="G660" s="36">
        <v>49.830339000000002</v>
      </c>
      <c r="H660" s="36">
        <v>59.630772</v>
      </c>
      <c r="I660" s="393">
        <v>108.2206</v>
      </c>
      <c r="J660" s="399">
        <v>239.43249</v>
      </c>
      <c r="K660" s="36">
        <v>171.74843999999999</v>
      </c>
      <c r="L660" s="36">
        <v>144.19513000000001</v>
      </c>
      <c r="M660" s="393">
        <v>302.21256</v>
      </c>
      <c r="N660" s="399">
        <v>89.648695000000004</v>
      </c>
      <c r="O660" s="36">
        <v>41.714987999999998</v>
      </c>
      <c r="P660" s="36">
        <v>32.588914000000003</v>
      </c>
      <c r="Q660" s="393">
        <v>73.189068000000006</v>
      </c>
      <c r="R660" s="399">
        <v>178.39349999999999</v>
      </c>
      <c r="S660" s="36">
        <v>161.15163000000001</v>
      </c>
      <c r="T660" s="36">
        <v>105.0224</v>
      </c>
      <c r="U660" s="393">
        <v>215.56310999999999</v>
      </c>
    </row>
    <row r="661" spans="3:21" s="9" customFormat="1" ht="0.5" customHeight="1">
      <c r="C661" s="9" t="s">
        <v>50</v>
      </c>
      <c r="D661" s="9" t="str">
        <f t="shared" si="44"/>
        <v>Honduras41</v>
      </c>
      <c r="E661" s="398">
        <v>41</v>
      </c>
      <c r="F661" s="399">
        <v>101.62336000000001</v>
      </c>
      <c r="G661" s="36">
        <v>49.942982999999998</v>
      </c>
      <c r="H661" s="36">
        <v>59.725306000000003</v>
      </c>
      <c r="I661" s="393">
        <v>108.41007999999999</v>
      </c>
      <c r="J661" s="399">
        <v>240.96171000000001</v>
      </c>
      <c r="K661" s="36">
        <v>173.39053000000001</v>
      </c>
      <c r="L661" s="36">
        <v>144.69359</v>
      </c>
      <c r="M661" s="393">
        <v>306.31785000000002</v>
      </c>
      <c r="N661" s="399">
        <v>90.773933999999997</v>
      </c>
      <c r="O661" s="36">
        <v>41.573669000000002</v>
      </c>
      <c r="P661" s="36">
        <v>32.638472</v>
      </c>
      <c r="Q661" s="393">
        <v>73.308839000000006</v>
      </c>
      <c r="R661" s="399">
        <v>179.43450000000001</v>
      </c>
      <c r="S661" s="36">
        <v>160.51564999999999</v>
      </c>
      <c r="T661" s="36">
        <v>106.29858</v>
      </c>
      <c r="U661" s="393">
        <v>218.75039000000001</v>
      </c>
    </row>
    <row r="662" spans="3:21" s="9" customFormat="1" ht="0.5" customHeight="1">
      <c r="C662" s="9" t="s">
        <v>50</v>
      </c>
      <c r="D662" s="9" t="str">
        <f t="shared" si="44"/>
        <v>Honduras41.5</v>
      </c>
      <c r="E662" s="398">
        <v>41.5</v>
      </c>
      <c r="F662" s="399">
        <v>101.78106</v>
      </c>
      <c r="G662" s="36">
        <v>50.076174999999999</v>
      </c>
      <c r="H662" s="36">
        <v>59.628695999999998</v>
      </c>
      <c r="I662" s="393">
        <v>108.61935</v>
      </c>
      <c r="J662" s="399">
        <v>242.84293</v>
      </c>
      <c r="K662" s="36">
        <v>174.96937</v>
      </c>
      <c r="L662" s="36">
        <v>145.19246000000001</v>
      </c>
      <c r="M662" s="393">
        <v>310.27796999999998</v>
      </c>
      <c r="N662" s="399">
        <v>91.918835999999999</v>
      </c>
      <c r="O662" s="36">
        <v>41.399056999999999</v>
      </c>
      <c r="P662" s="36">
        <v>32.718508</v>
      </c>
      <c r="Q662" s="393">
        <v>73.436356000000004</v>
      </c>
      <c r="R662" s="399">
        <v>180.82006999999999</v>
      </c>
      <c r="S662" s="36">
        <v>161.41762</v>
      </c>
      <c r="T662" s="36">
        <v>107.43714</v>
      </c>
      <c r="U662" s="393">
        <v>222.01487</v>
      </c>
    </row>
    <row r="663" spans="3:21" s="9" customFormat="1" ht="0.5" customHeight="1">
      <c r="C663" s="9" t="s">
        <v>50</v>
      </c>
      <c r="D663" s="9" t="str">
        <f t="shared" si="44"/>
        <v>Honduras42</v>
      </c>
      <c r="E663" s="398">
        <v>42</v>
      </c>
      <c r="F663" s="399">
        <v>101.87007</v>
      </c>
      <c r="G663" s="36">
        <v>50.157130000000002</v>
      </c>
      <c r="H663" s="36">
        <v>59.539183999999999</v>
      </c>
      <c r="I663" s="393">
        <v>108.83226999999999</v>
      </c>
      <c r="J663" s="399">
        <v>244.81255999999999</v>
      </c>
      <c r="K663" s="36">
        <v>176.56039000000001</v>
      </c>
      <c r="L663" s="36">
        <v>145.67872</v>
      </c>
      <c r="M663" s="393">
        <v>314.17930000000001</v>
      </c>
      <c r="N663" s="399">
        <v>93.077950000000001</v>
      </c>
      <c r="O663" s="36">
        <v>41.231535000000001</v>
      </c>
      <c r="P663" s="36">
        <v>32.79871</v>
      </c>
      <c r="Q663" s="393">
        <v>73.588656</v>
      </c>
      <c r="R663" s="399">
        <v>182.21063000000001</v>
      </c>
      <c r="S663" s="36">
        <v>162.66702000000001</v>
      </c>
      <c r="T663" s="36">
        <v>108.70963</v>
      </c>
      <c r="U663" s="393">
        <v>224.3706</v>
      </c>
    </row>
    <row r="664" spans="3:21" s="9" customFormat="1" ht="0.5" customHeight="1">
      <c r="C664" s="9" t="s">
        <v>50</v>
      </c>
      <c r="D664" s="9" t="str">
        <f t="shared" si="44"/>
        <v>Honduras42.5</v>
      </c>
      <c r="E664" s="398">
        <v>42.5</v>
      </c>
      <c r="F664" s="399">
        <v>101.91295</v>
      </c>
      <c r="G664" s="36">
        <v>50.198425999999998</v>
      </c>
      <c r="H664" s="36">
        <v>59.529713999999998</v>
      </c>
      <c r="I664" s="393">
        <v>109.06392</v>
      </c>
      <c r="J664" s="399">
        <v>246.79246000000001</v>
      </c>
      <c r="K664" s="36">
        <v>178.16739000000001</v>
      </c>
      <c r="L664" s="36">
        <v>146.16253</v>
      </c>
      <c r="M664" s="393">
        <v>317.6728</v>
      </c>
      <c r="N664" s="399">
        <v>94.671610000000001</v>
      </c>
      <c r="O664" s="36">
        <v>41.106425999999999</v>
      </c>
      <c r="P664" s="36">
        <v>32.894252999999999</v>
      </c>
      <c r="Q664" s="393">
        <v>73.750630000000001</v>
      </c>
      <c r="R664" s="399">
        <v>184.02728999999999</v>
      </c>
      <c r="S664" s="36">
        <v>163.04048</v>
      </c>
      <c r="T664" s="36">
        <v>110.38254000000001</v>
      </c>
      <c r="U664" s="393">
        <v>226.64242999999999</v>
      </c>
    </row>
    <row r="665" spans="3:21" s="9" customFormat="1" ht="0.5" customHeight="1">
      <c r="C665" s="9" t="s">
        <v>50</v>
      </c>
      <c r="D665" s="9" t="str">
        <f t="shared" si="44"/>
        <v>Honduras43</v>
      </c>
      <c r="E665" s="398">
        <v>43</v>
      </c>
      <c r="F665" s="399">
        <v>101.96007</v>
      </c>
      <c r="G665" s="36">
        <v>50.239279000000003</v>
      </c>
      <c r="H665" s="36">
        <v>59.548780999999998</v>
      </c>
      <c r="I665" s="393">
        <v>109.39868</v>
      </c>
      <c r="J665" s="399">
        <v>248.56802999999999</v>
      </c>
      <c r="K665" s="36">
        <v>178.86171999999999</v>
      </c>
      <c r="L665" s="36">
        <v>146.38063</v>
      </c>
      <c r="M665" s="393">
        <v>320.79038000000003</v>
      </c>
      <c r="N665" s="399">
        <v>96.249814000000001</v>
      </c>
      <c r="O665" s="36">
        <v>41.018965000000001</v>
      </c>
      <c r="P665" s="36">
        <v>32.991933000000003</v>
      </c>
      <c r="Q665" s="393">
        <v>73.931237999999993</v>
      </c>
      <c r="R665" s="399">
        <v>185.83759000000001</v>
      </c>
      <c r="S665" s="36">
        <v>163.15386000000001</v>
      </c>
      <c r="T665" s="36">
        <v>111.83423999999999</v>
      </c>
      <c r="U665" s="393">
        <v>228.80356</v>
      </c>
    </row>
    <row r="666" spans="3:21" s="9" customFormat="1" ht="0.5" customHeight="1">
      <c r="C666" s="9" t="s">
        <v>50</v>
      </c>
      <c r="D666" s="9" t="str">
        <f t="shared" si="44"/>
        <v>Honduras43.5</v>
      </c>
      <c r="E666" s="398">
        <v>43.5</v>
      </c>
      <c r="F666" s="399">
        <v>102.12004</v>
      </c>
      <c r="G666" s="36">
        <v>50.256416999999999</v>
      </c>
      <c r="H666" s="36">
        <v>59.602293000000003</v>
      </c>
      <c r="I666" s="393">
        <v>109.76186</v>
      </c>
      <c r="J666" s="399">
        <v>250.20000999999999</v>
      </c>
      <c r="K666" s="36">
        <v>179.51647</v>
      </c>
      <c r="L666" s="36">
        <v>146.59822</v>
      </c>
      <c r="M666" s="393">
        <v>323.49347</v>
      </c>
      <c r="N666" s="399">
        <v>97.683638000000002</v>
      </c>
      <c r="O666" s="36">
        <v>41.095329999999997</v>
      </c>
      <c r="P666" s="36">
        <v>33.107128000000003</v>
      </c>
      <c r="Q666" s="393">
        <v>74.101247999999998</v>
      </c>
      <c r="R666" s="399">
        <v>187.84997000000001</v>
      </c>
      <c r="S666" s="36">
        <v>164.60311999999999</v>
      </c>
      <c r="T666" s="36">
        <v>112.04449</v>
      </c>
      <c r="U666" s="393">
        <v>231.01224999999999</v>
      </c>
    </row>
    <row r="667" spans="3:21" s="9" customFormat="1" ht="0.5" customHeight="1">
      <c r="C667" s="9" t="s">
        <v>50</v>
      </c>
      <c r="D667" s="9" t="str">
        <f t="shared" si="44"/>
        <v>Honduras44</v>
      </c>
      <c r="E667" s="398">
        <v>44</v>
      </c>
      <c r="F667" s="399">
        <v>102.36194999999999</v>
      </c>
      <c r="G667" s="36">
        <v>50.202897999999998</v>
      </c>
      <c r="H667" s="36">
        <v>59.685357000000003</v>
      </c>
      <c r="I667" s="393">
        <v>110.20148</v>
      </c>
      <c r="J667" s="399">
        <v>251.935</v>
      </c>
      <c r="K667" s="36">
        <v>181.31489999999999</v>
      </c>
      <c r="L667" s="36">
        <v>147.10844</v>
      </c>
      <c r="M667" s="393">
        <v>326.19024000000002</v>
      </c>
      <c r="N667" s="399">
        <v>99.154662000000002</v>
      </c>
      <c r="O667" s="36">
        <v>41.170948000000003</v>
      </c>
      <c r="P667" s="36">
        <v>33.220103000000002</v>
      </c>
      <c r="Q667" s="393">
        <v>74.418659000000005</v>
      </c>
      <c r="R667" s="399">
        <v>189.87486999999999</v>
      </c>
      <c r="S667" s="36">
        <v>166.1661</v>
      </c>
      <c r="T667" s="36">
        <v>112.27437999999999</v>
      </c>
      <c r="U667" s="393">
        <v>232.90123</v>
      </c>
    </row>
    <row r="668" spans="3:21" s="9" customFormat="1" ht="0.5" customHeight="1">
      <c r="C668" s="9" t="s">
        <v>50</v>
      </c>
      <c r="D668" s="9" t="str">
        <f t="shared" si="44"/>
        <v>Honduras44.5</v>
      </c>
      <c r="E668" s="398">
        <v>44.5</v>
      </c>
      <c r="F668" s="399">
        <v>102.72002999999999</v>
      </c>
      <c r="G668" s="36">
        <v>50.086483000000001</v>
      </c>
      <c r="H668" s="36">
        <v>59.652731000000003</v>
      </c>
      <c r="I668" s="393">
        <v>110.62727</v>
      </c>
      <c r="J668" s="399">
        <v>253.61528999999999</v>
      </c>
      <c r="K668" s="36">
        <v>183.18097</v>
      </c>
      <c r="L668" s="36">
        <v>147.61274</v>
      </c>
      <c r="M668" s="393">
        <v>328.46861000000001</v>
      </c>
      <c r="N668" s="399">
        <v>100.25592</v>
      </c>
      <c r="O668" s="36">
        <v>41.209043999999999</v>
      </c>
      <c r="P668" s="36">
        <v>33.220806000000003</v>
      </c>
      <c r="Q668" s="393">
        <v>74.920648999999997</v>
      </c>
      <c r="R668" s="399">
        <v>192.23561000000001</v>
      </c>
      <c r="S668" s="36">
        <v>166.52967000000001</v>
      </c>
      <c r="T668" s="36">
        <v>112.9093</v>
      </c>
      <c r="U668" s="393">
        <v>234.74788000000001</v>
      </c>
    </row>
    <row r="669" spans="3:21" s="9" customFormat="1" ht="0.5" customHeight="1">
      <c r="C669" s="9" t="s">
        <v>50</v>
      </c>
      <c r="D669" s="9" t="str">
        <f t="shared" si="44"/>
        <v>Honduras45</v>
      </c>
      <c r="E669" s="398">
        <v>45</v>
      </c>
      <c r="F669" s="399">
        <v>103.11326</v>
      </c>
      <c r="G669" s="36">
        <v>49.896227000000003</v>
      </c>
      <c r="H669" s="36">
        <v>59.544302999999999</v>
      </c>
      <c r="I669" s="393">
        <v>111.03527</v>
      </c>
      <c r="J669" s="399">
        <v>255.38674</v>
      </c>
      <c r="K669" s="36">
        <v>185.00989999999999</v>
      </c>
      <c r="L669" s="36">
        <v>148.41505000000001</v>
      </c>
      <c r="M669" s="393">
        <v>331.25729999999999</v>
      </c>
      <c r="N669" s="399">
        <v>101.36014</v>
      </c>
      <c r="O669" s="36">
        <v>41.231834999999997</v>
      </c>
      <c r="P669" s="36">
        <v>33.220613999999998</v>
      </c>
      <c r="Q669" s="393">
        <v>75.402303000000003</v>
      </c>
      <c r="R669" s="399">
        <v>194.59777</v>
      </c>
      <c r="S669" s="36">
        <v>166.57356999999999</v>
      </c>
      <c r="T669" s="36">
        <v>113.32931000000001</v>
      </c>
      <c r="U669" s="393">
        <v>236.29829000000001</v>
      </c>
    </row>
    <row r="670" spans="3:21" s="9" customFormat="1" ht="0.5" customHeight="1">
      <c r="C670" s="9" t="s">
        <v>50</v>
      </c>
      <c r="D670" s="9" t="str">
        <f t="shared" si="44"/>
        <v>Honduras45.5</v>
      </c>
      <c r="E670" s="398">
        <v>45.5</v>
      </c>
      <c r="F670" s="399">
        <v>103.42140999999999</v>
      </c>
      <c r="G670" s="36">
        <v>49.709769999999999</v>
      </c>
      <c r="H670" s="36">
        <v>59.559128000000001</v>
      </c>
      <c r="I670" s="393">
        <v>111.40188000000001</v>
      </c>
      <c r="J670" s="399">
        <v>257.05971</v>
      </c>
      <c r="K670" s="36">
        <v>186.84495000000001</v>
      </c>
      <c r="L670" s="36">
        <v>149.20188999999999</v>
      </c>
      <c r="M670" s="393">
        <v>334.46264000000002</v>
      </c>
      <c r="N670" s="399">
        <v>102.53903</v>
      </c>
      <c r="O670" s="36">
        <v>41.404741000000001</v>
      </c>
      <c r="P670" s="36">
        <v>33.140205000000002</v>
      </c>
      <c r="Q670" s="393">
        <v>75.818067999999997</v>
      </c>
      <c r="R670" s="399">
        <v>196.49448000000001</v>
      </c>
      <c r="S670" s="36">
        <v>168.15556000000001</v>
      </c>
      <c r="T670" s="36">
        <v>112.83571000000001</v>
      </c>
      <c r="U670" s="393">
        <v>237.78322</v>
      </c>
    </row>
    <row r="671" spans="3:21" s="9" customFormat="1" ht="0.5" customHeight="1">
      <c r="C671" s="9" t="s">
        <v>50</v>
      </c>
      <c r="D671" s="9" t="str">
        <f t="shared" si="44"/>
        <v>Honduras46</v>
      </c>
      <c r="E671" s="398">
        <v>46</v>
      </c>
      <c r="F671" s="399">
        <v>103.67985</v>
      </c>
      <c r="G671" s="36">
        <v>49.493763000000001</v>
      </c>
      <c r="H671" s="36">
        <v>59.578951000000004</v>
      </c>
      <c r="I671" s="393">
        <v>111.72136999999999</v>
      </c>
      <c r="J671" s="399">
        <v>258.42347000000001</v>
      </c>
      <c r="K671" s="36">
        <v>189.17241999999999</v>
      </c>
      <c r="L671" s="36">
        <v>149.95491999999999</v>
      </c>
      <c r="M671" s="393">
        <v>336.90969000000001</v>
      </c>
      <c r="N671" s="399">
        <v>103.70567</v>
      </c>
      <c r="O671" s="36">
        <v>41.624246999999997</v>
      </c>
      <c r="P671" s="36">
        <v>33.063434000000001</v>
      </c>
      <c r="Q671" s="393">
        <v>76.141914</v>
      </c>
      <c r="R671" s="399">
        <v>198.35228000000001</v>
      </c>
      <c r="S671" s="36">
        <v>170.05506</v>
      </c>
      <c r="T671" s="36">
        <v>112.36462</v>
      </c>
      <c r="U671" s="393">
        <v>238.50766999999999</v>
      </c>
    </row>
    <row r="672" spans="3:21" s="9" customFormat="1" ht="0.5" customHeight="1">
      <c r="C672" s="9" t="s">
        <v>50</v>
      </c>
      <c r="D672" s="9" t="str">
        <f t="shared" si="44"/>
        <v>Honduras46.5</v>
      </c>
      <c r="E672" s="398">
        <v>46.5</v>
      </c>
      <c r="F672" s="399">
        <v>104.05118</v>
      </c>
      <c r="G672" s="36">
        <v>49.205835</v>
      </c>
      <c r="H672" s="36">
        <v>59.497042</v>
      </c>
      <c r="I672" s="393">
        <v>112.04199</v>
      </c>
      <c r="J672" s="399">
        <v>258.96172000000001</v>
      </c>
      <c r="K672" s="36">
        <v>191.6035</v>
      </c>
      <c r="L672" s="36">
        <v>150.68561</v>
      </c>
      <c r="M672" s="393">
        <v>338.99930999999998</v>
      </c>
      <c r="N672" s="399">
        <v>105.09372</v>
      </c>
      <c r="O672" s="36">
        <v>41.857498999999997</v>
      </c>
      <c r="P672" s="36">
        <v>32.959529000000003</v>
      </c>
      <c r="Q672" s="393">
        <v>76.387769000000006</v>
      </c>
      <c r="R672" s="399">
        <v>200.18828999999999</v>
      </c>
      <c r="S672" s="36">
        <v>175.911</v>
      </c>
      <c r="T672" s="36">
        <v>111.41704</v>
      </c>
      <c r="U672" s="393">
        <v>239.15025</v>
      </c>
    </row>
    <row r="673" spans="3:21" s="9" customFormat="1" ht="0.5" customHeight="1">
      <c r="C673" s="9" t="s">
        <v>50</v>
      </c>
      <c r="D673" s="9" t="str">
        <f t="shared" si="44"/>
        <v>Honduras47</v>
      </c>
      <c r="E673" s="398">
        <v>47</v>
      </c>
      <c r="F673" s="399">
        <v>104.42841</v>
      </c>
      <c r="G673" s="36">
        <v>48.918658999999998</v>
      </c>
      <c r="H673" s="36">
        <v>59.390577999999998</v>
      </c>
      <c r="I673" s="393">
        <v>112.41365</v>
      </c>
      <c r="J673" s="399">
        <v>259.32400000000001</v>
      </c>
      <c r="K673" s="36">
        <v>194.50888</v>
      </c>
      <c r="L673" s="36">
        <v>151.29863</v>
      </c>
      <c r="M673" s="393">
        <v>341.15275000000003</v>
      </c>
      <c r="N673" s="399">
        <v>106.47074000000001</v>
      </c>
      <c r="O673" s="36">
        <v>42.070293999999997</v>
      </c>
      <c r="P673" s="36">
        <v>32.858227999999997</v>
      </c>
      <c r="Q673" s="393">
        <v>76.560930999999997</v>
      </c>
      <c r="R673" s="399">
        <v>202.01468</v>
      </c>
      <c r="S673" s="36">
        <v>182.85588999999999</v>
      </c>
      <c r="T673" s="36">
        <v>110.50845</v>
      </c>
      <c r="U673" s="393">
        <v>240.65253000000001</v>
      </c>
    </row>
    <row r="674" spans="3:21" s="9" customFormat="1" ht="0.5" customHeight="1">
      <c r="C674" s="9" t="s">
        <v>50</v>
      </c>
      <c r="D674" s="9" t="str">
        <f t="shared" si="44"/>
        <v>Honduras47.5</v>
      </c>
      <c r="E674" s="398">
        <v>47.5</v>
      </c>
      <c r="F674" s="399">
        <v>104.67588000000001</v>
      </c>
      <c r="G674" s="36">
        <v>48.711682000000003</v>
      </c>
      <c r="H674" s="36">
        <v>59.365957000000002</v>
      </c>
      <c r="I674" s="393">
        <v>112.77043999999999</v>
      </c>
      <c r="J674" s="399">
        <v>259.70391999999998</v>
      </c>
      <c r="K674" s="36">
        <v>197.29930999999999</v>
      </c>
      <c r="L674" s="36">
        <v>151.91045</v>
      </c>
      <c r="M674" s="393">
        <v>343.42059999999998</v>
      </c>
      <c r="N674" s="399">
        <v>107.51549</v>
      </c>
      <c r="O674" s="36">
        <v>42.253475999999999</v>
      </c>
      <c r="P674" s="36">
        <v>32.735298999999998</v>
      </c>
      <c r="Q674" s="393">
        <v>76.725888999999995</v>
      </c>
      <c r="R674" s="399">
        <v>203.6755</v>
      </c>
      <c r="S674" s="36">
        <v>190.69855999999999</v>
      </c>
      <c r="T674" s="36">
        <v>110.247</v>
      </c>
      <c r="U674" s="393">
        <v>242.25881999999999</v>
      </c>
    </row>
    <row r="675" spans="3:21" s="9" customFormat="1" ht="0.5" customHeight="1">
      <c r="C675" s="9" t="s">
        <v>50</v>
      </c>
      <c r="D675" s="9" t="str">
        <f t="shared" si="44"/>
        <v>Honduras48</v>
      </c>
      <c r="E675" s="398">
        <v>48</v>
      </c>
      <c r="F675" s="399">
        <v>104.94823</v>
      </c>
      <c r="G675" s="36">
        <v>48.603492000000003</v>
      </c>
      <c r="H675" s="36">
        <v>59.345511999999999</v>
      </c>
      <c r="I675" s="393">
        <v>113.05605</v>
      </c>
      <c r="J675" s="399">
        <v>260.17295999999999</v>
      </c>
      <c r="K675" s="36">
        <v>198.31220999999999</v>
      </c>
      <c r="L675" s="36">
        <v>152.66830999999999</v>
      </c>
      <c r="M675" s="393">
        <v>344.37207999999998</v>
      </c>
      <c r="N675" s="399">
        <v>108.5498</v>
      </c>
      <c r="O675" s="36">
        <v>42.436565999999999</v>
      </c>
      <c r="P675" s="36">
        <v>32.615862</v>
      </c>
      <c r="Q675" s="393">
        <v>76.910049999999998</v>
      </c>
      <c r="R675" s="399">
        <v>205.34679</v>
      </c>
      <c r="S675" s="36">
        <v>198.24232000000001</v>
      </c>
      <c r="T675" s="36">
        <v>109.96283</v>
      </c>
      <c r="U675" s="393">
        <v>245.11407</v>
      </c>
    </row>
    <row r="676" spans="3:21" s="9" customFormat="1" ht="0.5" customHeight="1">
      <c r="C676" s="9" t="s">
        <v>50</v>
      </c>
      <c r="D676" s="9" t="str">
        <f t="shared" si="44"/>
        <v>Honduras48.5</v>
      </c>
      <c r="E676" s="398">
        <v>48.5</v>
      </c>
      <c r="F676" s="399">
        <v>105.31921</v>
      </c>
      <c r="G676" s="36">
        <v>48.550699999999999</v>
      </c>
      <c r="H676" s="36">
        <v>59.199458</v>
      </c>
      <c r="I676" s="393">
        <v>113.35825</v>
      </c>
      <c r="J676" s="399">
        <v>260.82519000000002</v>
      </c>
      <c r="K676" s="36">
        <v>199.39851999999999</v>
      </c>
      <c r="L676" s="36">
        <v>153.42241000000001</v>
      </c>
      <c r="M676" s="393">
        <v>344.76056</v>
      </c>
      <c r="N676" s="399">
        <v>109.50303</v>
      </c>
      <c r="O676" s="36">
        <v>42.542197000000002</v>
      </c>
      <c r="P676" s="36">
        <v>32.495266000000001</v>
      </c>
      <c r="Q676" s="393">
        <v>77.005266000000006</v>
      </c>
      <c r="R676" s="399">
        <v>206.27932000000001</v>
      </c>
      <c r="S676" s="36">
        <v>202.95972</v>
      </c>
      <c r="T676" s="36">
        <v>109.2303</v>
      </c>
      <c r="U676" s="393">
        <v>247.93752000000001</v>
      </c>
    </row>
    <row r="677" spans="3:21" s="9" customFormat="1" ht="0.5" customHeight="1">
      <c r="C677" s="9" t="s">
        <v>50</v>
      </c>
      <c r="D677" s="9" t="str">
        <f t="shared" si="44"/>
        <v>Honduras49</v>
      </c>
      <c r="E677" s="398">
        <v>49</v>
      </c>
      <c r="F677" s="399">
        <v>105.67184</v>
      </c>
      <c r="G677" s="36">
        <v>48.583333000000003</v>
      </c>
      <c r="H677" s="36">
        <v>59.054853000000001</v>
      </c>
      <c r="I677" s="393">
        <v>113.71021</v>
      </c>
      <c r="J677" s="399">
        <v>261.51758000000001</v>
      </c>
      <c r="K677" s="36">
        <v>200.01634999999999</v>
      </c>
      <c r="L677" s="36">
        <v>154.17115000000001</v>
      </c>
      <c r="M677" s="393">
        <v>345.69880999999998</v>
      </c>
      <c r="N677" s="399">
        <v>110.46816</v>
      </c>
      <c r="O677" s="36">
        <v>42.616</v>
      </c>
      <c r="P677" s="36">
        <v>32.369920999999998</v>
      </c>
      <c r="Q677" s="393">
        <v>77.066931999999994</v>
      </c>
      <c r="R677" s="399">
        <v>207.18923000000001</v>
      </c>
      <c r="S677" s="36">
        <v>207.13328000000001</v>
      </c>
      <c r="T677" s="36">
        <v>108.43423</v>
      </c>
      <c r="U677" s="393">
        <v>250.37475000000001</v>
      </c>
    </row>
    <row r="678" spans="3:21" s="9" customFormat="1" ht="0.5" customHeight="1">
      <c r="C678" s="9" t="s">
        <v>50</v>
      </c>
      <c r="D678" s="9" t="str">
        <f t="shared" si="44"/>
        <v>Honduras49.5</v>
      </c>
      <c r="E678" s="398">
        <v>49.5</v>
      </c>
      <c r="F678" s="399">
        <v>105.88406000000001</v>
      </c>
      <c r="G678" s="36">
        <v>48.733462000000003</v>
      </c>
      <c r="H678" s="36">
        <v>58.770800999999999</v>
      </c>
      <c r="I678" s="393">
        <v>114.06878</v>
      </c>
      <c r="J678" s="399">
        <v>262.42901999999998</v>
      </c>
      <c r="K678" s="36">
        <v>200.36542</v>
      </c>
      <c r="L678" s="36">
        <v>154.89499000000001</v>
      </c>
      <c r="M678" s="393">
        <v>345.88943999999998</v>
      </c>
      <c r="N678" s="399">
        <v>110.73363999999999</v>
      </c>
      <c r="O678" s="36">
        <v>42.605034000000003</v>
      </c>
      <c r="P678" s="36">
        <v>32.206004</v>
      </c>
      <c r="Q678" s="393">
        <v>77.059842000000003</v>
      </c>
      <c r="R678" s="399">
        <v>208.44848999999999</v>
      </c>
      <c r="S678" s="36">
        <v>212.04445999999999</v>
      </c>
      <c r="T678" s="36">
        <v>107.24423</v>
      </c>
      <c r="U678" s="393">
        <v>252.81412</v>
      </c>
    </row>
    <row r="679" spans="3:21" s="9" customFormat="1" ht="0.5" customHeight="1">
      <c r="C679" s="9" t="s">
        <v>50</v>
      </c>
      <c r="D679" s="9" t="str">
        <f t="shared" si="44"/>
        <v>Honduras50</v>
      </c>
      <c r="E679" s="398">
        <v>50</v>
      </c>
      <c r="F679" s="399">
        <v>106.0348</v>
      </c>
      <c r="G679" s="36">
        <v>48.937514</v>
      </c>
      <c r="H679" s="36">
        <v>58.361800000000002</v>
      </c>
      <c r="I679" s="393">
        <v>114.41661999999999</v>
      </c>
      <c r="J679" s="399">
        <v>263.40183000000002</v>
      </c>
      <c r="K679" s="36">
        <v>200.33036000000001</v>
      </c>
      <c r="L679" s="36">
        <v>155.50113999999999</v>
      </c>
      <c r="M679" s="393">
        <v>345.40764999999999</v>
      </c>
      <c r="N679" s="399">
        <v>111.00344</v>
      </c>
      <c r="O679" s="36">
        <v>42.538145</v>
      </c>
      <c r="P679" s="36">
        <v>32.040999999999997</v>
      </c>
      <c r="Q679" s="393">
        <v>76.975658999999993</v>
      </c>
      <c r="R679" s="399">
        <v>209.77115000000001</v>
      </c>
      <c r="S679" s="36">
        <v>216.94717</v>
      </c>
      <c r="T679" s="36">
        <v>106.00606999999999</v>
      </c>
      <c r="U679" s="393">
        <v>255.24424999999999</v>
      </c>
    </row>
    <row r="680" spans="3:21" s="9" customFormat="1" ht="0.5" customHeight="1">
      <c r="C680" s="9" t="s">
        <v>50</v>
      </c>
      <c r="D680" s="9" t="str">
        <f t="shared" si="44"/>
        <v>Honduras50.5</v>
      </c>
      <c r="E680" s="398">
        <v>50.5</v>
      </c>
      <c r="F680" s="399">
        <v>105.98819</v>
      </c>
      <c r="G680" s="36">
        <v>49.098731999999998</v>
      </c>
      <c r="H680" s="36">
        <v>57.894810999999997</v>
      </c>
      <c r="I680" s="393">
        <v>114.75533</v>
      </c>
      <c r="J680" s="399">
        <v>264.62887999999998</v>
      </c>
      <c r="K680" s="36">
        <v>200.32384999999999</v>
      </c>
      <c r="L680" s="36">
        <v>156.14452</v>
      </c>
      <c r="M680" s="393">
        <v>345.00565999999998</v>
      </c>
      <c r="N680" s="399">
        <v>111.58525</v>
      </c>
      <c r="O680" s="36">
        <v>42.327559000000001</v>
      </c>
      <c r="P680" s="36">
        <v>31.827821</v>
      </c>
      <c r="Q680" s="393">
        <v>76.884608</v>
      </c>
      <c r="R680" s="399">
        <v>211.88454999999999</v>
      </c>
      <c r="S680" s="36">
        <v>220.55423999999999</v>
      </c>
      <c r="T680" s="36">
        <v>105.04907</v>
      </c>
      <c r="U680" s="393">
        <v>257.99331999999998</v>
      </c>
    </row>
    <row r="681" spans="3:21" s="9" customFormat="1" ht="0.5" customHeight="1">
      <c r="C681" s="9" t="s">
        <v>50</v>
      </c>
      <c r="D681" s="9" t="str">
        <f t="shared" si="44"/>
        <v>Honduras51</v>
      </c>
      <c r="E681" s="398">
        <v>51</v>
      </c>
      <c r="F681" s="399">
        <v>105.84113000000001</v>
      </c>
      <c r="G681" s="36">
        <v>49.228886000000003</v>
      </c>
      <c r="H681" s="36">
        <v>57.412126000000001</v>
      </c>
      <c r="I681" s="393">
        <v>115.10080000000001</v>
      </c>
      <c r="J681" s="399">
        <v>265.93551000000002</v>
      </c>
      <c r="K681" s="36">
        <v>200.27593999999999</v>
      </c>
      <c r="L681" s="36">
        <v>156.86296999999999</v>
      </c>
      <c r="M681" s="393">
        <v>344.70826</v>
      </c>
      <c r="N681" s="399">
        <v>112.1656</v>
      </c>
      <c r="O681" s="36">
        <v>42.085543999999999</v>
      </c>
      <c r="P681" s="36">
        <v>31.611505000000001</v>
      </c>
      <c r="Q681" s="393">
        <v>76.773689000000005</v>
      </c>
      <c r="R681" s="399">
        <v>214.01311000000001</v>
      </c>
      <c r="S681" s="36">
        <v>224.16958</v>
      </c>
      <c r="T681" s="36">
        <v>104.13737999999999</v>
      </c>
      <c r="U681" s="393">
        <v>261.42009999999999</v>
      </c>
    </row>
    <row r="682" spans="3:21" s="9" customFormat="1" ht="0.5" customHeight="1">
      <c r="C682" s="9" t="s">
        <v>50</v>
      </c>
      <c r="D682" s="9" t="str">
        <f t="shared" si="44"/>
        <v>Honduras51.5</v>
      </c>
      <c r="E682" s="398">
        <v>51.5</v>
      </c>
      <c r="F682" s="399">
        <v>105.55161</v>
      </c>
      <c r="G682" s="36">
        <v>49.369509999999998</v>
      </c>
      <c r="H682" s="36">
        <v>56.898238999999997</v>
      </c>
      <c r="I682" s="393">
        <v>115.39901999999999</v>
      </c>
      <c r="J682" s="399">
        <v>267.20672000000002</v>
      </c>
      <c r="K682" s="36">
        <v>199.97130000000001</v>
      </c>
      <c r="L682" s="36">
        <v>157.7561</v>
      </c>
      <c r="M682" s="393">
        <v>343.41782999999998</v>
      </c>
      <c r="N682" s="399">
        <v>112.24141</v>
      </c>
      <c r="O682" s="36">
        <v>41.756169</v>
      </c>
      <c r="P682" s="36">
        <v>31.382379</v>
      </c>
      <c r="Q682" s="393">
        <v>76.611041999999998</v>
      </c>
      <c r="R682" s="399">
        <v>215.90431000000001</v>
      </c>
      <c r="S682" s="36">
        <v>227.82568000000001</v>
      </c>
      <c r="T682" s="36">
        <v>103.15738</v>
      </c>
      <c r="U682" s="393">
        <v>265.41460000000001</v>
      </c>
    </row>
    <row r="683" spans="3:21" s="9" customFormat="1" ht="0.5" customHeight="1">
      <c r="C683" s="9" t="s">
        <v>50</v>
      </c>
      <c r="D683" s="9" t="str">
        <f t="shared" si="44"/>
        <v>Honduras52</v>
      </c>
      <c r="E683" s="398">
        <v>52</v>
      </c>
      <c r="F683" s="399">
        <v>105.23011</v>
      </c>
      <c r="G683" s="36">
        <v>49.567028999999998</v>
      </c>
      <c r="H683" s="36">
        <v>56.375185000000002</v>
      </c>
      <c r="I683" s="393">
        <v>115.59842</v>
      </c>
      <c r="J683" s="399">
        <v>268.32835999999998</v>
      </c>
      <c r="K683" s="36">
        <v>199.23658</v>
      </c>
      <c r="L683" s="36">
        <v>158.69602</v>
      </c>
      <c r="M683" s="393">
        <v>341.05196000000001</v>
      </c>
      <c r="N683" s="399">
        <v>112.32348</v>
      </c>
      <c r="O683" s="36">
        <v>41.374828999999998</v>
      </c>
      <c r="P683" s="36">
        <v>31.171118</v>
      </c>
      <c r="Q683" s="393">
        <v>76.385534000000007</v>
      </c>
      <c r="R683" s="399">
        <v>218.09951000000001</v>
      </c>
      <c r="S683" s="36">
        <v>229.57378</v>
      </c>
      <c r="T683" s="36">
        <v>102.46773</v>
      </c>
      <c r="U683" s="393">
        <v>270.27159</v>
      </c>
    </row>
    <row r="684" spans="3:21" s="9" customFormat="1" ht="0.5" customHeight="1">
      <c r="C684" s="9" t="s">
        <v>50</v>
      </c>
      <c r="D684" s="9" t="str">
        <f t="shared" si="44"/>
        <v>Honduras52.5</v>
      </c>
      <c r="E684" s="398">
        <v>52.5</v>
      </c>
      <c r="F684" s="399">
        <v>104.86897999999999</v>
      </c>
      <c r="G684" s="36">
        <v>49.761705999999997</v>
      </c>
      <c r="H684" s="36">
        <v>55.854694000000002</v>
      </c>
      <c r="I684" s="393">
        <v>115.59989</v>
      </c>
      <c r="J684" s="399">
        <v>269.32724000000002</v>
      </c>
      <c r="K684" s="36">
        <v>198.15403000000001</v>
      </c>
      <c r="L684" s="36">
        <v>159.6439</v>
      </c>
      <c r="M684" s="393">
        <v>337.37842000000001</v>
      </c>
      <c r="N684" s="399">
        <v>112.22898000000001</v>
      </c>
      <c r="O684" s="36">
        <v>40.929144000000001</v>
      </c>
      <c r="P684" s="36">
        <v>31.018682999999999</v>
      </c>
      <c r="Q684" s="393">
        <v>76.075650999999993</v>
      </c>
      <c r="R684" s="399">
        <v>221.08428000000001</v>
      </c>
      <c r="S684" s="36">
        <v>229.11927</v>
      </c>
      <c r="T684" s="36">
        <v>102.23399000000001</v>
      </c>
      <c r="U684" s="393">
        <v>276.24480999999997</v>
      </c>
    </row>
    <row r="685" spans="3:21" s="9" customFormat="1" ht="0.5" customHeight="1">
      <c r="C685" s="9" t="s">
        <v>50</v>
      </c>
      <c r="D685" s="9" t="str">
        <f t="shared" si="44"/>
        <v>Honduras53</v>
      </c>
      <c r="E685" s="398">
        <v>53</v>
      </c>
      <c r="F685" s="399">
        <v>104.51497000000001</v>
      </c>
      <c r="G685" s="36">
        <v>49.919148999999997</v>
      </c>
      <c r="H685" s="36">
        <v>55.336882000000003</v>
      </c>
      <c r="I685" s="393">
        <v>115.40176</v>
      </c>
      <c r="J685" s="399">
        <v>270.78870999999998</v>
      </c>
      <c r="K685" s="36">
        <v>196.435</v>
      </c>
      <c r="L685" s="36">
        <v>160.5266</v>
      </c>
      <c r="M685" s="393">
        <v>332.41142000000002</v>
      </c>
      <c r="N685" s="399">
        <v>112.13023</v>
      </c>
      <c r="O685" s="36">
        <v>40.440945999999997</v>
      </c>
      <c r="P685" s="36">
        <v>30.896695999999999</v>
      </c>
      <c r="Q685" s="393">
        <v>75.625006999999997</v>
      </c>
      <c r="R685" s="399">
        <v>225.17161999999999</v>
      </c>
      <c r="S685" s="36">
        <v>224.37344999999999</v>
      </c>
      <c r="T685" s="36">
        <v>101.4228</v>
      </c>
      <c r="U685" s="393">
        <v>282.77910000000003</v>
      </c>
    </row>
    <row r="686" spans="3:21" s="9" customFormat="1" ht="0.5" customHeight="1">
      <c r="C686" s="9" t="s">
        <v>50</v>
      </c>
      <c r="D686" s="9" t="str">
        <f t="shared" si="44"/>
        <v>Honduras53.5</v>
      </c>
      <c r="E686" s="398">
        <v>53.5</v>
      </c>
      <c r="F686" s="399">
        <v>104.12897</v>
      </c>
      <c r="G686" s="36">
        <v>49.974017000000003</v>
      </c>
      <c r="H686" s="36">
        <v>54.824570000000001</v>
      </c>
      <c r="I686" s="393">
        <v>114.91995</v>
      </c>
      <c r="J686" s="399">
        <v>272.64413999999999</v>
      </c>
      <c r="K686" s="36">
        <v>193.42785000000001</v>
      </c>
      <c r="L686" s="36">
        <v>161.3347</v>
      </c>
      <c r="M686" s="393">
        <v>326.10959000000003</v>
      </c>
      <c r="N686" s="399">
        <v>112.0485</v>
      </c>
      <c r="O686" s="36">
        <v>39.877946999999999</v>
      </c>
      <c r="P686" s="36">
        <v>30.786660999999999</v>
      </c>
      <c r="Q686" s="393">
        <v>75.004118000000005</v>
      </c>
      <c r="R686" s="399">
        <v>230.59627</v>
      </c>
      <c r="S686" s="36">
        <v>213.49573000000001</v>
      </c>
      <c r="T686" s="36">
        <v>100.63876999999999</v>
      </c>
      <c r="U686" s="393">
        <v>290.24338</v>
      </c>
    </row>
    <row r="687" spans="3:21" s="9" customFormat="1" ht="0.5" customHeight="1">
      <c r="C687" s="9" t="s">
        <v>50</v>
      </c>
      <c r="D687" s="9" t="str">
        <f t="shared" si="44"/>
        <v>Honduras54</v>
      </c>
      <c r="E687" s="398">
        <v>54</v>
      </c>
      <c r="F687" s="399">
        <v>103.61675</v>
      </c>
      <c r="G687" s="36">
        <v>49.801073000000002</v>
      </c>
      <c r="H687" s="36">
        <v>54.273347999999999</v>
      </c>
      <c r="I687" s="393">
        <v>114.21298</v>
      </c>
      <c r="J687" s="399">
        <v>274.84258999999997</v>
      </c>
      <c r="K687" s="36">
        <v>190.58618999999999</v>
      </c>
      <c r="L687" s="36">
        <v>161.63512</v>
      </c>
      <c r="M687" s="393">
        <v>319.33659999999998</v>
      </c>
      <c r="N687" s="399">
        <v>112.20523</v>
      </c>
      <c r="O687" s="36">
        <v>39.157504000000003</v>
      </c>
      <c r="P687" s="36">
        <v>30.621934</v>
      </c>
      <c r="Q687" s="393">
        <v>74.257345000000001</v>
      </c>
      <c r="R687" s="399">
        <v>238.10652999999999</v>
      </c>
      <c r="S687" s="36">
        <v>190.72735</v>
      </c>
      <c r="T687" s="36">
        <v>100.69431</v>
      </c>
      <c r="U687" s="393">
        <v>298.65357</v>
      </c>
    </row>
    <row r="688" spans="3:21" s="9" customFormat="1" ht="0.5" customHeight="1">
      <c r="C688" s="9" t="s">
        <v>50</v>
      </c>
      <c r="D688" s="9" t="str">
        <f t="shared" si="44"/>
        <v>Honduras54.5</v>
      </c>
      <c r="E688" s="398">
        <v>54.5</v>
      </c>
      <c r="F688" s="399">
        <v>102.75866000000001</v>
      </c>
      <c r="G688" s="36">
        <v>49.227429999999998</v>
      </c>
      <c r="H688" s="36">
        <v>53.650787999999999</v>
      </c>
      <c r="I688" s="393">
        <v>113.06151</v>
      </c>
      <c r="J688" s="399">
        <v>276.84562</v>
      </c>
      <c r="K688" s="36">
        <v>187.69874999999999</v>
      </c>
      <c r="L688" s="36">
        <v>161.29102</v>
      </c>
      <c r="M688" s="393">
        <v>312.93238000000002</v>
      </c>
      <c r="N688" s="399">
        <v>112.09262</v>
      </c>
      <c r="O688" s="36">
        <v>38.361536999999998</v>
      </c>
      <c r="P688" s="36">
        <v>30.410053999999999</v>
      </c>
      <c r="Q688" s="393">
        <v>73.460390000000004</v>
      </c>
      <c r="R688" s="399">
        <v>246.17196999999999</v>
      </c>
      <c r="S688" s="36">
        <v>168.74396999999999</v>
      </c>
      <c r="T688" s="36">
        <v>99.759704999999997</v>
      </c>
      <c r="U688" s="393">
        <v>309.26373999999998</v>
      </c>
    </row>
    <row r="689" spans="3:21" s="9" customFormat="1" ht="0.5" customHeight="1">
      <c r="C689" s="9" t="s">
        <v>50</v>
      </c>
      <c r="D689" s="9" t="str">
        <f t="shared" si="44"/>
        <v>Honduras55</v>
      </c>
      <c r="E689" s="398">
        <v>55</v>
      </c>
      <c r="F689" s="399">
        <v>101.22402</v>
      </c>
      <c r="G689" s="36">
        <v>48.801912999999999</v>
      </c>
      <c r="H689" s="36">
        <v>52.964596999999998</v>
      </c>
      <c r="I689" s="393">
        <v>111.46859000000001</v>
      </c>
      <c r="J689" s="399">
        <v>278.13249999999999</v>
      </c>
      <c r="K689" s="36">
        <v>184.14521999999999</v>
      </c>
      <c r="L689" s="36">
        <v>160.90503000000001</v>
      </c>
      <c r="M689" s="393">
        <v>310.18588</v>
      </c>
      <c r="N689" s="399">
        <v>110.97926</v>
      </c>
      <c r="O689" s="36">
        <v>37.464858999999997</v>
      </c>
      <c r="P689" s="36">
        <v>30.03126</v>
      </c>
      <c r="Q689" s="393">
        <v>72.889253999999994</v>
      </c>
      <c r="R689" s="399">
        <v>257.67554999999999</v>
      </c>
      <c r="S689" s="36">
        <v>131.54745</v>
      </c>
      <c r="T689" s="36">
        <v>95.968913000000001</v>
      </c>
      <c r="U689" s="393">
        <v>321.65798000000001</v>
      </c>
    </row>
    <row r="690" spans="3:21" s="9" customFormat="1" ht="0.5" customHeight="1">
      <c r="C690" s="9" t="s">
        <v>113</v>
      </c>
      <c r="D690" s="9" t="str">
        <f t="shared" si="44"/>
        <v>Dominican Republic20</v>
      </c>
      <c r="E690" s="398">
        <v>20</v>
      </c>
      <c r="F690" s="399">
        <v>84.728720999999993</v>
      </c>
      <c r="G690" s="36">
        <v>73.987989999999996</v>
      </c>
      <c r="H690" s="36">
        <v>86.390557999999999</v>
      </c>
      <c r="I690" s="393">
        <v>197.82605000000001</v>
      </c>
      <c r="J690" s="399">
        <v>101.81124</v>
      </c>
      <c r="K690" s="36">
        <v>84.414546999999999</v>
      </c>
      <c r="L690" s="36">
        <v>102.22498</v>
      </c>
      <c r="M690" s="393">
        <v>313.7817</v>
      </c>
      <c r="N690" s="399">
        <v>76.044262000000003</v>
      </c>
      <c r="O690" s="36">
        <v>53.292951000000002</v>
      </c>
      <c r="P690" s="36">
        <v>59.830092999999998</v>
      </c>
      <c r="Q690" s="393">
        <v>163.27864</v>
      </c>
      <c r="R690" s="399">
        <v>98.031920999999997</v>
      </c>
      <c r="S690" s="36">
        <v>63.980854999999998</v>
      </c>
      <c r="T690" s="36">
        <v>91.977760000000004</v>
      </c>
      <c r="U690" s="393">
        <v>268.64722999999998</v>
      </c>
    </row>
    <row r="691" spans="3:21" s="9" customFormat="1" ht="0.5" customHeight="1">
      <c r="C691" s="9" t="s">
        <v>113</v>
      </c>
      <c r="D691" s="9" t="str">
        <f t="shared" si="44"/>
        <v>Dominican Republic20.5</v>
      </c>
      <c r="E691" s="398">
        <v>20.5</v>
      </c>
      <c r="F691" s="399">
        <v>86.236196000000007</v>
      </c>
      <c r="G691" s="36">
        <v>76.031942000000001</v>
      </c>
      <c r="H691" s="36">
        <v>89.720184000000003</v>
      </c>
      <c r="I691" s="393">
        <v>191.23186999999999</v>
      </c>
      <c r="J691" s="399">
        <v>106.38387</v>
      </c>
      <c r="K691" s="36">
        <v>86.576781999999994</v>
      </c>
      <c r="L691" s="36">
        <v>106.16888</v>
      </c>
      <c r="M691" s="393">
        <v>310.87358999999998</v>
      </c>
      <c r="N691" s="399">
        <v>76.476975999999993</v>
      </c>
      <c r="O691" s="36">
        <v>53.597580000000001</v>
      </c>
      <c r="P691" s="36">
        <v>62.812562</v>
      </c>
      <c r="Q691" s="393">
        <v>166.37263999999999</v>
      </c>
      <c r="R691" s="399">
        <v>101.06313</v>
      </c>
      <c r="S691" s="36">
        <v>65.336389999999994</v>
      </c>
      <c r="T691" s="36">
        <v>91.242587999999998</v>
      </c>
      <c r="U691" s="393">
        <v>269.29066999999998</v>
      </c>
    </row>
    <row r="692" spans="3:21" s="9" customFormat="1" ht="0.5" customHeight="1">
      <c r="C692" s="9" t="s">
        <v>113</v>
      </c>
      <c r="D692" s="9" t="str">
        <f t="shared" si="44"/>
        <v>Dominican Republic21</v>
      </c>
      <c r="E692" s="398">
        <v>21</v>
      </c>
      <c r="F692" s="399">
        <v>87.797145999999998</v>
      </c>
      <c r="G692" s="36">
        <v>77.816500000000005</v>
      </c>
      <c r="H692" s="36">
        <v>92.525829000000002</v>
      </c>
      <c r="I692" s="393">
        <v>193.60831999999999</v>
      </c>
      <c r="J692" s="399">
        <v>110.57536</v>
      </c>
      <c r="K692" s="36">
        <v>88.404050999999995</v>
      </c>
      <c r="L692" s="36">
        <v>109.61054</v>
      </c>
      <c r="M692" s="393">
        <v>322.73376000000002</v>
      </c>
      <c r="N692" s="399">
        <v>76.761081000000004</v>
      </c>
      <c r="O692" s="36">
        <v>53.854689999999998</v>
      </c>
      <c r="P692" s="36">
        <v>65.168081000000001</v>
      </c>
      <c r="Q692" s="393">
        <v>168.68531999999999</v>
      </c>
      <c r="R692" s="399">
        <v>104.33828</v>
      </c>
      <c r="S692" s="36">
        <v>66.562883999999997</v>
      </c>
      <c r="T692" s="36">
        <v>91.959301999999994</v>
      </c>
      <c r="U692" s="393">
        <v>268.72181999999998</v>
      </c>
    </row>
    <row r="693" spans="3:21" s="9" customFormat="1" ht="0.5" customHeight="1">
      <c r="C693" s="9" t="s">
        <v>113</v>
      </c>
      <c r="D693" s="9" t="str">
        <f t="shared" si="44"/>
        <v>Dominican Republic21.5</v>
      </c>
      <c r="E693" s="398">
        <v>21.5</v>
      </c>
      <c r="F693" s="399">
        <v>89.265732</v>
      </c>
      <c r="G693" s="36">
        <v>79.449511999999999</v>
      </c>
      <c r="H693" s="36">
        <v>95.174475000000001</v>
      </c>
      <c r="I693" s="393">
        <v>198.94557</v>
      </c>
      <c r="J693" s="399">
        <v>114.46048</v>
      </c>
      <c r="K693" s="36">
        <v>90.230423999999999</v>
      </c>
      <c r="L693" s="36">
        <v>112.87076999999999</v>
      </c>
      <c r="M693" s="393">
        <v>341.45080000000002</v>
      </c>
      <c r="N693" s="399">
        <v>77.199066000000002</v>
      </c>
      <c r="O693" s="36">
        <v>54.037273999999996</v>
      </c>
      <c r="P693" s="36">
        <v>67.234718000000001</v>
      </c>
      <c r="Q693" s="393">
        <v>170.48670999999999</v>
      </c>
      <c r="R693" s="399">
        <v>107.70779</v>
      </c>
      <c r="S693" s="36">
        <v>67.716918000000007</v>
      </c>
      <c r="T693" s="36">
        <v>93.482613000000001</v>
      </c>
      <c r="U693" s="393">
        <v>267.55626000000001</v>
      </c>
    </row>
    <row r="694" spans="3:21" s="9" customFormat="1" ht="0.5" customHeight="1">
      <c r="C694" s="9" t="s">
        <v>113</v>
      </c>
      <c r="D694" s="9" t="str">
        <f t="shared" si="44"/>
        <v>Dominican Republic22</v>
      </c>
      <c r="E694" s="398">
        <v>22</v>
      </c>
      <c r="F694" s="399">
        <v>90.675448000000003</v>
      </c>
      <c r="G694" s="36">
        <v>80.934145999999998</v>
      </c>
      <c r="H694" s="36">
        <v>97.785807000000005</v>
      </c>
      <c r="I694" s="393">
        <v>205.12314000000001</v>
      </c>
      <c r="J694" s="399">
        <v>118.27779</v>
      </c>
      <c r="K694" s="36">
        <v>92.053071000000003</v>
      </c>
      <c r="L694" s="36">
        <v>116.02327</v>
      </c>
      <c r="M694" s="393">
        <v>359.44686999999999</v>
      </c>
      <c r="N694" s="399">
        <v>77.748154</v>
      </c>
      <c r="O694" s="36">
        <v>54.189388999999998</v>
      </c>
      <c r="P694" s="36">
        <v>69.239259000000004</v>
      </c>
      <c r="Q694" s="393">
        <v>172.23419000000001</v>
      </c>
      <c r="R694" s="399">
        <v>111.12626</v>
      </c>
      <c r="S694" s="36">
        <v>68.901735000000002</v>
      </c>
      <c r="T694" s="36">
        <v>95.563946000000001</v>
      </c>
      <c r="U694" s="393">
        <v>264.75420000000003</v>
      </c>
    </row>
    <row r="695" spans="3:21" s="9" customFormat="1" ht="0.5" customHeight="1">
      <c r="C695" s="9" t="s">
        <v>113</v>
      </c>
      <c r="D695" s="9" t="str">
        <f t="shared" si="44"/>
        <v>Dominican Republic22.5</v>
      </c>
      <c r="E695" s="398">
        <v>22.5</v>
      </c>
      <c r="F695" s="399">
        <v>92.121307000000002</v>
      </c>
      <c r="G695" s="36">
        <v>82.317997000000005</v>
      </c>
      <c r="H695" s="36">
        <v>100.27314</v>
      </c>
      <c r="I695" s="393">
        <v>211.43516</v>
      </c>
      <c r="J695" s="399">
        <v>122.17054</v>
      </c>
      <c r="K695" s="36">
        <v>93.962574000000004</v>
      </c>
      <c r="L695" s="36">
        <v>119.2235</v>
      </c>
      <c r="M695" s="393">
        <v>377.12018</v>
      </c>
      <c r="N695" s="399">
        <v>78.295939000000004</v>
      </c>
      <c r="O695" s="36">
        <v>54.293770000000002</v>
      </c>
      <c r="P695" s="36">
        <v>71.012530999999996</v>
      </c>
      <c r="Q695" s="393">
        <v>174.02143000000001</v>
      </c>
      <c r="R695" s="399">
        <v>114.50328</v>
      </c>
      <c r="S695" s="36">
        <v>70.098557999999997</v>
      </c>
      <c r="T695" s="36">
        <v>97.884083000000004</v>
      </c>
      <c r="U695" s="393">
        <v>261.97284999999999</v>
      </c>
    </row>
    <row r="696" spans="3:21" s="9" customFormat="1" ht="0.5" customHeight="1">
      <c r="C696" s="9" t="s">
        <v>113</v>
      </c>
      <c r="D696" s="9" t="str">
        <f t="shared" si="44"/>
        <v>Dominican Republic23</v>
      </c>
      <c r="E696" s="398">
        <v>23</v>
      </c>
      <c r="F696" s="399">
        <v>93.525221000000002</v>
      </c>
      <c r="G696" s="36">
        <v>83.633663999999996</v>
      </c>
      <c r="H696" s="36">
        <v>102.67143</v>
      </c>
      <c r="I696" s="393">
        <v>217.84506999999999</v>
      </c>
      <c r="J696" s="399">
        <v>126.13348999999999</v>
      </c>
      <c r="K696" s="36">
        <v>95.913032999999999</v>
      </c>
      <c r="L696" s="36">
        <v>122.40725999999999</v>
      </c>
      <c r="M696" s="393">
        <v>392.97068000000002</v>
      </c>
      <c r="N696" s="399">
        <v>78.837592999999998</v>
      </c>
      <c r="O696" s="36">
        <v>54.365046999999997</v>
      </c>
      <c r="P696" s="36">
        <v>72.607252000000003</v>
      </c>
      <c r="Q696" s="393">
        <v>175.45354</v>
      </c>
      <c r="R696" s="399">
        <v>117.79151</v>
      </c>
      <c r="S696" s="36">
        <v>71.290909999999997</v>
      </c>
      <c r="T696" s="36">
        <v>100.22065000000001</v>
      </c>
      <c r="U696" s="393">
        <v>260.79073</v>
      </c>
    </row>
    <row r="697" spans="3:21" s="9" customFormat="1" ht="0.5" customHeight="1">
      <c r="C697" s="9" t="s">
        <v>113</v>
      </c>
      <c r="D697" s="9" t="str">
        <f t="shared" si="44"/>
        <v>Dominican Republic23.5</v>
      </c>
      <c r="E697" s="398">
        <v>23.5</v>
      </c>
      <c r="F697" s="399">
        <v>94.862761000000006</v>
      </c>
      <c r="G697" s="36">
        <v>84.822788000000003</v>
      </c>
      <c r="H697" s="36">
        <v>104.81932</v>
      </c>
      <c r="I697" s="393">
        <v>223.73358999999999</v>
      </c>
      <c r="J697" s="399">
        <v>130.10196999999999</v>
      </c>
      <c r="K697" s="36">
        <v>97.892600000000002</v>
      </c>
      <c r="L697" s="36">
        <v>125.52795</v>
      </c>
      <c r="M697" s="393">
        <v>406.80788000000001</v>
      </c>
      <c r="N697" s="399">
        <v>79.349001000000001</v>
      </c>
      <c r="O697" s="36">
        <v>54.400849999999998</v>
      </c>
      <c r="P697" s="36">
        <v>74.099315000000004</v>
      </c>
      <c r="Q697" s="393">
        <v>176.61687000000001</v>
      </c>
      <c r="R697" s="399">
        <v>121.03172000000001</v>
      </c>
      <c r="S697" s="36">
        <v>72.444542999999996</v>
      </c>
      <c r="T697" s="36">
        <v>102.6298</v>
      </c>
      <c r="U697" s="393">
        <v>260.37506999999999</v>
      </c>
    </row>
    <row r="698" spans="3:21" s="9" customFormat="1" ht="0.5" customHeight="1">
      <c r="C698" s="9" t="s">
        <v>113</v>
      </c>
      <c r="D698" s="9" t="str">
        <f t="shared" si="44"/>
        <v>Dominican Republic24</v>
      </c>
      <c r="E698" s="398">
        <v>24</v>
      </c>
      <c r="F698" s="399">
        <v>96.268491999999995</v>
      </c>
      <c r="G698" s="36">
        <v>85.928801000000007</v>
      </c>
      <c r="H698" s="36">
        <v>106.93974</v>
      </c>
      <c r="I698" s="393">
        <v>229.14045999999999</v>
      </c>
      <c r="J698" s="399">
        <v>133.89601999999999</v>
      </c>
      <c r="K698" s="36">
        <v>100.01228999999999</v>
      </c>
      <c r="L698" s="36">
        <v>128.57248000000001</v>
      </c>
      <c r="M698" s="393">
        <v>418.40034000000003</v>
      </c>
      <c r="N698" s="399">
        <v>79.825138999999993</v>
      </c>
      <c r="O698" s="36">
        <v>54.389204999999997</v>
      </c>
      <c r="P698" s="36">
        <v>75.528239999999997</v>
      </c>
      <c r="Q698" s="393">
        <v>177.26340999999999</v>
      </c>
      <c r="R698" s="399">
        <v>124.18989000000001</v>
      </c>
      <c r="S698" s="36">
        <v>73.570531000000003</v>
      </c>
      <c r="T698" s="36">
        <v>105.10914</v>
      </c>
      <c r="U698" s="393">
        <v>260.28280000000001</v>
      </c>
    </row>
    <row r="699" spans="3:21" s="9" customFormat="1" ht="0.5" customHeight="1">
      <c r="C699" s="9" t="s">
        <v>113</v>
      </c>
      <c r="D699" s="9" t="str">
        <f t="shared" ref="D699:D762" si="45">CONCATENATE(C699,E699)</f>
        <v>Dominican Republic24.5</v>
      </c>
      <c r="E699" s="398">
        <v>24.5</v>
      </c>
      <c r="F699" s="399">
        <v>97.719952000000006</v>
      </c>
      <c r="G699" s="36">
        <v>87.014672000000004</v>
      </c>
      <c r="H699" s="36">
        <v>108.48961</v>
      </c>
      <c r="I699" s="393">
        <v>233.94761</v>
      </c>
      <c r="J699" s="399">
        <v>137.66238999999999</v>
      </c>
      <c r="K699" s="36">
        <v>102.16710999999999</v>
      </c>
      <c r="L699" s="36">
        <v>131.57208</v>
      </c>
      <c r="M699" s="393">
        <v>428.95542999999998</v>
      </c>
      <c r="N699" s="399">
        <v>80.275345000000002</v>
      </c>
      <c r="O699" s="36">
        <v>54.34151</v>
      </c>
      <c r="P699" s="36">
        <v>76.919031000000004</v>
      </c>
      <c r="Q699" s="393">
        <v>177.46699000000001</v>
      </c>
      <c r="R699" s="399">
        <v>127.08953</v>
      </c>
      <c r="S699" s="36">
        <v>74.652833999999999</v>
      </c>
      <c r="T699" s="36">
        <v>107.55766</v>
      </c>
      <c r="U699" s="393">
        <v>260.36554000000001</v>
      </c>
    </row>
    <row r="700" spans="3:21" s="9" customFormat="1" ht="0.5" customHeight="1">
      <c r="C700" s="9" t="s">
        <v>113</v>
      </c>
      <c r="D700" s="9" t="str">
        <f t="shared" si="45"/>
        <v>Dominican Republic25</v>
      </c>
      <c r="E700" s="398">
        <v>25</v>
      </c>
      <c r="F700" s="399">
        <v>99.178758000000002</v>
      </c>
      <c r="G700" s="36">
        <v>88.104830000000007</v>
      </c>
      <c r="H700" s="36">
        <v>110.01394999999999</v>
      </c>
      <c r="I700" s="393">
        <v>238.61831000000001</v>
      </c>
      <c r="J700" s="399">
        <v>141.37761</v>
      </c>
      <c r="K700" s="36">
        <v>104.25149</v>
      </c>
      <c r="L700" s="36">
        <v>134.50174000000001</v>
      </c>
      <c r="M700" s="393">
        <v>439.23876999999999</v>
      </c>
      <c r="N700" s="399">
        <v>80.740029000000007</v>
      </c>
      <c r="O700" s="36">
        <v>54.273916</v>
      </c>
      <c r="P700" s="36">
        <v>78.225125000000006</v>
      </c>
      <c r="Q700" s="393">
        <v>177.92742999999999</v>
      </c>
      <c r="R700" s="399">
        <v>129.86472000000001</v>
      </c>
      <c r="S700" s="36">
        <v>75.699704999999994</v>
      </c>
      <c r="T700" s="36">
        <v>109.92995999999999</v>
      </c>
      <c r="U700" s="393">
        <v>260.31425999999999</v>
      </c>
    </row>
    <row r="701" spans="3:21" s="9" customFormat="1" ht="0.5" customHeight="1">
      <c r="C701" s="9" t="s">
        <v>113</v>
      </c>
      <c r="D701" s="9" t="str">
        <f t="shared" si="45"/>
        <v>Dominican Republic25.5</v>
      </c>
      <c r="E701" s="398">
        <v>25.5</v>
      </c>
      <c r="F701" s="399">
        <v>100.63212</v>
      </c>
      <c r="G701" s="36">
        <v>89.262140000000002</v>
      </c>
      <c r="H701" s="36">
        <v>111.64610999999999</v>
      </c>
      <c r="I701" s="393">
        <v>244.14338000000001</v>
      </c>
      <c r="J701" s="399">
        <v>145.06448</v>
      </c>
      <c r="K701" s="36">
        <v>106.32935999999999</v>
      </c>
      <c r="L701" s="36">
        <v>137.38639000000001</v>
      </c>
      <c r="M701" s="393">
        <v>448.53392000000002</v>
      </c>
      <c r="N701" s="399">
        <v>81.211375000000004</v>
      </c>
      <c r="O701" s="36">
        <v>54.197485999999998</v>
      </c>
      <c r="P701" s="36">
        <v>79.381970999999993</v>
      </c>
      <c r="Q701" s="393">
        <v>178.60612</v>
      </c>
      <c r="R701" s="399">
        <v>132.31679</v>
      </c>
      <c r="S701" s="36">
        <v>76.641087999999996</v>
      </c>
      <c r="T701" s="36">
        <v>112.14654</v>
      </c>
      <c r="U701" s="393">
        <v>260.54038000000003</v>
      </c>
    </row>
    <row r="702" spans="3:21" s="9" customFormat="1" ht="0.5" customHeight="1">
      <c r="C702" s="9" t="s">
        <v>113</v>
      </c>
      <c r="D702" s="9" t="str">
        <f t="shared" si="45"/>
        <v>Dominican Republic26</v>
      </c>
      <c r="E702" s="398">
        <v>26</v>
      </c>
      <c r="F702" s="399">
        <v>102.08266999999999</v>
      </c>
      <c r="G702" s="36">
        <v>90.419258999999997</v>
      </c>
      <c r="H702" s="36">
        <v>113.19841</v>
      </c>
      <c r="I702" s="393">
        <v>250.60705999999999</v>
      </c>
      <c r="J702" s="399">
        <v>148.66088999999999</v>
      </c>
      <c r="K702" s="36">
        <v>108.26016</v>
      </c>
      <c r="L702" s="36">
        <v>140.11295000000001</v>
      </c>
      <c r="M702" s="393">
        <v>456.59269</v>
      </c>
      <c r="N702" s="399">
        <v>81.570694000000003</v>
      </c>
      <c r="O702" s="36">
        <v>54.151058999999997</v>
      </c>
      <c r="P702" s="36">
        <v>80.390781000000004</v>
      </c>
      <c r="Q702" s="393">
        <v>179.25604000000001</v>
      </c>
      <c r="R702" s="399">
        <v>134.71557999999999</v>
      </c>
      <c r="S702" s="36">
        <v>77.530229000000006</v>
      </c>
      <c r="T702" s="36">
        <v>114.24290999999999</v>
      </c>
      <c r="U702" s="393">
        <v>261.24684999999999</v>
      </c>
    </row>
    <row r="703" spans="3:21" s="9" customFormat="1" ht="0.5" customHeight="1">
      <c r="C703" s="9" t="s">
        <v>113</v>
      </c>
      <c r="D703" s="9" t="str">
        <f t="shared" si="45"/>
        <v>Dominican Republic26.5</v>
      </c>
      <c r="E703" s="398">
        <v>26.5</v>
      </c>
      <c r="F703" s="399">
        <v>103.5591</v>
      </c>
      <c r="G703" s="36">
        <v>91.280591999999999</v>
      </c>
      <c r="H703" s="36">
        <v>114.51638</v>
      </c>
      <c r="I703" s="393">
        <v>257.32342</v>
      </c>
      <c r="J703" s="399">
        <v>152.24221</v>
      </c>
      <c r="K703" s="36">
        <v>110.18344</v>
      </c>
      <c r="L703" s="36">
        <v>142.85505000000001</v>
      </c>
      <c r="M703" s="393">
        <v>461.30862999999999</v>
      </c>
      <c r="N703" s="399">
        <v>81.909452000000002</v>
      </c>
      <c r="O703" s="36">
        <v>54.112870999999998</v>
      </c>
      <c r="P703" s="36">
        <v>81.349895000000004</v>
      </c>
      <c r="Q703" s="393">
        <v>179.89503999999999</v>
      </c>
      <c r="R703" s="399">
        <v>136.94044</v>
      </c>
      <c r="S703" s="36">
        <v>78.237482</v>
      </c>
      <c r="T703" s="36">
        <v>116.16764000000001</v>
      </c>
      <c r="U703" s="393">
        <v>262.32591000000002</v>
      </c>
    </row>
    <row r="704" spans="3:21" s="9" customFormat="1" ht="0.5" customHeight="1">
      <c r="C704" s="9" t="s">
        <v>113</v>
      </c>
      <c r="D704" s="9" t="str">
        <f t="shared" si="45"/>
        <v>Dominican Republic27</v>
      </c>
      <c r="E704" s="398">
        <v>27</v>
      </c>
      <c r="F704" s="399">
        <v>105.02432</v>
      </c>
      <c r="G704" s="36">
        <v>92.032071999999999</v>
      </c>
      <c r="H704" s="36">
        <v>115.96388</v>
      </c>
      <c r="I704" s="393">
        <v>263.05239999999998</v>
      </c>
      <c r="J704" s="399">
        <v>155.75316000000001</v>
      </c>
      <c r="K704" s="36">
        <v>112.01403999999999</v>
      </c>
      <c r="L704" s="36">
        <v>145.60575</v>
      </c>
      <c r="M704" s="393">
        <v>464.48406</v>
      </c>
      <c r="N704" s="399">
        <v>82.176592999999997</v>
      </c>
      <c r="O704" s="36">
        <v>54.115174000000003</v>
      </c>
      <c r="P704" s="36">
        <v>82.281730999999994</v>
      </c>
      <c r="Q704" s="393">
        <v>180.52246</v>
      </c>
      <c r="R704" s="399">
        <v>139.05736999999999</v>
      </c>
      <c r="S704" s="36">
        <v>78.934022999999996</v>
      </c>
      <c r="T704" s="36">
        <v>118.09417000000001</v>
      </c>
      <c r="U704" s="393">
        <v>263.62887000000001</v>
      </c>
    </row>
    <row r="705" spans="3:21" s="9" customFormat="1" ht="0.5" customHeight="1">
      <c r="C705" s="9" t="s">
        <v>113</v>
      </c>
      <c r="D705" s="9" t="str">
        <f t="shared" si="45"/>
        <v>Dominican Republic27.5</v>
      </c>
      <c r="E705" s="398">
        <v>27.5</v>
      </c>
      <c r="F705" s="399">
        <v>106.41377</v>
      </c>
      <c r="G705" s="36">
        <v>92.731284000000002</v>
      </c>
      <c r="H705" s="36">
        <v>117.09441</v>
      </c>
      <c r="I705" s="393">
        <v>267.61714000000001</v>
      </c>
      <c r="J705" s="399">
        <v>159.38652999999999</v>
      </c>
      <c r="K705" s="36">
        <v>113.83996999999999</v>
      </c>
      <c r="L705" s="36">
        <v>148.32472000000001</v>
      </c>
      <c r="M705" s="393">
        <v>463.03854000000001</v>
      </c>
      <c r="N705" s="399">
        <v>82.413803999999999</v>
      </c>
      <c r="O705" s="36">
        <v>54.116700999999999</v>
      </c>
      <c r="P705" s="36">
        <v>83.052110999999996</v>
      </c>
      <c r="Q705" s="393">
        <v>181.15138999999999</v>
      </c>
      <c r="R705" s="399">
        <v>140.89478</v>
      </c>
      <c r="S705" s="36">
        <v>79.587299000000002</v>
      </c>
      <c r="T705" s="36">
        <v>120.15936000000001</v>
      </c>
      <c r="U705" s="393">
        <v>264.88157999999999</v>
      </c>
    </row>
    <row r="706" spans="3:21" s="9" customFormat="1" ht="0.5" customHeight="1">
      <c r="C706" s="9" t="s">
        <v>113</v>
      </c>
      <c r="D706" s="9" t="str">
        <f t="shared" si="45"/>
        <v>Dominican Republic28</v>
      </c>
      <c r="E706" s="398">
        <v>28</v>
      </c>
      <c r="F706" s="399">
        <v>107.64568</v>
      </c>
      <c r="G706" s="36">
        <v>93.478065000000001</v>
      </c>
      <c r="H706" s="36">
        <v>118.13991</v>
      </c>
      <c r="I706" s="393">
        <v>271.53044</v>
      </c>
      <c r="J706" s="399">
        <v>163.74088</v>
      </c>
      <c r="K706" s="36">
        <v>115.56998</v>
      </c>
      <c r="L706" s="36">
        <v>150.98920000000001</v>
      </c>
      <c r="M706" s="393">
        <v>460.82315</v>
      </c>
      <c r="N706" s="399">
        <v>82.420321000000001</v>
      </c>
      <c r="O706" s="36">
        <v>54.094636999999999</v>
      </c>
      <c r="P706" s="36">
        <v>83.620234999999994</v>
      </c>
      <c r="Q706" s="393">
        <v>181.69683000000001</v>
      </c>
      <c r="R706" s="399">
        <v>142.77916999999999</v>
      </c>
      <c r="S706" s="36">
        <v>80.248273999999995</v>
      </c>
      <c r="T706" s="36">
        <v>122.18688</v>
      </c>
      <c r="U706" s="393">
        <v>266.15562999999997</v>
      </c>
    </row>
    <row r="707" spans="3:21" s="9" customFormat="1" ht="0.5" customHeight="1">
      <c r="C707" s="9" t="s">
        <v>113</v>
      </c>
      <c r="D707" s="9" t="str">
        <f t="shared" si="45"/>
        <v>Dominican Republic28.5</v>
      </c>
      <c r="E707" s="398">
        <v>28.5</v>
      </c>
      <c r="F707" s="399">
        <v>108.88942</v>
      </c>
      <c r="G707" s="36">
        <v>94.187316999999993</v>
      </c>
      <c r="H707" s="36">
        <v>118.96834</v>
      </c>
      <c r="I707" s="393">
        <v>274.57803999999999</v>
      </c>
      <c r="J707" s="399">
        <v>167.97529</v>
      </c>
      <c r="K707" s="36">
        <v>117.31707</v>
      </c>
      <c r="L707" s="36">
        <v>153.65487999999999</v>
      </c>
      <c r="M707" s="393">
        <v>457.16484000000003</v>
      </c>
      <c r="N707" s="399">
        <v>82.393293999999997</v>
      </c>
      <c r="O707" s="36">
        <v>54.077274000000003</v>
      </c>
      <c r="P707" s="36">
        <v>84.140562000000003</v>
      </c>
      <c r="Q707" s="393">
        <v>182.17103</v>
      </c>
      <c r="R707" s="399">
        <v>144.79584</v>
      </c>
      <c r="S707" s="36">
        <v>80.926653000000002</v>
      </c>
      <c r="T707" s="36">
        <v>124.01297</v>
      </c>
      <c r="U707" s="393">
        <v>267.52661999999998</v>
      </c>
    </row>
    <row r="708" spans="3:21" s="9" customFormat="1" ht="0.5" customHeight="1">
      <c r="C708" s="9" t="s">
        <v>113</v>
      </c>
      <c r="D708" s="9" t="str">
        <f t="shared" si="45"/>
        <v>Dominican Republic29</v>
      </c>
      <c r="E708" s="398">
        <v>29</v>
      </c>
      <c r="F708" s="399">
        <v>110.1474</v>
      </c>
      <c r="G708" s="36">
        <v>94.830617000000004</v>
      </c>
      <c r="H708" s="36">
        <v>119.79139000000001</v>
      </c>
      <c r="I708" s="393">
        <v>277.39961</v>
      </c>
      <c r="J708" s="399">
        <v>171.52365</v>
      </c>
      <c r="K708" s="36">
        <v>119.20553</v>
      </c>
      <c r="L708" s="36">
        <v>156.30407</v>
      </c>
      <c r="M708" s="393">
        <v>452.81011999999998</v>
      </c>
      <c r="N708" s="399">
        <v>82.309714</v>
      </c>
      <c r="O708" s="36">
        <v>54.067430999999999</v>
      </c>
      <c r="P708" s="36">
        <v>84.612508000000005</v>
      </c>
      <c r="Q708" s="393">
        <v>182.64079000000001</v>
      </c>
      <c r="R708" s="399">
        <v>146.74048999999999</v>
      </c>
      <c r="S708" s="36">
        <v>81.581076999999993</v>
      </c>
      <c r="T708" s="36">
        <v>125.81055000000001</v>
      </c>
      <c r="U708" s="393">
        <v>268.91588999999999</v>
      </c>
    </row>
    <row r="709" spans="3:21" s="9" customFormat="1" ht="0.5" customHeight="1">
      <c r="C709" s="9" t="s">
        <v>113</v>
      </c>
      <c r="D709" s="9" t="str">
        <f t="shared" si="45"/>
        <v>Dominican Republic29.5</v>
      </c>
      <c r="E709" s="398">
        <v>29.5</v>
      </c>
      <c r="F709" s="399">
        <v>111.40667999999999</v>
      </c>
      <c r="G709" s="36">
        <v>95.315433999999996</v>
      </c>
      <c r="H709" s="36">
        <v>120.79586999999999</v>
      </c>
      <c r="I709" s="393">
        <v>280.5514</v>
      </c>
      <c r="J709" s="399">
        <v>175.12870000000001</v>
      </c>
      <c r="K709" s="36">
        <v>121.06619000000001</v>
      </c>
      <c r="L709" s="36">
        <v>158.98651000000001</v>
      </c>
      <c r="M709" s="393">
        <v>446.77510999999998</v>
      </c>
      <c r="N709" s="399">
        <v>82.226720999999998</v>
      </c>
      <c r="O709" s="36">
        <v>54.048333</v>
      </c>
      <c r="P709" s="36">
        <v>85.117181000000002</v>
      </c>
      <c r="Q709" s="393">
        <v>183.10784000000001</v>
      </c>
      <c r="R709" s="399">
        <v>148.47911999999999</v>
      </c>
      <c r="S709" s="36">
        <v>82.123896999999999</v>
      </c>
      <c r="T709" s="36">
        <v>127.57424</v>
      </c>
      <c r="U709" s="393">
        <v>270.35359</v>
      </c>
    </row>
    <row r="710" spans="3:21" s="9" customFormat="1" ht="0.5" customHeight="1">
      <c r="C710" s="9" t="s">
        <v>113</v>
      </c>
      <c r="D710" s="9" t="str">
        <f t="shared" si="45"/>
        <v>Dominican Republic30</v>
      </c>
      <c r="E710" s="398">
        <v>30</v>
      </c>
      <c r="F710" s="399">
        <v>112.44498</v>
      </c>
      <c r="G710" s="36">
        <v>95.781777000000005</v>
      </c>
      <c r="H710" s="36">
        <v>121.81948</v>
      </c>
      <c r="I710" s="393">
        <v>282.43198999999998</v>
      </c>
      <c r="J710" s="399">
        <v>179.00527</v>
      </c>
      <c r="K710" s="36">
        <v>122.73497</v>
      </c>
      <c r="L710" s="36">
        <v>161.92238</v>
      </c>
      <c r="M710" s="393">
        <v>440.95836000000003</v>
      </c>
      <c r="N710" s="399">
        <v>82.132219000000006</v>
      </c>
      <c r="O710" s="36">
        <v>54.020246</v>
      </c>
      <c r="P710" s="36">
        <v>85.496865999999997</v>
      </c>
      <c r="Q710" s="393">
        <v>183.63942</v>
      </c>
      <c r="R710" s="399">
        <v>150.20558</v>
      </c>
      <c r="S710" s="36">
        <v>82.656074000000004</v>
      </c>
      <c r="T710" s="36">
        <v>129.28046000000001</v>
      </c>
      <c r="U710" s="393">
        <v>271.92559</v>
      </c>
    </row>
    <row r="711" spans="3:21" s="9" customFormat="1" ht="0.5" customHeight="1">
      <c r="C711" s="9" t="s">
        <v>113</v>
      </c>
      <c r="D711" s="9" t="str">
        <f t="shared" si="45"/>
        <v>Dominican Republic30.5</v>
      </c>
      <c r="E711" s="398">
        <v>30.5</v>
      </c>
      <c r="F711" s="399">
        <v>113.37156</v>
      </c>
      <c r="G711" s="36">
        <v>96.190538000000004</v>
      </c>
      <c r="H711" s="36">
        <v>122.89682999999999</v>
      </c>
      <c r="I711" s="393">
        <v>284.05148000000003</v>
      </c>
      <c r="J711" s="399">
        <v>182.88923</v>
      </c>
      <c r="K711" s="36">
        <v>124.39173</v>
      </c>
      <c r="L711" s="36">
        <v>164.83297999999999</v>
      </c>
      <c r="M711" s="393">
        <v>435.91941000000003</v>
      </c>
      <c r="N711" s="399">
        <v>82.036330000000007</v>
      </c>
      <c r="O711" s="36">
        <v>54.001114999999999</v>
      </c>
      <c r="P711" s="36">
        <v>85.609662999999998</v>
      </c>
      <c r="Q711" s="393">
        <v>184.21821</v>
      </c>
      <c r="R711" s="399">
        <v>152.04667000000001</v>
      </c>
      <c r="S711" s="36">
        <v>83.107221999999993</v>
      </c>
      <c r="T711" s="36">
        <v>130.86207999999999</v>
      </c>
      <c r="U711" s="393">
        <v>273.84098999999998</v>
      </c>
    </row>
    <row r="712" spans="3:21" s="9" customFormat="1" ht="0.5" customHeight="1">
      <c r="C712" s="9" t="s">
        <v>113</v>
      </c>
      <c r="D712" s="9" t="str">
        <f t="shared" si="45"/>
        <v>Dominican Republic31</v>
      </c>
      <c r="E712" s="398">
        <v>31</v>
      </c>
      <c r="F712" s="399">
        <v>114.18295000000001</v>
      </c>
      <c r="G712" s="36">
        <v>96.57938</v>
      </c>
      <c r="H712" s="36">
        <v>123.94195000000001</v>
      </c>
      <c r="I712" s="393">
        <v>286.11901999999998</v>
      </c>
      <c r="J712" s="399">
        <v>187.04947999999999</v>
      </c>
      <c r="K712" s="36">
        <v>125.89978000000001</v>
      </c>
      <c r="L712" s="36">
        <v>167.68224000000001</v>
      </c>
      <c r="M712" s="393">
        <v>430.77229999999997</v>
      </c>
      <c r="N712" s="399">
        <v>82.008138000000002</v>
      </c>
      <c r="O712" s="36">
        <v>54.019649000000001</v>
      </c>
      <c r="P712" s="36">
        <v>85.593857999999997</v>
      </c>
      <c r="Q712" s="393">
        <v>184.71054000000001</v>
      </c>
      <c r="R712" s="399">
        <v>153.94712000000001</v>
      </c>
      <c r="S712" s="36">
        <v>83.518574000000001</v>
      </c>
      <c r="T712" s="36">
        <v>132.31994</v>
      </c>
      <c r="U712" s="393">
        <v>275.8254</v>
      </c>
    </row>
    <row r="713" spans="3:21" s="9" customFormat="1" ht="0.5" customHeight="1">
      <c r="C713" s="9" t="s">
        <v>113</v>
      </c>
      <c r="D713" s="9" t="str">
        <f t="shared" si="45"/>
        <v>Dominican Republic31.5</v>
      </c>
      <c r="E713" s="398">
        <v>31.5</v>
      </c>
      <c r="F713" s="399">
        <v>114.94489</v>
      </c>
      <c r="G713" s="36">
        <v>96.971934000000005</v>
      </c>
      <c r="H713" s="36">
        <v>124.72307000000001</v>
      </c>
      <c r="I713" s="393">
        <v>287.63301000000001</v>
      </c>
      <c r="J713" s="399">
        <v>191.28321</v>
      </c>
      <c r="K713" s="36">
        <v>127.47611000000001</v>
      </c>
      <c r="L713" s="36">
        <v>170.51633000000001</v>
      </c>
      <c r="M713" s="393">
        <v>427.56148999999999</v>
      </c>
      <c r="N713" s="399">
        <v>81.978990999999994</v>
      </c>
      <c r="O713" s="36">
        <v>54.036856999999998</v>
      </c>
      <c r="P713" s="36">
        <v>85.589209999999994</v>
      </c>
      <c r="Q713" s="393">
        <v>185.13487000000001</v>
      </c>
      <c r="R713" s="399">
        <v>156.08579</v>
      </c>
      <c r="S713" s="36">
        <v>83.818512999999996</v>
      </c>
      <c r="T713" s="36">
        <v>133.56763000000001</v>
      </c>
      <c r="U713" s="393">
        <v>277.75542999999999</v>
      </c>
    </row>
    <row r="714" spans="3:21" s="9" customFormat="1" ht="0.5" customHeight="1">
      <c r="C714" s="9" t="s">
        <v>113</v>
      </c>
      <c r="D714" s="9" t="str">
        <f t="shared" si="45"/>
        <v>Dominican Republic32</v>
      </c>
      <c r="E714" s="398">
        <v>32</v>
      </c>
      <c r="F714" s="399">
        <v>115.6807</v>
      </c>
      <c r="G714" s="36">
        <v>97.357658999999998</v>
      </c>
      <c r="H714" s="36">
        <v>125.50564</v>
      </c>
      <c r="I714" s="393">
        <v>288.26774999999998</v>
      </c>
      <c r="J714" s="399">
        <v>195.81191000000001</v>
      </c>
      <c r="K714" s="36">
        <v>129.79094000000001</v>
      </c>
      <c r="L714" s="36">
        <v>173.13733999999999</v>
      </c>
      <c r="M714" s="393">
        <v>424.91298</v>
      </c>
      <c r="N714" s="399">
        <v>81.927098999999998</v>
      </c>
      <c r="O714" s="36">
        <v>54.068244999999997</v>
      </c>
      <c r="P714" s="36">
        <v>85.524305999999996</v>
      </c>
      <c r="Q714" s="393">
        <v>185.46755999999999</v>
      </c>
      <c r="R714" s="399">
        <v>158.19674000000001</v>
      </c>
      <c r="S714" s="36">
        <v>84.153657999999993</v>
      </c>
      <c r="T714" s="36">
        <v>134.88855000000001</v>
      </c>
      <c r="U714" s="393">
        <v>280.06202000000002</v>
      </c>
    </row>
    <row r="715" spans="3:21" s="9" customFormat="1" ht="0.5" customHeight="1">
      <c r="C715" s="9" t="s">
        <v>113</v>
      </c>
      <c r="D715" s="9" t="str">
        <f t="shared" si="45"/>
        <v>Dominican Republic32.5</v>
      </c>
      <c r="E715" s="398">
        <v>32.5</v>
      </c>
      <c r="F715" s="399">
        <v>116.44947999999999</v>
      </c>
      <c r="G715" s="36">
        <v>97.804005000000004</v>
      </c>
      <c r="H715" s="36">
        <v>126.10936</v>
      </c>
      <c r="I715" s="393">
        <v>288.31981000000002</v>
      </c>
      <c r="J715" s="399">
        <v>200.33561</v>
      </c>
      <c r="K715" s="36">
        <v>132.06989999999999</v>
      </c>
      <c r="L715" s="36">
        <v>175.80359000000001</v>
      </c>
      <c r="M715" s="393">
        <v>424.9966</v>
      </c>
      <c r="N715" s="399">
        <v>81.885278</v>
      </c>
      <c r="O715" s="36">
        <v>54.107641000000001</v>
      </c>
      <c r="P715" s="36">
        <v>85.324999000000005</v>
      </c>
      <c r="Q715" s="393">
        <v>185.72993</v>
      </c>
      <c r="R715" s="399">
        <v>160.22629000000001</v>
      </c>
      <c r="S715" s="36">
        <v>84.515257000000005</v>
      </c>
      <c r="T715" s="36">
        <v>136.26453000000001</v>
      </c>
      <c r="U715" s="393">
        <v>283.04802000000001</v>
      </c>
    </row>
    <row r="716" spans="3:21" s="9" customFormat="1" ht="0.5" customHeight="1">
      <c r="C716" s="9" t="s">
        <v>113</v>
      </c>
      <c r="D716" s="9" t="str">
        <f t="shared" si="45"/>
        <v>Dominican Republic33</v>
      </c>
      <c r="E716" s="398">
        <v>33</v>
      </c>
      <c r="F716" s="399">
        <v>117.08553999999999</v>
      </c>
      <c r="G716" s="36">
        <v>98.280074999999997</v>
      </c>
      <c r="H716" s="36">
        <v>126.69047</v>
      </c>
      <c r="I716" s="393">
        <v>288.52985000000001</v>
      </c>
      <c r="J716" s="399">
        <v>204.60682</v>
      </c>
      <c r="K716" s="36">
        <v>134.00165000000001</v>
      </c>
      <c r="L716" s="36">
        <v>178.63858999999999</v>
      </c>
      <c r="M716" s="393">
        <v>425.02321000000001</v>
      </c>
      <c r="N716" s="399">
        <v>81.814215000000004</v>
      </c>
      <c r="O716" s="36">
        <v>54.190989000000002</v>
      </c>
      <c r="P716" s="36">
        <v>85.096909999999994</v>
      </c>
      <c r="Q716" s="393">
        <v>185.93568999999999</v>
      </c>
      <c r="R716" s="399">
        <v>162.31323</v>
      </c>
      <c r="S716" s="36">
        <v>84.860066000000003</v>
      </c>
      <c r="T716" s="36">
        <v>137.54367999999999</v>
      </c>
      <c r="U716" s="393">
        <v>286.09116999999998</v>
      </c>
    </row>
    <row r="717" spans="3:21" s="9" customFormat="1" ht="0.5" customHeight="1">
      <c r="C717" s="9" t="s">
        <v>113</v>
      </c>
      <c r="D717" s="9" t="str">
        <f t="shared" si="45"/>
        <v>Dominican Republic33.5</v>
      </c>
      <c r="E717" s="398">
        <v>33.5</v>
      </c>
      <c r="F717" s="399">
        <v>117.63073</v>
      </c>
      <c r="G717" s="36">
        <v>98.664822000000001</v>
      </c>
      <c r="H717" s="36">
        <v>127.44813000000001</v>
      </c>
      <c r="I717" s="393">
        <v>288.84611000000001</v>
      </c>
      <c r="J717" s="399">
        <v>209.04266000000001</v>
      </c>
      <c r="K717" s="36">
        <v>135.87711999999999</v>
      </c>
      <c r="L717" s="36">
        <v>181.37166999999999</v>
      </c>
      <c r="M717" s="393">
        <v>425.51094000000001</v>
      </c>
      <c r="N717" s="399">
        <v>81.744979000000001</v>
      </c>
      <c r="O717" s="36">
        <v>54.277636999999999</v>
      </c>
      <c r="P717" s="36">
        <v>84.922494999999998</v>
      </c>
      <c r="Q717" s="393">
        <v>186.11546999999999</v>
      </c>
      <c r="R717" s="399">
        <v>164.72241</v>
      </c>
      <c r="S717" s="36">
        <v>85.265810000000002</v>
      </c>
      <c r="T717" s="36">
        <v>138.74315999999999</v>
      </c>
      <c r="U717" s="393">
        <v>288.93079999999998</v>
      </c>
    </row>
    <row r="718" spans="3:21" s="9" customFormat="1" ht="0.5" customHeight="1">
      <c r="C718" s="9" t="s">
        <v>113</v>
      </c>
      <c r="D718" s="9" t="str">
        <f t="shared" si="45"/>
        <v>Dominican Republic34</v>
      </c>
      <c r="E718" s="398">
        <v>34</v>
      </c>
      <c r="F718" s="399">
        <v>118.0072</v>
      </c>
      <c r="G718" s="36">
        <v>99.023330000000001</v>
      </c>
      <c r="H718" s="36">
        <v>128.24680000000001</v>
      </c>
      <c r="I718" s="393">
        <v>288.43016</v>
      </c>
      <c r="J718" s="399">
        <v>214.32096999999999</v>
      </c>
      <c r="K718" s="36">
        <v>137.49771000000001</v>
      </c>
      <c r="L718" s="36">
        <v>183.65980999999999</v>
      </c>
      <c r="M718" s="393">
        <v>425.92086</v>
      </c>
      <c r="N718" s="399">
        <v>81.917405000000002</v>
      </c>
      <c r="O718" s="36">
        <v>54.397087999999997</v>
      </c>
      <c r="P718" s="36">
        <v>84.821592999999993</v>
      </c>
      <c r="Q718" s="393">
        <v>186.30369999999999</v>
      </c>
      <c r="R718" s="399">
        <v>167.18868000000001</v>
      </c>
      <c r="S718" s="36">
        <v>85.653598000000002</v>
      </c>
      <c r="T718" s="36">
        <v>140.00964999999999</v>
      </c>
      <c r="U718" s="393">
        <v>292.01405999999997</v>
      </c>
    </row>
    <row r="719" spans="3:21" s="9" customFormat="1" ht="0.5" customHeight="1">
      <c r="C719" s="9" t="s">
        <v>113</v>
      </c>
      <c r="D719" s="9" t="str">
        <f t="shared" si="45"/>
        <v>Dominican Republic34.5</v>
      </c>
      <c r="E719" s="398">
        <v>34.5</v>
      </c>
      <c r="F719" s="399">
        <v>118.39749</v>
      </c>
      <c r="G719" s="36">
        <v>99.322824999999995</v>
      </c>
      <c r="H719" s="36">
        <v>128.59228999999999</v>
      </c>
      <c r="I719" s="393">
        <v>287.43398000000002</v>
      </c>
      <c r="J719" s="399">
        <v>219.43514999999999</v>
      </c>
      <c r="K719" s="36">
        <v>139.08893</v>
      </c>
      <c r="L719" s="36">
        <v>185.99154999999999</v>
      </c>
      <c r="M719" s="393">
        <v>428.99883999999997</v>
      </c>
      <c r="N719" s="399">
        <v>82.097122999999996</v>
      </c>
      <c r="O719" s="36">
        <v>54.52073</v>
      </c>
      <c r="P719" s="36">
        <v>84.815484999999995</v>
      </c>
      <c r="Q719" s="393">
        <v>186.50471999999999</v>
      </c>
      <c r="R719" s="399">
        <v>169.56800000000001</v>
      </c>
      <c r="S719" s="36">
        <v>85.892756000000006</v>
      </c>
      <c r="T719" s="36">
        <v>141.66407000000001</v>
      </c>
      <c r="U719" s="393">
        <v>295.62072000000001</v>
      </c>
    </row>
    <row r="720" spans="3:21" s="9" customFormat="1" ht="0.5" customHeight="1">
      <c r="C720" s="9" t="s">
        <v>113</v>
      </c>
      <c r="D720" s="9" t="str">
        <f t="shared" si="45"/>
        <v>Dominican Republic35</v>
      </c>
      <c r="E720" s="398">
        <v>35</v>
      </c>
      <c r="F720" s="399">
        <v>118.59411</v>
      </c>
      <c r="G720" s="36">
        <v>99.571185999999997</v>
      </c>
      <c r="H720" s="36">
        <v>128.86635999999999</v>
      </c>
      <c r="I720" s="393">
        <v>286.48833000000002</v>
      </c>
      <c r="J720" s="399">
        <v>224.02748</v>
      </c>
      <c r="K720" s="36">
        <v>140.34548000000001</v>
      </c>
      <c r="L720" s="36">
        <v>188.45194000000001</v>
      </c>
      <c r="M720" s="393">
        <v>432.20594999999997</v>
      </c>
      <c r="N720" s="399">
        <v>82.352620000000002</v>
      </c>
      <c r="O720" s="36">
        <v>54.614230999999997</v>
      </c>
      <c r="P720" s="36">
        <v>84.969752</v>
      </c>
      <c r="Q720" s="393">
        <v>186.71700999999999</v>
      </c>
      <c r="R720" s="399">
        <v>171.88912999999999</v>
      </c>
      <c r="S720" s="36">
        <v>86.147784000000001</v>
      </c>
      <c r="T720" s="36">
        <v>143.36523</v>
      </c>
      <c r="U720" s="393">
        <v>299.45204000000001</v>
      </c>
    </row>
    <row r="721" spans="3:21" s="9" customFormat="1" ht="0.5" customHeight="1">
      <c r="C721" s="9" t="s">
        <v>113</v>
      </c>
      <c r="D721" s="9" t="str">
        <f t="shared" si="45"/>
        <v>Dominican Republic35.5</v>
      </c>
      <c r="E721" s="398">
        <v>35.5</v>
      </c>
      <c r="F721" s="399">
        <v>118.73717000000001</v>
      </c>
      <c r="G721" s="36">
        <v>99.759967000000003</v>
      </c>
      <c r="H721" s="36">
        <v>129.10853</v>
      </c>
      <c r="I721" s="393">
        <v>286.10232000000002</v>
      </c>
      <c r="J721" s="399">
        <v>228.20606000000001</v>
      </c>
      <c r="K721" s="36">
        <v>141.61707000000001</v>
      </c>
      <c r="L721" s="36">
        <v>190.90517</v>
      </c>
      <c r="M721" s="393">
        <v>436.88632000000001</v>
      </c>
      <c r="N721" s="399">
        <v>82.615746999999999</v>
      </c>
      <c r="O721" s="36">
        <v>54.702010999999999</v>
      </c>
      <c r="P721" s="36">
        <v>85.225871999999995</v>
      </c>
      <c r="Q721" s="393">
        <v>186.85169999999999</v>
      </c>
      <c r="R721" s="399">
        <v>173.976</v>
      </c>
      <c r="S721" s="36">
        <v>86.61412</v>
      </c>
      <c r="T721" s="36">
        <v>144.98795999999999</v>
      </c>
      <c r="U721" s="393">
        <v>303.50227000000001</v>
      </c>
    </row>
    <row r="722" spans="3:21" s="9" customFormat="1" ht="0.5" customHeight="1">
      <c r="C722" s="9" t="s">
        <v>113</v>
      </c>
      <c r="D722" s="9" t="str">
        <f t="shared" si="45"/>
        <v>Dominican Republic36</v>
      </c>
      <c r="E722" s="398">
        <v>36</v>
      </c>
      <c r="F722" s="399">
        <v>118.73745</v>
      </c>
      <c r="G722" s="36">
        <v>99.978080000000006</v>
      </c>
      <c r="H722" s="36">
        <v>129.37273999999999</v>
      </c>
      <c r="I722" s="393">
        <v>285.95650999999998</v>
      </c>
      <c r="J722" s="399">
        <v>230.58501000000001</v>
      </c>
      <c r="K722" s="36">
        <v>142.75672</v>
      </c>
      <c r="L722" s="36">
        <v>193.07166000000001</v>
      </c>
      <c r="M722" s="393">
        <v>441.64474000000001</v>
      </c>
      <c r="N722" s="399">
        <v>82.795976999999993</v>
      </c>
      <c r="O722" s="36">
        <v>54.793190000000003</v>
      </c>
      <c r="P722" s="36">
        <v>85.511690000000002</v>
      </c>
      <c r="Q722" s="393">
        <v>186.94784000000001</v>
      </c>
      <c r="R722" s="399">
        <v>175.94695999999999</v>
      </c>
      <c r="S722" s="36">
        <v>87.155051999999998</v>
      </c>
      <c r="T722" s="36">
        <v>146.56908000000001</v>
      </c>
      <c r="U722" s="393">
        <v>307.50979000000001</v>
      </c>
    </row>
    <row r="723" spans="3:21" s="9" customFormat="1" ht="0.5" customHeight="1">
      <c r="C723" s="9" t="s">
        <v>113</v>
      </c>
      <c r="D723" s="9" t="str">
        <f t="shared" si="45"/>
        <v>Dominican Republic36.5</v>
      </c>
      <c r="E723" s="398">
        <v>36.5</v>
      </c>
      <c r="F723" s="399">
        <v>118.70515</v>
      </c>
      <c r="G723" s="36">
        <v>100.25121</v>
      </c>
      <c r="H723" s="36">
        <v>129.34730999999999</v>
      </c>
      <c r="I723" s="393">
        <v>286.17793999999998</v>
      </c>
      <c r="J723" s="399">
        <v>233.17042000000001</v>
      </c>
      <c r="K723" s="36">
        <v>143.91121000000001</v>
      </c>
      <c r="L723" s="36">
        <v>195.23444000000001</v>
      </c>
      <c r="M723" s="393">
        <v>448.29003</v>
      </c>
      <c r="N723" s="399">
        <v>82.964862999999994</v>
      </c>
      <c r="O723" s="36">
        <v>54.882254000000003</v>
      </c>
      <c r="P723" s="36">
        <v>85.824815999999998</v>
      </c>
      <c r="Q723" s="393">
        <v>187.12467000000001</v>
      </c>
      <c r="R723" s="399">
        <v>177.57881</v>
      </c>
      <c r="S723" s="36">
        <v>87.994077000000004</v>
      </c>
      <c r="T723" s="36">
        <v>147.98674</v>
      </c>
      <c r="U723" s="393">
        <v>311.30252999999999</v>
      </c>
    </row>
    <row r="724" spans="3:21" s="9" customFormat="1" ht="0.5" customHeight="1">
      <c r="C724" s="9" t="s">
        <v>113</v>
      </c>
      <c r="D724" s="9" t="str">
        <f t="shared" si="45"/>
        <v>Dominican Republic37</v>
      </c>
      <c r="E724" s="398">
        <v>37</v>
      </c>
      <c r="F724" s="399">
        <v>118.66784</v>
      </c>
      <c r="G724" s="36">
        <v>100.56453</v>
      </c>
      <c r="H724" s="36">
        <v>129.30841000000001</v>
      </c>
      <c r="I724" s="393">
        <v>287.48421000000002</v>
      </c>
      <c r="J724" s="399">
        <v>236.0121</v>
      </c>
      <c r="K724" s="36">
        <v>144.97403</v>
      </c>
      <c r="L724" s="36">
        <v>197.17504</v>
      </c>
      <c r="M724" s="393">
        <v>455.23822000000001</v>
      </c>
      <c r="N724" s="399">
        <v>83.218540000000004</v>
      </c>
      <c r="O724" s="36">
        <v>54.970171000000001</v>
      </c>
      <c r="P724" s="36">
        <v>86.061323999999999</v>
      </c>
      <c r="Q724" s="393">
        <v>187.34272999999999</v>
      </c>
      <c r="R724" s="399">
        <v>179.18584999999999</v>
      </c>
      <c r="S724" s="36">
        <v>88.813821000000004</v>
      </c>
      <c r="T724" s="36">
        <v>149.37419</v>
      </c>
      <c r="U724" s="393">
        <v>315.12371000000002</v>
      </c>
    </row>
    <row r="725" spans="3:21" s="9" customFormat="1" ht="0.5" customHeight="1">
      <c r="C725" s="9" t="s">
        <v>113</v>
      </c>
      <c r="D725" s="9" t="str">
        <f t="shared" si="45"/>
        <v>Dominican Republic37.5</v>
      </c>
      <c r="E725" s="398">
        <v>37.5</v>
      </c>
      <c r="F725" s="399">
        <v>118.61646</v>
      </c>
      <c r="G725" s="36">
        <v>100.89386</v>
      </c>
      <c r="H725" s="36">
        <v>129.45962</v>
      </c>
      <c r="I725" s="393">
        <v>288.75891999999999</v>
      </c>
      <c r="J725" s="399">
        <v>239.0454</v>
      </c>
      <c r="K725" s="36">
        <v>146.12090000000001</v>
      </c>
      <c r="L725" s="36">
        <v>199.09012999999999</v>
      </c>
      <c r="M725" s="393">
        <v>463.07474999999999</v>
      </c>
      <c r="N725" s="399">
        <v>83.485499000000004</v>
      </c>
      <c r="O725" s="36">
        <v>55.054687000000001</v>
      </c>
      <c r="P725" s="36">
        <v>86.283894000000004</v>
      </c>
      <c r="Q725" s="393">
        <v>187.61875000000001</v>
      </c>
      <c r="R725" s="399">
        <v>180.32078999999999</v>
      </c>
      <c r="S725" s="36">
        <v>89.600346999999999</v>
      </c>
      <c r="T725" s="36">
        <v>150.89252999999999</v>
      </c>
      <c r="U725" s="393">
        <v>319.02109999999999</v>
      </c>
    </row>
    <row r="726" spans="3:21" s="9" customFormat="1" ht="0.5" customHeight="1">
      <c r="C726" s="9" t="s">
        <v>113</v>
      </c>
      <c r="D726" s="9" t="str">
        <f t="shared" si="45"/>
        <v>Dominican Republic38</v>
      </c>
      <c r="E726" s="398">
        <v>38</v>
      </c>
      <c r="F726" s="399">
        <v>118.44540000000001</v>
      </c>
      <c r="G726" s="36">
        <v>101.12102</v>
      </c>
      <c r="H726" s="36">
        <v>129.61804000000001</v>
      </c>
      <c r="I726" s="393">
        <v>289.66009000000003</v>
      </c>
      <c r="J726" s="399">
        <v>240.68333000000001</v>
      </c>
      <c r="K726" s="36">
        <v>147.07760999999999</v>
      </c>
      <c r="L726" s="36">
        <v>200.68210999999999</v>
      </c>
      <c r="M726" s="393">
        <v>470.89764000000002</v>
      </c>
      <c r="N726" s="399">
        <v>83.810174000000004</v>
      </c>
      <c r="O726" s="36">
        <v>55.143377999999998</v>
      </c>
      <c r="P726" s="36">
        <v>86.409312</v>
      </c>
      <c r="Q726" s="393">
        <v>187.88526999999999</v>
      </c>
      <c r="R726" s="399">
        <v>181.46221</v>
      </c>
      <c r="S726" s="36">
        <v>90.414218000000005</v>
      </c>
      <c r="T726" s="36">
        <v>152.49789000000001</v>
      </c>
      <c r="U726" s="393">
        <v>323.17723999999998</v>
      </c>
    </row>
    <row r="727" spans="3:21" s="9" customFormat="1" ht="0.5" customHeight="1">
      <c r="C727" s="9" t="s">
        <v>113</v>
      </c>
      <c r="D727" s="9" t="str">
        <f t="shared" si="45"/>
        <v>Dominican Republic38.5</v>
      </c>
      <c r="E727" s="398">
        <v>38.5</v>
      </c>
      <c r="F727" s="399">
        <v>118.27433000000001</v>
      </c>
      <c r="G727" s="36">
        <v>101.21766</v>
      </c>
      <c r="H727" s="36">
        <v>129.84550999999999</v>
      </c>
      <c r="I727" s="393">
        <v>290.69659999999999</v>
      </c>
      <c r="J727" s="399">
        <v>242.16660999999999</v>
      </c>
      <c r="K727" s="36">
        <v>148.07094000000001</v>
      </c>
      <c r="L727" s="36">
        <v>202.27636999999999</v>
      </c>
      <c r="M727" s="393">
        <v>477.4144</v>
      </c>
      <c r="N727" s="399">
        <v>84.127977000000001</v>
      </c>
      <c r="O727" s="36">
        <v>55.226548000000001</v>
      </c>
      <c r="P727" s="36">
        <v>86.396874999999994</v>
      </c>
      <c r="Q727" s="393">
        <v>188.04558</v>
      </c>
      <c r="R727" s="399">
        <v>183.09133</v>
      </c>
      <c r="S727" s="36">
        <v>91.284161999999995</v>
      </c>
      <c r="T727" s="36">
        <v>154.11086</v>
      </c>
      <c r="U727" s="393">
        <v>328.00871000000001</v>
      </c>
    </row>
    <row r="728" spans="3:21" s="9" customFormat="1" ht="0.5" customHeight="1">
      <c r="C728" s="9" t="s">
        <v>113</v>
      </c>
      <c r="D728" s="9" t="str">
        <f t="shared" si="45"/>
        <v>Dominican Republic39</v>
      </c>
      <c r="E728" s="398">
        <v>39</v>
      </c>
      <c r="F728" s="399">
        <v>118.25991</v>
      </c>
      <c r="G728" s="36">
        <v>101.36601</v>
      </c>
      <c r="H728" s="36">
        <v>130.09261000000001</v>
      </c>
      <c r="I728" s="393">
        <v>291.66518000000002</v>
      </c>
      <c r="J728" s="399">
        <v>243.61954</v>
      </c>
      <c r="K728" s="36">
        <v>148.74199999999999</v>
      </c>
      <c r="L728" s="36">
        <v>203.48724999999999</v>
      </c>
      <c r="M728" s="393">
        <v>483.58321999999998</v>
      </c>
      <c r="N728" s="399">
        <v>84.368183000000002</v>
      </c>
      <c r="O728" s="36">
        <v>55.234879999999997</v>
      </c>
      <c r="P728" s="36">
        <v>86.377183000000002</v>
      </c>
      <c r="Q728" s="393">
        <v>188.1671</v>
      </c>
      <c r="R728" s="399">
        <v>184.68600000000001</v>
      </c>
      <c r="S728" s="36">
        <v>92.146558999999996</v>
      </c>
      <c r="T728" s="36">
        <v>155.5359</v>
      </c>
      <c r="U728" s="393">
        <v>332.73480000000001</v>
      </c>
    </row>
    <row r="729" spans="3:21" s="9" customFormat="1" ht="0.5" customHeight="1">
      <c r="C729" s="9" t="s">
        <v>113</v>
      </c>
      <c r="D729" s="9" t="str">
        <f t="shared" si="45"/>
        <v>Dominican Republic39.5</v>
      </c>
      <c r="E729" s="398">
        <v>39.5</v>
      </c>
      <c r="F729" s="399">
        <v>118.33122</v>
      </c>
      <c r="G729" s="36">
        <v>101.56023999999999</v>
      </c>
      <c r="H729" s="36">
        <v>130.27073999999999</v>
      </c>
      <c r="I729" s="393">
        <v>293.36275000000001</v>
      </c>
      <c r="J729" s="399">
        <v>244.90636000000001</v>
      </c>
      <c r="K729" s="36">
        <v>149.37826000000001</v>
      </c>
      <c r="L729" s="36">
        <v>204.68705</v>
      </c>
      <c r="M729" s="393">
        <v>489.12912</v>
      </c>
      <c r="N729" s="399">
        <v>84.603266000000005</v>
      </c>
      <c r="O729" s="36">
        <v>55.231444000000003</v>
      </c>
      <c r="P729" s="36">
        <v>86.342781000000002</v>
      </c>
      <c r="Q729" s="393">
        <v>188.26589000000001</v>
      </c>
      <c r="R729" s="399">
        <v>185.81566000000001</v>
      </c>
      <c r="S729" s="36">
        <v>92.948715000000007</v>
      </c>
      <c r="T729" s="36">
        <v>156.56487000000001</v>
      </c>
      <c r="U729" s="393">
        <v>336.87945999999999</v>
      </c>
    </row>
    <row r="730" spans="3:21" s="9" customFormat="1" ht="0.5" customHeight="1">
      <c r="C730" s="9" t="s">
        <v>113</v>
      </c>
      <c r="D730" s="9" t="str">
        <f t="shared" si="45"/>
        <v>Dominican Republic40</v>
      </c>
      <c r="E730" s="398">
        <v>40</v>
      </c>
      <c r="F730" s="399">
        <v>118.37923000000001</v>
      </c>
      <c r="G730" s="36">
        <v>101.72123999999999</v>
      </c>
      <c r="H730" s="36">
        <v>130.42285000000001</v>
      </c>
      <c r="I730" s="393">
        <v>295.21857</v>
      </c>
      <c r="J730" s="399">
        <v>245.22505000000001</v>
      </c>
      <c r="K730" s="36">
        <v>149.65136000000001</v>
      </c>
      <c r="L730" s="36">
        <v>205.93548999999999</v>
      </c>
      <c r="M730" s="393">
        <v>494.32395000000002</v>
      </c>
      <c r="N730" s="399">
        <v>84.805519000000004</v>
      </c>
      <c r="O730" s="36">
        <v>55.20778</v>
      </c>
      <c r="P730" s="36">
        <v>86.256038000000004</v>
      </c>
      <c r="Q730" s="393">
        <v>188.34949</v>
      </c>
      <c r="R730" s="399">
        <v>186.81351000000001</v>
      </c>
      <c r="S730" s="36">
        <v>93.734814</v>
      </c>
      <c r="T730" s="36">
        <v>157.50366</v>
      </c>
      <c r="U730" s="393">
        <v>340.76254</v>
      </c>
    </row>
    <row r="731" spans="3:21" s="9" customFormat="1" ht="0.5" customHeight="1">
      <c r="C731" s="9" t="s">
        <v>113</v>
      </c>
      <c r="D731" s="9" t="str">
        <f t="shared" si="45"/>
        <v>Dominican Republic40.5</v>
      </c>
      <c r="E731" s="398">
        <v>40.5</v>
      </c>
      <c r="F731" s="399">
        <v>118.33581</v>
      </c>
      <c r="G731" s="36">
        <v>101.60581999999999</v>
      </c>
      <c r="H731" s="36">
        <v>130.5265</v>
      </c>
      <c r="I731" s="393">
        <v>295.5933</v>
      </c>
      <c r="J731" s="399">
        <v>245.48801</v>
      </c>
      <c r="K731" s="36">
        <v>149.92089000000001</v>
      </c>
      <c r="L731" s="36">
        <v>207.13310000000001</v>
      </c>
      <c r="M731" s="393">
        <v>498.22507999999999</v>
      </c>
      <c r="N731" s="399">
        <v>84.997868999999994</v>
      </c>
      <c r="O731" s="36">
        <v>55.186003999999997</v>
      </c>
      <c r="P731" s="36">
        <v>86.003960000000006</v>
      </c>
      <c r="Q731" s="393">
        <v>188.37566000000001</v>
      </c>
      <c r="R731" s="399">
        <v>187.53713999999999</v>
      </c>
      <c r="S731" s="36">
        <v>94.373519000000002</v>
      </c>
      <c r="T731" s="36">
        <v>158.26372000000001</v>
      </c>
      <c r="U731" s="393">
        <v>344.27287000000001</v>
      </c>
    </row>
    <row r="732" spans="3:21" s="9" customFormat="1" ht="0.5" customHeight="1">
      <c r="C732" s="9" t="s">
        <v>113</v>
      </c>
      <c r="D732" s="9" t="str">
        <f t="shared" si="45"/>
        <v>Dominican Republic41</v>
      </c>
      <c r="E732" s="398">
        <v>41</v>
      </c>
      <c r="F732" s="399">
        <v>118.11296</v>
      </c>
      <c r="G732" s="36">
        <v>101.37385999999999</v>
      </c>
      <c r="H732" s="36">
        <v>130.60142999999999</v>
      </c>
      <c r="I732" s="393">
        <v>295.1377</v>
      </c>
      <c r="J732" s="399">
        <v>245.79513</v>
      </c>
      <c r="K732" s="36">
        <v>150.21759</v>
      </c>
      <c r="L732" s="36">
        <v>207.77454</v>
      </c>
      <c r="M732" s="393">
        <v>502.27755000000002</v>
      </c>
      <c r="N732" s="399">
        <v>85.017287999999994</v>
      </c>
      <c r="O732" s="36">
        <v>55.145031000000003</v>
      </c>
      <c r="P732" s="36">
        <v>85.526184999999998</v>
      </c>
      <c r="Q732" s="393">
        <v>188.35996</v>
      </c>
      <c r="R732" s="399">
        <v>188.32292000000001</v>
      </c>
      <c r="S732" s="36">
        <v>94.971310000000003</v>
      </c>
      <c r="T732" s="36">
        <v>158.88301000000001</v>
      </c>
      <c r="U732" s="393">
        <v>347.45726000000002</v>
      </c>
    </row>
    <row r="733" spans="3:21" s="9" customFormat="1" ht="0.5" customHeight="1">
      <c r="C733" s="9" t="s">
        <v>113</v>
      </c>
      <c r="D733" s="9" t="str">
        <f t="shared" si="45"/>
        <v>Dominican Republic41.5</v>
      </c>
      <c r="E733" s="398">
        <v>41.5</v>
      </c>
      <c r="F733" s="399">
        <v>117.88414</v>
      </c>
      <c r="G733" s="36">
        <v>101.03625</v>
      </c>
      <c r="H733" s="36">
        <v>130.53531000000001</v>
      </c>
      <c r="I733" s="393">
        <v>294.62052999999997</v>
      </c>
      <c r="J733" s="399">
        <v>246.07794000000001</v>
      </c>
      <c r="K733" s="36">
        <v>150.50715</v>
      </c>
      <c r="L733" s="36">
        <v>208.38533000000001</v>
      </c>
      <c r="M733" s="393">
        <v>508.14818000000002</v>
      </c>
      <c r="N733" s="399">
        <v>85.028146000000007</v>
      </c>
      <c r="O733" s="36">
        <v>55.101937999999997</v>
      </c>
      <c r="P733" s="36">
        <v>84.954626000000005</v>
      </c>
      <c r="Q733" s="393">
        <v>188.29477</v>
      </c>
      <c r="R733" s="399">
        <v>189.48698999999999</v>
      </c>
      <c r="S733" s="36">
        <v>95.447101000000004</v>
      </c>
      <c r="T733" s="36">
        <v>159.43158</v>
      </c>
      <c r="U733" s="393">
        <v>350.41593</v>
      </c>
    </row>
    <row r="734" spans="3:21" s="9" customFormat="1" ht="0.5" customHeight="1">
      <c r="C734" s="9" t="s">
        <v>113</v>
      </c>
      <c r="D734" s="9" t="str">
        <f t="shared" si="45"/>
        <v>Dominican Republic42</v>
      </c>
      <c r="E734" s="398">
        <v>42</v>
      </c>
      <c r="F734" s="399">
        <v>117.60654</v>
      </c>
      <c r="G734" s="36">
        <v>100.66023</v>
      </c>
      <c r="H734" s="36">
        <v>130.52521999999999</v>
      </c>
      <c r="I734" s="393">
        <v>294.37803000000002</v>
      </c>
      <c r="J734" s="399">
        <v>246.29624000000001</v>
      </c>
      <c r="K734" s="36">
        <v>151.02574000000001</v>
      </c>
      <c r="L734" s="36">
        <v>208.92197999999999</v>
      </c>
      <c r="M734" s="393">
        <v>514.45780000000002</v>
      </c>
      <c r="N734" s="399">
        <v>84.874126000000004</v>
      </c>
      <c r="O734" s="36">
        <v>55.040193000000002</v>
      </c>
      <c r="P734" s="36">
        <v>84.366567000000003</v>
      </c>
      <c r="Q734" s="393">
        <v>188.20196000000001</v>
      </c>
      <c r="R734" s="399">
        <v>190.81924000000001</v>
      </c>
      <c r="S734" s="36">
        <v>95.959855000000005</v>
      </c>
      <c r="T734" s="36">
        <v>160.00366</v>
      </c>
      <c r="U734" s="393">
        <v>353.80604</v>
      </c>
    </row>
    <row r="735" spans="3:21" s="9" customFormat="1" ht="0.5" customHeight="1">
      <c r="C735" s="9" t="s">
        <v>113</v>
      </c>
      <c r="D735" s="9" t="str">
        <f t="shared" si="45"/>
        <v>Dominican Republic42.5</v>
      </c>
      <c r="E735" s="398">
        <v>42.5</v>
      </c>
      <c r="F735" s="399">
        <v>117.35321999999999</v>
      </c>
      <c r="G735" s="36">
        <v>100.25122</v>
      </c>
      <c r="H735" s="36">
        <v>130.54657</v>
      </c>
      <c r="I735" s="393">
        <v>294.31479999999999</v>
      </c>
      <c r="J735" s="399">
        <v>246.43602000000001</v>
      </c>
      <c r="K735" s="36">
        <v>151.58386999999999</v>
      </c>
      <c r="L735" s="36">
        <v>209.43145000000001</v>
      </c>
      <c r="M735" s="393">
        <v>520.35676999999998</v>
      </c>
      <c r="N735" s="399">
        <v>84.702106999999998</v>
      </c>
      <c r="O735" s="36">
        <v>54.972160000000002</v>
      </c>
      <c r="P735" s="36">
        <v>83.709406000000001</v>
      </c>
      <c r="Q735" s="393">
        <v>188.06223</v>
      </c>
      <c r="R735" s="399">
        <v>192.55654000000001</v>
      </c>
      <c r="S735" s="36">
        <v>96.608317999999997</v>
      </c>
      <c r="T735" s="36">
        <v>160.47971999999999</v>
      </c>
      <c r="U735" s="393">
        <v>357.72797000000003</v>
      </c>
    </row>
    <row r="736" spans="3:21" s="9" customFormat="1" ht="0.5" customHeight="1">
      <c r="C736" s="9" t="s">
        <v>113</v>
      </c>
      <c r="D736" s="9" t="str">
        <f t="shared" si="45"/>
        <v>Dominican Republic43</v>
      </c>
      <c r="E736" s="398">
        <v>43</v>
      </c>
      <c r="F736" s="399">
        <v>117.25723000000001</v>
      </c>
      <c r="G736" s="36">
        <v>99.856854999999996</v>
      </c>
      <c r="H736" s="36">
        <v>130.55233999999999</v>
      </c>
      <c r="I736" s="393">
        <v>295.17797000000002</v>
      </c>
      <c r="J736" s="399">
        <v>247.25085999999999</v>
      </c>
      <c r="K736" s="36">
        <v>152.57513</v>
      </c>
      <c r="L736" s="36">
        <v>210.03405000000001</v>
      </c>
      <c r="M736" s="393">
        <v>525.72592999999995</v>
      </c>
      <c r="N736" s="399">
        <v>84.359673999999998</v>
      </c>
      <c r="O736" s="36">
        <v>54.851247999999998</v>
      </c>
      <c r="P736" s="36">
        <v>83.067927999999995</v>
      </c>
      <c r="Q736" s="393">
        <v>187.90091000000001</v>
      </c>
      <c r="R736" s="399">
        <v>194.42553000000001</v>
      </c>
      <c r="S736" s="36">
        <v>97.257193999999998</v>
      </c>
      <c r="T736" s="36">
        <v>160.93416999999999</v>
      </c>
      <c r="U736" s="393">
        <v>361.49644999999998</v>
      </c>
    </row>
    <row r="737" spans="3:21" s="9" customFormat="1" ht="0.5" customHeight="1">
      <c r="C737" s="9" t="s">
        <v>113</v>
      </c>
      <c r="D737" s="9" t="str">
        <f t="shared" si="45"/>
        <v>Dominican Republic43.5</v>
      </c>
      <c r="E737" s="398">
        <v>43.5</v>
      </c>
      <c r="F737" s="399">
        <v>117.18669</v>
      </c>
      <c r="G737" s="36">
        <v>99.482958999999994</v>
      </c>
      <c r="H737" s="36">
        <v>130.41747000000001</v>
      </c>
      <c r="I737" s="393">
        <v>297.32378999999997</v>
      </c>
      <c r="J737" s="399">
        <v>248.15816000000001</v>
      </c>
      <c r="K737" s="36">
        <v>153.57413</v>
      </c>
      <c r="L737" s="36">
        <v>210.67733000000001</v>
      </c>
      <c r="M737" s="393">
        <v>530.33321999999998</v>
      </c>
      <c r="N737" s="399">
        <v>84.013250999999997</v>
      </c>
      <c r="O737" s="36">
        <v>54.722712000000001</v>
      </c>
      <c r="P737" s="36">
        <v>82.465103999999997</v>
      </c>
      <c r="Q737" s="393">
        <v>187.71023</v>
      </c>
      <c r="R737" s="399">
        <v>196.97985</v>
      </c>
      <c r="S737" s="36">
        <v>97.819186000000002</v>
      </c>
      <c r="T737" s="36">
        <v>161.50074000000001</v>
      </c>
      <c r="U737" s="393">
        <v>364.74979999999999</v>
      </c>
    </row>
    <row r="738" spans="3:21" s="9" customFormat="1" ht="0.5" customHeight="1">
      <c r="C738" s="9" t="s">
        <v>113</v>
      </c>
      <c r="D738" s="9" t="str">
        <f t="shared" si="45"/>
        <v>Dominican Republic44</v>
      </c>
      <c r="E738" s="398">
        <v>44</v>
      </c>
      <c r="F738" s="399">
        <v>117.21366999999999</v>
      </c>
      <c r="G738" s="36">
        <v>99.146834999999996</v>
      </c>
      <c r="H738" s="36">
        <v>130.32323</v>
      </c>
      <c r="I738" s="393">
        <v>300.40163000000001</v>
      </c>
      <c r="J738" s="399">
        <v>248.62714</v>
      </c>
      <c r="K738" s="36">
        <v>153.96626000000001</v>
      </c>
      <c r="L738" s="36">
        <v>211.42993000000001</v>
      </c>
      <c r="M738" s="393">
        <v>534.93582000000004</v>
      </c>
      <c r="N738" s="399">
        <v>83.760836999999995</v>
      </c>
      <c r="O738" s="36">
        <v>54.543844</v>
      </c>
      <c r="P738" s="36">
        <v>81.886673000000002</v>
      </c>
      <c r="Q738" s="393">
        <v>187.51354000000001</v>
      </c>
      <c r="R738" s="399">
        <v>199.5684</v>
      </c>
      <c r="S738" s="36">
        <v>98.313490999999999</v>
      </c>
      <c r="T738" s="36">
        <v>162.06264999999999</v>
      </c>
      <c r="U738" s="393">
        <v>367.95627000000002</v>
      </c>
    </row>
    <row r="739" spans="3:21" s="9" customFormat="1" ht="0.5" customHeight="1">
      <c r="C739" s="9" t="s">
        <v>113</v>
      </c>
      <c r="D739" s="9" t="str">
        <f t="shared" si="45"/>
        <v>Dominican Republic44.5</v>
      </c>
      <c r="E739" s="398">
        <v>44.5</v>
      </c>
      <c r="F739" s="399">
        <v>117.30534</v>
      </c>
      <c r="G739" s="36">
        <v>98.674728000000002</v>
      </c>
      <c r="H739" s="36">
        <v>130.25908000000001</v>
      </c>
      <c r="I739" s="393">
        <v>303.58031999999997</v>
      </c>
      <c r="J739" s="399">
        <v>249.38889</v>
      </c>
      <c r="K739" s="36">
        <v>154.38851</v>
      </c>
      <c r="L739" s="36">
        <v>212.17232000000001</v>
      </c>
      <c r="M739" s="393">
        <v>540.85688000000005</v>
      </c>
      <c r="N739" s="399">
        <v>83.524634000000006</v>
      </c>
      <c r="O739" s="36">
        <v>54.362588000000002</v>
      </c>
      <c r="P739" s="36">
        <v>81.407590999999996</v>
      </c>
      <c r="Q739" s="393">
        <v>187.30319</v>
      </c>
      <c r="R739" s="399">
        <v>202.38202000000001</v>
      </c>
      <c r="S739" s="36">
        <v>98.508927999999997</v>
      </c>
      <c r="T739" s="36">
        <v>162.58206000000001</v>
      </c>
      <c r="U739" s="393">
        <v>371.41503</v>
      </c>
    </row>
    <row r="740" spans="3:21" s="9" customFormat="1" ht="0.5" customHeight="1">
      <c r="C740" s="9" t="s">
        <v>113</v>
      </c>
      <c r="D740" s="9" t="str">
        <f t="shared" si="45"/>
        <v>Dominican Republic45</v>
      </c>
      <c r="E740" s="398">
        <v>45</v>
      </c>
      <c r="F740" s="399">
        <v>117.31774</v>
      </c>
      <c r="G740" s="36">
        <v>98.124877999999995</v>
      </c>
      <c r="H740" s="36">
        <v>130.14382000000001</v>
      </c>
      <c r="I740" s="393">
        <v>305.31698</v>
      </c>
      <c r="J740" s="399">
        <v>250.44856999999999</v>
      </c>
      <c r="K740" s="36">
        <v>155.17372</v>
      </c>
      <c r="L740" s="36">
        <v>212.95591999999999</v>
      </c>
      <c r="M740" s="393">
        <v>547.05944999999997</v>
      </c>
      <c r="N740" s="399">
        <v>83.330687999999995</v>
      </c>
      <c r="O740" s="36">
        <v>54.153351999999998</v>
      </c>
      <c r="P740" s="36">
        <v>80.991105000000005</v>
      </c>
      <c r="Q740" s="393">
        <v>187.10948999999999</v>
      </c>
      <c r="R740" s="399">
        <v>205.32113000000001</v>
      </c>
      <c r="S740" s="36">
        <v>98.683287000000007</v>
      </c>
      <c r="T740" s="36">
        <v>162.91829999999999</v>
      </c>
      <c r="U740" s="393">
        <v>375.10642000000001</v>
      </c>
    </row>
    <row r="741" spans="3:21" s="9" customFormat="1" ht="0.5" customHeight="1">
      <c r="C741" s="9" t="s">
        <v>113</v>
      </c>
      <c r="D741" s="9" t="str">
        <f t="shared" si="45"/>
        <v>Dominican Republic45.5</v>
      </c>
      <c r="E741" s="398">
        <v>45.5</v>
      </c>
      <c r="F741" s="399">
        <v>117.27534</v>
      </c>
      <c r="G741" s="36">
        <v>97.717169999999996</v>
      </c>
      <c r="H741" s="36">
        <v>130.11895000000001</v>
      </c>
      <c r="I741" s="393">
        <v>306.43090000000001</v>
      </c>
      <c r="J741" s="399">
        <v>251.44734</v>
      </c>
      <c r="K741" s="36">
        <v>156.05796000000001</v>
      </c>
      <c r="L741" s="36">
        <v>213.74907999999999</v>
      </c>
      <c r="M741" s="393">
        <v>554.04696999999999</v>
      </c>
      <c r="N741" s="399">
        <v>83.125217000000006</v>
      </c>
      <c r="O741" s="36">
        <v>53.938578</v>
      </c>
      <c r="P741" s="36">
        <v>80.729634000000004</v>
      </c>
      <c r="Q741" s="393">
        <v>187.02534</v>
      </c>
      <c r="R741" s="399">
        <v>208.92507000000001</v>
      </c>
      <c r="S741" s="36">
        <v>98.765975999999995</v>
      </c>
      <c r="T741" s="36">
        <v>162.86362</v>
      </c>
      <c r="U741" s="393">
        <v>379.03269</v>
      </c>
    </row>
    <row r="742" spans="3:21" s="9" customFormat="1" ht="0.5" customHeight="1">
      <c r="C742" s="9" t="s">
        <v>113</v>
      </c>
      <c r="D742" s="9" t="str">
        <f t="shared" si="45"/>
        <v>Dominican Republic46</v>
      </c>
      <c r="E742" s="398">
        <v>46</v>
      </c>
      <c r="F742" s="399">
        <v>116.89731</v>
      </c>
      <c r="G742" s="36">
        <v>97.359998000000004</v>
      </c>
      <c r="H742" s="36">
        <v>130.00368</v>
      </c>
      <c r="I742" s="393">
        <v>308.21310999999997</v>
      </c>
      <c r="J742" s="399">
        <v>252.84285</v>
      </c>
      <c r="K742" s="36">
        <v>157.45853</v>
      </c>
      <c r="L742" s="36">
        <v>215.00790000000001</v>
      </c>
      <c r="M742" s="393">
        <v>561.21205999999995</v>
      </c>
      <c r="N742" s="399">
        <v>82.741752000000005</v>
      </c>
      <c r="O742" s="36">
        <v>53.721198000000001</v>
      </c>
      <c r="P742" s="36">
        <v>80.729521000000005</v>
      </c>
      <c r="Q742" s="393">
        <v>186.98361</v>
      </c>
      <c r="R742" s="399">
        <v>212.65287000000001</v>
      </c>
      <c r="S742" s="36">
        <v>98.806334000000007</v>
      </c>
      <c r="T742" s="36">
        <v>162.65204</v>
      </c>
      <c r="U742" s="393">
        <v>382.65546999999998</v>
      </c>
    </row>
    <row r="743" spans="3:21" s="9" customFormat="1" ht="0.5" customHeight="1">
      <c r="C743" s="9" t="s">
        <v>113</v>
      </c>
      <c r="D743" s="9" t="str">
        <f t="shared" si="45"/>
        <v>Dominican Republic46.5</v>
      </c>
      <c r="E743" s="398">
        <v>46.5</v>
      </c>
      <c r="F743" s="399">
        <v>116.41372</v>
      </c>
      <c r="G743" s="36">
        <v>97.036686000000003</v>
      </c>
      <c r="H743" s="36">
        <v>129.32401999999999</v>
      </c>
      <c r="I743" s="393">
        <v>309.91764000000001</v>
      </c>
      <c r="J743" s="399">
        <v>253.90186</v>
      </c>
      <c r="K743" s="36">
        <v>158.86846</v>
      </c>
      <c r="L743" s="36">
        <v>216.23486</v>
      </c>
      <c r="M743" s="393">
        <v>568.69506999999999</v>
      </c>
      <c r="N743" s="399">
        <v>82.359003000000001</v>
      </c>
      <c r="O743" s="36">
        <v>53.507736999999999</v>
      </c>
      <c r="P743" s="36">
        <v>80.838998000000004</v>
      </c>
      <c r="Q743" s="393">
        <v>186.94306</v>
      </c>
      <c r="R743" s="399">
        <v>216.17767000000001</v>
      </c>
      <c r="S743" s="36">
        <v>98.859414999999998</v>
      </c>
      <c r="T743" s="36">
        <v>162.42537999999999</v>
      </c>
      <c r="U743" s="393">
        <v>385.96733</v>
      </c>
    </row>
    <row r="744" spans="3:21" s="9" customFormat="1" ht="0.5" customHeight="1">
      <c r="C744" s="9" t="s">
        <v>113</v>
      </c>
      <c r="D744" s="9" t="str">
        <f t="shared" si="45"/>
        <v>Dominican Republic47</v>
      </c>
      <c r="E744" s="398">
        <v>47</v>
      </c>
      <c r="F744" s="399">
        <v>116.03901999999999</v>
      </c>
      <c r="G744" s="36">
        <v>96.755154000000005</v>
      </c>
      <c r="H744" s="36">
        <v>128.75145000000001</v>
      </c>
      <c r="I744" s="393">
        <v>311.76256000000001</v>
      </c>
      <c r="J744" s="399">
        <v>254.01943</v>
      </c>
      <c r="K744" s="36">
        <v>160.40481</v>
      </c>
      <c r="L744" s="36">
        <v>216.83841000000001</v>
      </c>
      <c r="M744" s="393">
        <v>576.25208999999995</v>
      </c>
      <c r="N744" s="399">
        <v>82.064237000000006</v>
      </c>
      <c r="O744" s="36">
        <v>53.244644999999998</v>
      </c>
      <c r="P744" s="36">
        <v>80.911254999999997</v>
      </c>
      <c r="Q744" s="393">
        <v>186.89511999999999</v>
      </c>
      <c r="R744" s="399">
        <v>219.50914</v>
      </c>
      <c r="S744" s="36">
        <v>98.897643000000002</v>
      </c>
      <c r="T744" s="36">
        <v>162.15347</v>
      </c>
      <c r="U744" s="393">
        <v>388.91104999999999</v>
      </c>
    </row>
    <row r="745" spans="3:21" s="9" customFormat="1" ht="0.5" customHeight="1">
      <c r="C745" s="9" t="s">
        <v>113</v>
      </c>
      <c r="D745" s="9" t="str">
        <f t="shared" si="45"/>
        <v>Dominican Republic47.5</v>
      </c>
      <c r="E745" s="398">
        <v>47.5</v>
      </c>
      <c r="F745" s="399">
        <v>115.73528</v>
      </c>
      <c r="G745" s="36">
        <v>96.536989000000005</v>
      </c>
      <c r="H745" s="36">
        <v>128.27139</v>
      </c>
      <c r="I745" s="393">
        <v>314.54995000000002</v>
      </c>
      <c r="J745" s="399">
        <v>254.34101000000001</v>
      </c>
      <c r="K745" s="36">
        <v>161.91818000000001</v>
      </c>
      <c r="L745" s="36">
        <v>217.40749</v>
      </c>
      <c r="M745" s="393">
        <v>583.99010999999996</v>
      </c>
      <c r="N745" s="399">
        <v>81.770937000000004</v>
      </c>
      <c r="O745" s="36">
        <v>52.971348999999996</v>
      </c>
      <c r="P745" s="36">
        <v>80.918834000000004</v>
      </c>
      <c r="Q745" s="393">
        <v>186.83201</v>
      </c>
      <c r="R745" s="399">
        <v>222.46638999999999</v>
      </c>
      <c r="S745" s="36">
        <v>98.929485999999997</v>
      </c>
      <c r="T745" s="36">
        <v>161.62963999999999</v>
      </c>
      <c r="U745" s="393">
        <v>391.05898999999999</v>
      </c>
    </row>
    <row r="746" spans="3:21" s="9" customFormat="1" ht="0.5" customHeight="1">
      <c r="C746" s="9" t="s">
        <v>113</v>
      </c>
      <c r="D746" s="9" t="str">
        <f t="shared" si="45"/>
        <v>Dominican Republic48</v>
      </c>
      <c r="E746" s="398">
        <v>48</v>
      </c>
      <c r="F746" s="399">
        <v>115.33757</v>
      </c>
      <c r="G746" s="36">
        <v>96.326948000000002</v>
      </c>
      <c r="H746" s="36">
        <v>127.7765</v>
      </c>
      <c r="I746" s="393">
        <v>318.39069999999998</v>
      </c>
      <c r="J746" s="399">
        <v>255.92958999999999</v>
      </c>
      <c r="K746" s="36">
        <v>163.06384</v>
      </c>
      <c r="L746" s="36">
        <v>217.95751000000001</v>
      </c>
      <c r="M746" s="393">
        <v>591.28917999999999</v>
      </c>
      <c r="N746" s="399">
        <v>81.487253999999993</v>
      </c>
      <c r="O746" s="36">
        <v>52.729756999999999</v>
      </c>
      <c r="P746" s="36">
        <v>80.828001999999998</v>
      </c>
      <c r="Q746" s="393">
        <v>186.73531</v>
      </c>
      <c r="R746" s="399">
        <v>225.44200000000001</v>
      </c>
      <c r="S746" s="36">
        <v>98.980663000000007</v>
      </c>
      <c r="T746" s="36">
        <v>161.12357</v>
      </c>
      <c r="U746" s="393">
        <v>393.04212999999999</v>
      </c>
    </row>
    <row r="747" spans="3:21" s="9" customFormat="1" ht="0.5" customHeight="1">
      <c r="C747" s="9" t="s">
        <v>113</v>
      </c>
      <c r="D747" s="9" t="str">
        <f t="shared" si="45"/>
        <v>Dominican Republic48.5</v>
      </c>
      <c r="E747" s="398">
        <v>48.5</v>
      </c>
      <c r="F747" s="399">
        <v>114.87967999999999</v>
      </c>
      <c r="G747" s="36">
        <v>96.274822</v>
      </c>
      <c r="H747" s="36">
        <v>127.06377999999999</v>
      </c>
      <c r="I747" s="393">
        <v>322.77870000000001</v>
      </c>
      <c r="J747" s="399">
        <v>257.88260000000002</v>
      </c>
      <c r="K747" s="36">
        <v>164.18213</v>
      </c>
      <c r="L747" s="36">
        <v>218.49708000000001</v>
      </c>
      <c r="M747" s="393">
        <v>593.39958000000001</v>
      </c>
      <c r="N747" s="399">
        <v>81.187279000000004</v>
      </c>
      <c r="O747" s="36">
        <v>52.502141000000002</v>
      </c>
      <c r="P747" s="36">
        <v>80.504801</v>
      </c>
      <c r="Q747" s="393">
        <v>186.59825000000001</v>
      </c>
      <c r="R747" s="399">
        <v>228.86660000000001</v>
      </c>
      <c r="S747" s="36">
        <v>99.246600000000001</v>
      </c>
      <c r="T747" s="36">
        <v>160.82335</v>
      </c>
      <c r="U747" s="393">
        <v>395.37333000000001</v>
      </c>
    </row>
    <row r="748" spans="3:21" s="9" customFormat="1" ht="0.5" customHeight="1">
      <c r="C748" s="9" t="s">
        <v>113</v>
      </c>
      <c r="D748" s="9" t="str">
        <f t="shared" si="45"/>
        <v>Dominican Republic49</v>
      </c>
      <c r="E748" s="398">
        <v>49</v>
      </c>
      <c r="F748" s="399">
        <v>114.3451</v>
      </c>
      <c r="G748" s="36">
        <v>96.226495999999997</v>
      </c>
      <c r="H748" s="36">
        <v>126.40378</v>
      </c>
      <c r="I748" s="393">
        <v>326.94670000000002</v>
      </c>
      <c r="J748" s="399">
        <v>260.40854999999999</v>
      </c>
      <c r="K748" s="36">
        <v>165.48652000000001</v>
      </c>
      <c r="L748" s="36">
        <v>218.82545999999999</v>
      </c>
      <c r="M748" s="393">
        <v>594.76400999999998</v>
      </c>
      <c r="N748" s="399">
        <v>80.723782</v>
      </c>
      <c r="O748" s="36">
        <v>52.279589999999999</v>
      </c>
      <c r="P748" s="36">
        <v>80.091569000000007</v>
      </c>
      <c r="Q748" s="393">
        <v>186.41484</v>
      </c>
      <c r="R748" s="399">
        <v>232.1481</v>
      </c>
      <c r="S748" s="36">
        <v>99.517505</v>
      </c>
      <c r="T748" s="36">
        <v>160.57427000000001</v>
      </c>
      <c r="U748" s="393">
        <v>397.84291000000002</v>
      </c>
    </row>
    <row r="749" spans="3:21" s="9" customFormat="1" ht="0.5" customHeight="1">
      <c r="C749" s="9" t="s">
        <v>113</v>
      </c>
      <c r="D749" s="9" t="str">
        <f t="shared" si="45"/>
        <v>Dominican Republic49.5</v>
      </c>
      <c r="E749" s="398">
        <v>49.5</v>
      </c>
      <c r="F749" s="399">
        <v>113.88419</v>
      </c>
      <c r="G749" s="36">
        <v>96.154531000000006</v>
      </c>
      <c r="H749" s="36">
        <v>125.51506999999999</v>
      </c>
      <c r="I749" s="393">
        <v>330.44704000000002</v>
      </c>
      <c r="J749" s="399">
        <v>262.65382</v>
      </c>
      <c r="K749" s="36">
        <v>166.79102</v>
      </c>
      <c r="L749" s="36">
        <v>219.16503</v>
      </c>
      <c r="M749" s="393">
        <v>596.19155000000001</v>
      </c>
      <c r="N749" s="399">
        <v>80.257666</v>
      </c>
      <c r="O749" s="36">
        <v>52.043900999999998</v>
      </c>
      <c r="P749" s="36">
        <v>79.731797999999998</v>
      </c>
      <c r="Q749" s="393">
        <v>186.17668</v>
      </c>
      <c r="R749" s="399">
        <v>234.50729999999999</v>
      </c>
      <c r="S749" s="36">
        <v>99.883414999999999</v>
      </c>
      <c r="T749" s="36">
        <v>160.19882000000001</v>
      </c>
      <c r="U749" s="393">
        <v>400.10908000000001</v>
      </c>
    </row>
    <row r="750" spans="3:21" s="9" customFormat="1" ht="0.5" customHeight="1">
      <c r="C750" s="9" t="s">
        <v>113</v>
      </c>
      <c r="D750" s="9" t="str">
        <f t="shared" si="45"/>
        <v>Dominican Republic50</v>
      </c>
      <c r="E750" s="398">
        <v>50</v>
      </c>
      <c r="F750" s="399">
        <v>113.47839999999999</v>
      </c>
      <c r="G750" s="36">
        <v>96.139394999999993</v>
      </c>
      <c r="H750" s="36">
        <v>124.55485</v>
      </c>
      <c r="I750" s="393">
        <v>333.25116000000003</v>
      </c>
      <c r="J750" s="399">
        <v>265.27497</v>
      </c>
      <c r="K750" s="36">
        <v>167.89259999999999</v>
      </c>
      <c r="L750" s="36">
        <v>219.52503999999999</v>
      </c>
      <c r="M750" s="393">
        <v>597.78030000000001</v>
      </c>
      <c r="N750" s="399">
        <v>79.798772999999997</v>
      </c>
      <c r="O750" s="36">
        <v>51.771554999999999</v>
      </c>
      <c r="P750" s="36">
        <v>79.394824999999997</v>
      </c>
      <c r="Q750" s="393">
        <v>185.86868000000001</v>
      </c>
      <c r="R750" s="399">
        <v>236.50735</v>
      </c>
      <c r="S750" s="36">
        <v>100.38428999999999</v>
      </c>
      <c r="T750" s="36">
        <v>159.71042</v>
      </c>
      <c r="U750" s="393">
        <v>402.49214000000001</v>
      </c>
    </row>
    <row r="751" spans="3:21" s="9" customFormat="1" ht="0.5" customHeight="1">
      <c r="C751" s="9" t="s">
        <v>113</v>
      </c>
      <c r="D751" s="9" t="str">
        <f t="shared" si="45"/>
        <v>Dominican Republic50.5</v>
      </c>
      <c r="E751" s="398">
        <v>50.5</v>
      </c>
      <c r="F751" s="399">
        <v>112.98551999999999</v>
      </c>
      <c r="G751" s="36">
        <v>96.298299999999998</v>
      </c>
      <c r="H751" s="36">
        <v>123.49771</v>
      </c>
      <c r="I751" s="393">
        <v>334.52352999999999</v>
      </c>
      <c r="J751" s="399">
        <v>267.96526</v>
      </c>
      <c r="K751" s="36">
        <v>168.94148000000001</v>
      </c>
      <c r="L751" s="36">
        <v>219.81211999999999</v>
      </c>
      <c r="M751" s="393">
        <v>597.47760000000005</v>
      </c>
      <c r="N751" s="399">
        <v>79.336031000000006</v>
      </c>
      <c r="O751" s="36">
        <v>51.507046000000003</v>
      </c>
      <c r="P751" s="36">
        <v>79.041167999999999</v>
      </c>
      <c r="Q751" s="393">
        <v>185.57695000000001</v>
      </c>
      <c r="R751" s="399">
        <v>237.44944000000001</v>
      </c>
      <c r="S751" s="36">
        <v>101.07867</v>
      </c>
      <c r="T751" s="36">
        <v>159.08771999999999</v>
      </c>
      <c r="U751" s="393">
        <v>405.24642</v>
      </c>
    </row>
    <row r="752" spans="3:21" s="9" customFormat="1" ht="0.5" customHeight="1">
      <c r="C752" s="9" t="s">
        <v>113</v>
      </c>
      <c r="D752" s="9" t="str">
        <f t="shared" si="45"/>
        <v>Dominican Republic51</v>
      </c>
      <c r="E752" s="398">
        <v>51</v>
      </c>
      <c r="F752" s="399">
        <v>112.36817000000001</v>
      </c>
      <c r="G752" s="36">
        <v>96.538673000000003</v>
      </c>
      <c r="H752" s="36">
        <v>122.4649</v>
      </c>
      <c r="I752" s="393">
        <v>334.35563999999999</v>
      </c>
      <c r="J752" s="399">
        <v>270.62867999999997</v>
      </c>
      <c r="K752" s="36">
        <v>169.91207</v>
      </c>
      <c r="L752" s="36">
        <v>219.87560999999999</v>
      </c>
      <c r="M752" s="393">
        <v>597.16836999999998</v>
      </c>
      <c r="N752" s="399">
        <v>78.865075000000004</v>
      </c>
      <c r="O752" s="36">
        <v>51.257365999999998</v>
      </c>
      <c r="P752" s="36">
        <v>78.611806999999999</v>
      </c>
      <c r="Q752" s="393">
        <v>185.32061999999999</v>
      </c>
      <c r="R752" s="399">
        <v>238.07202000000001</v>
      </c>
      <c r="S752" s="36">
        <v>101.80332</v>
      </c>
      <c r="T752" s="36">
        <v>158.39944</v>
      </c>
      <c r="U752" s="393">
        <v>408.09609</v>
      </c>
    </row>
    <row r="753" spans="3:21" s="9" customFormat="1" ht="0.5" customHeight="1">
      <c r="C753" s="9" t="s">
        <v>113</v>
      </c>
      <c r="D753" s="9" t="str">
        <f t="shared" si="45"/>
        <v>Dominican Republic51.5</v>
      </c>
      <c r="E753" s="398">
        <v>51.5</v>
      </c>
      <c r="F753" s="399">
        <v>111.6765</v>
      </c>
      <c r="G753" s="36">
        <v>96.917704000000001</v>
      </c>
      <c r="H753" s="36">
        <v>121.51228999999999</v>
      </c>
      <c r="I753" s="393">
        <v>333.72804000000002</v>
      </c>
      <c r="J753" s="399">
        <v>273.36939999999998</v>
      </c>
      <c r="K753" s="36">
        <v>170.78210000000001</v>
      </c>
      <c r="L753" s="36">
        <v>219.77592000000001</v>
      </c>
      <c r="M753" s="393">
        <v>596.56097</v>
      </c>
      <c r="N753" s="399">
        <v>78.396865000000005</v>
      </c>
      <c r="O753" s="36">
        <v>51.039937000000002</v>
      </c>
      <c r="P753" s="36">
        <v>78.053049999999999</v>
      </c>
      <c r="Q753" s="393">
        <v>185.03891999999999</v>
      </c>
      <c r="R753" s="399">
        <v>238.33097000000001</v>
      </c>
      <c r="S753" s="36">
        <v>102.60167</v>
      </c>
      <c r="T753" s="36">
        <v>157.63890000000001</v>
      </c>
      <c r="U753" s="393">
        <v>410.8768</v>
      </c>
    </row>
    <row r="754" spans="3:21" s="9" customFormat="1" ht="0.5" customHeight="1">
      <c r="C754" s="9" t="s">
        <v>113</v>
      </c>
      <c r="D754" s="9" t="str">
        <f t="shared" si="45"/>
        <v>Dominican Republic52</v>
      </c>
      <c r="E754" s="398">
        <v>52</v>
      </c>
      <c r="F754" s="399">
        <v>110.86615</v>
      </c>
      <c r="G754" s="36">
        <v>97.220361999999994</v>
      </c>
      <c r="H754" s="36">
        <v>120.53845</v>
      </c>
      <c r="I754" s="393">
        <v>332.69943999999998</v>
      </c>
      <c r="J754" s="399">
        <v>275.97696999999999</v>
      </c>
      <c r="K754" s="36">
        <v>171.52244999999999</v>
      </c>
      <c r="L754" s="36">
        <v>219.43987999999999</v>
      </c>
      <c r="M754" s="393">
        <v>594.66948000000002</v>
      </c>
      <c r="N754" s="399">
        <v>77.934814000000003</v>
      </c>
      <c r="O754" s="36">
        <v>50.868282000000001</v>
      </c>
      <c r="P754" s="36">
        <v>77.383487000000002</v>
      </c>
      <c r="Q754" s="393">
        <v>184.7218</v>
      </c>
      <c r="R754" s="399">
        <v>238.36530999999999</v>
      </c>
      <c r="S754" s="36">
        <v>103.58025000000001</v>
      </c>
      <c r="T754" s="36">
        <v>156.73405</v>
      </c>
      <c r="U754" s="393">
        <v>413.32488000000001</v>
      </c>
    </row>
    <row r="755" spans="3:21" s="9" customFormat="1" ht="0.5" customHeight="1">
      <c r="C755" s="9" t="s">
        <v>113</v>
      </c>
      <c r="D755" s="9" t="str">
        <f t="shared" si="45"/>
        <v>Dominican Republic52.5</v>
      </c>
      <c r="E755" s="398">
        <v>52.5</v>
      </c>
      <c r="F755" s="399">
        <v>109.96720000000001</v>
      </c>
      <c r="G755" s="36">
        <v>97.486452</v>
      </c>
      <c r="H755" s="36">
        <v>119.88688999999999</v>
      </c>
      <c r="I755" s="393">
        <v>331.63310999999999</v>
      </c>
      <c r="J755" s="399">
        <v>278.43901</v>
      </c>
      <c r="K755" s="36">
        <v>172.07239000000001</v>
      </c>
      <c r="L755" s="36">
        <v>218.82930999999999</v>
      </c>
      <c r="M755" s="393">
        <v>590.56948</v>
      </c>
      <c r="N755" s="399">
        <v>77.477321000000003</v>
      </c>
      <c r="O755" s="36">
        <v>50.763849999999998</v>
      </c>
      <c r="P755" s="36">
        <v>76.673113000000001</v>
      </c>
      <c r="Q755" s="393">
        <v>184.49454</v>
      </c>
      <c r="R755" s="399">
        <v>238.13356999999999</v>
      </c>
      <c r="S755" s="36">
        <v>104.63177</v>
      </c>
      <c r="T755" s="36">
        <v>155.31800000000001</v>
      </c>
      <c r="U755" s="393">
        <v>415.80230999999998</v>
      </c>
    </row>
    <row r="756" spans="3:21" s="9" customFormat="1" ht="0.5" customHeight="1">
      <c r="C756" s="9" t="s">
        <v>113</v>
      </c>
      <c r="D756" s="9" t="str">
        <f t="shared" si="45"/>
        <v>Dominican Republic53</v>
      </c>
      <c r="E756" s="398">
        <v>53</v>
      </c>
      <c r="F756" s="399">
        <v>109.03086</v>
      </c>
      <c r="G756" s="36">
        <v>97.843052</v>
      </c>
      <c r="H756" s="36">
        <v>119.30625000000001</v>
      </c>
      <c r="I756" s="393">
        <v>330.67207000000002</v>
      </c>
      <c r="J756" s="399">
        <v>280.71163000000001</v>
      </c>
      <c r="K756" s="36">
        <v>172.85149000000001</v>
      </c>
      <c r="L756" s="36">
        <v>217.65234000000001</v>
      </c>
      <c r="M756" s="393">
        <v>585.78449000000001</v>
      </c>
      <c r="N756" s="399">
        <v>76.964305999999993</v>
      </c>
      <c r="O756" s="36">
        <v>50.666840999999998</v>
      </c>
      <c r="P756" s="36">
        <v>75.986283999999998</v>
      </c>
      <c r="Q756" s="393">
        <v>184.38658000000001</v>
      </c>
      <c r="R756" s="399">
        <v>237.51481999999999</v>
      </c>
      <c r="S756" s="36">
        <v>105.749</v>
      </c>
      <c r="T756" s="36">
        <v>152.83788000000001</v>
      </c>
      <c r="U756" s="393">
        <v>418.79419999999999</v>
      </c>
    </row>
    <row r="757" spans="3:21" s="9" customFormat="1" ht="0.5" customHeight="1">
      <c r="C757" s="9" t="s">
        <v>113</v>
      </c>
      <c r="D757" s="9" t="str">
        <f t="shared" si="45"/>
        <v>Dominican Republic53.5</v>
      </c>
      <c r="E757" s="398">
        <v>53.5</v>
      </c>
      <c r="F757" s="399">
        <v>108.12904</v>
      </c>
      <c r="G757" s="36">
        <v>98.293929000000006</v>
      </c>
      <c r="H757" s="36">
        <v>118.77717</v>
      </c>
      <c r="I757" s="393">
        <v>329.81648000000001</v>
      </c>
      <c r="J757" s="399">
        <v>283.50677999999999</v>
      </c>
      <c r="K757" s="36">
        <v>174.07272</v>
      </c>
      <c r="L757" s="36">
        <v>215.37870000000001</v>
      </c>
      <c r="M757" s="393">
        <v>581.55933000000005</v>
      </c>
      <c r="N757" s="399">
        <v>76.325289999999995</v>
      </c>
      <c r="O757" s="36">
        <v>50.613917000000001</v>
      </c>
      <c r="P757" s="36">
        <v>75.408292000000003</v>
      </c>
      <c r="Q757" s="393">
        <v>184.39303000000001</v>
      </c>
      <c r="R757" s="399">
        <v>236.46233000000001</v>
      </c>
      <c r="S757" s="36">
        <v>106.91262999999999</v>
      </c>
      <c r="T757" s="36">
        <v>150.00157999999999</v>
      </c>
      <c r="U757" s="393">
        <v>421.93081999999998</v>
      </c>
    </row>
    <row r="758" spans="3:21" s="9" customFormat="1" ht="0.5" customHeight="1">
      <c r="C758" s="9" t="s">
        <v>113</v>
      </c>
      <c r="D758" s="9" t="str">
        <f t="shared" si="45"/>
        <v>Dominican Republic54</v>
      </c>
      <c r="E758" s="398">
        <v>54</v>
      </c>
      <c r="F758" s="399">
        <v>107.25651000000001</v>
      </c>
      <c r="G758" s="36">
        <v>98.866703000000001</v>
      </c>
      <c r="H758" s="36">
        <v>118.03145000000001</v>
      </c>
      <c r="I758" s="393">
        <v>328.15413999999998</v>
      </c>
      <c r="J758" s="399">
        <v>286.36169000000001</v>
      </c>
      <c r="K758" s="36">
        <v>175.46610000000001</v>
      </c>
      <c r="L758" s="36">
        <v>213.03962999999999</v>
      </c>
      <c r="M758" s="393">
        <v>579.70685000000003</v>
      </c>
      <c r="N758" s="399">
        <v>75.510850000000005</v>
      </c>
      <c r="O758" s="36">
        <v>50.651682999999998</v>
      </c>
      <c r="P758" s="36">
        <v>75.021377000000001</v>
      </c>
      <c r="Q758" s="393">
        <v>184.55850000000001</v>
      </c>
      <c r="R758" s="399">
        <v>234.71771000000001</v>
      </c>
      <c r="S758" s="36">
        <v>108.16476</v>
      </c>
      <c r="T758" s="36">
        <v>147.17742999999999</v>
      </c>
      <c r="U758" s="393">
        <v>425.04862000000003</v>
      </c>
    </row>
    <row r="759" spans="3:21" s="9" customFormat="1" ht="0.5" customHeight="1">
      <c r="C759" s="9" t="s">
        <v>113</v>
      </c>
      <c r="D759" s="9" t="str">
        <f t="shared" si="45"/>
        <v>Dominican Republic54.5</v>
      </c>
      <c r="E759" s="398">
        <v>54.5</v>
      </c>
      <c r="F759" s="399">
        <v>106.35129999999999</v>
      </c>
      <c r="G759" s="36">
        <v>99.286997999999997</v>
      </c>
      <c r="H759" s="36">
        <v>117.24876</v>
      </c>
      <c r="I759" s="393">
        <v>324.15744000000001</v>
      </c>
      <c r="J759" s="399">
        <v>288.21978999999999</v>
      </c>
      <c r="K759" s="36">
        <v>177.49435</v>
      </c>
      <c r="L759" s="36">
        <v>210.02754999999999</v>
      </c>
      <c r="M759" s="393">
        <v>580.53273000000002</v>
      </c>
      <c r="N759" s="399">
        <v>74.310614000000001</v>
      </c>
      <c r="O759" s="36">
        <v>50.822284000000003</v>
      </c>
      <c r="P759" s="36">
        <v>74.954181000000005</v>
      </c>
      <c r="Q759" s="393">
        <v>184.33322000000001</v>
      </c>
      <c r="R759" s="399">
        <v>233.0326</v>
      </c>
      <c r="S759" s="36">
        <v>109.65315</v>
      </c>
      <c r="T759" s="36">
        <v>144.06479999999999</v>
      </c>
      <c r="U759" s="393">
        <v>425.08989000000003</v>
      </c>
    </row>
    <row r="760" spans="3:21" s="9" customFormat="1" ht="0.5" customHeight="1">
      <c r="C760" s="9" t="s">
        <v>113</v>
      </c>
      <c r="D760" s="9" t="str">
        <f t="shared" si="45"/>
        <v>Dominican Republic55</v>
      </c>
      <c r="E760" s="398">
        <v>55</v>
      </c>
      <c r="F760" s="399">
        <v>104.82382</v>
      </c>
      <c r="G760" s="36">
        <v>99.447815000000006</v>
      </c>
      <c r="H760" s="36">
        <v>116.89802</v>
      </c>
      <c r="I760" s="393">
        <v>312.9427</v>
      </c>
      <c r="J760" s="399">
        <v>286.74901999999997</v>
      </c>
      <c r="K760" s="36">
        <v>180.04930999999999</v>
      </c>
      <c r="L760" s="36">
        <v>206.54437999999999</v>
      </c>
      <c r="M760" s="393">
        <v>590.25558000000001</v>
      </c>
      <c r="N760" s="399">
        <v>73.229603999999995</v>
      </c>
      <c r="O760" s="36">
        <v>51.005817999999998</v>
      </c>
      <c r="P760" s="36">
        <v>75.405705999999995</v>
      </c>
      <c r="Q760" s="393">
        <v>183.63744</v>
      </c>
      <c r="R760" s="399">
        <v>231.90271000000001</v>
      </c>
      <c r="S760" s="36">
        <v>111.72169</v>
      </c>
      <c r="T760" s="36">
        <v>140.55034000000001</v>
      </c>
      <c r="U760" s="393">
        <v>418.34696000000002</v>
      </c>
    </row>
    <row r="761" spans="3:21" s="9" customFormat="1" ht="0.5" customHeight="1">
      <c r="C761" s="9" t="s">
        <v>55</v>
      </c>
      <c r="D761" s="9" t="str">
        <f t="shared" si="45"/>
        <v>Paraguay20</v>
      </c>
      <c r="E761" s="398">
        <v>20</v>
      </c>
      <c r="F761" s="399">
        <v>80.863702000000004</v>
      </c>
      <c r="G761" s="36">
        <v>55.064424000000002</v>
      </c>
      <c r="H761" s="36">
        <v>41.056742999999997</v>
      </c>
      <c r="I761" s="393">
        <v>144.64320000000001</v>
      </c>
      <c r="J761" s="399">
        <v>87.579976000000002</v>
      </c>
      <c r="K761" s="36">
        <v>57.662925999999999</v>
      </c>
      <c r="L761" s="36">
        <v>61.248081999999997</v>
      </c>
      <c r="M761" s="393">
        <v>102.04588</v>
      </c>
      <c r="N761" s="399">
        <v>75.277821000000003</v>
      </c>
      <c r="O761" s="36">
        <v>46.036020000000001</v>
      </c>
      <c r="P761" s="36">
        <v>29.293514999999999</v>
      </c>
      <c r="Q761" s="393">
        <v>137.67582999999999</v>
      </c>
      <c r="R761" s="399">
        <v>79.612230999999994</v>
      </c>
      <c r="S761" s="36">
        <v>53.916426999999999</v>
      </c>
      <c r="T761" s="36">
        <v>44.842539000000002</v>
      </c>
      <c r="U761" s="393">
        <v>119.79940999999999</v>
      </c>
    </row>
    <row r="762" spans="3:21" s="9" customFormat="1" ht="0.5" customHeight="1">
      <c r="C762" s="9" t="s">
        <v>55</v>
      </c>
      <c r="D762" s="9" t="str">
        <f t="shared" si="45"/>
        <v>Paraguay20.5</v>
      </c>
      <c r="E762" s="398">
        <v>20.5</v>
      </c>
      <c r="F762" s="399">
        <v>82.321281999999997</v>
      </c>
      <c r="G762" s="36">
        <v>55.687804999999997</v>
      </c>
      <c r="H762" s="36">
        <v>42.188983999999998</v>
      </c>
      <c r="I762" s="393">
        <v>147.80026000000001</v>
      </c>
      <c r="J762" s="399">
        <v>89.109354999999994</v>
      </c>
      <c r="K762" s="36">
        <v>60.281998000000002</v>
      </c>
      <c r="L762" s="36">
        <v>63.089606000000003</v>
      </c>
      <c r="M762" s="393">
        <v>132.71723</v>
      </c>
      <c r="N762" s="399">
        <v>75.455783999999994</v>
      </c>
      <c r="O762" s="36">
        <v>45.979841</v>
      </c>
      <c r="P762" s="36">
        <v>29.730022999999999</v>
      </c>
      <c r="Q762" s="393">
        <v>135.77148</v>
      </c>
      <c r="R762" s="399">
        <v>80.462905000000006</v>
      </c>
      <c r="S762" s="36">
        <v>55.621487000000002</v>
      </c>
      <c r="T762" s="36">
        <v>45.623533999999999</v>
      </c>
      <c r="U762" s="393">
        <v>124.82311</v>
      </c>
    </row>
    <row r="763" spans="3:21" s="9" customFormat="1" ht="0.5" customHeight="1">
      <c r="C763" s="9" t="s">
        <v>55</v>
      </c>
      <c r="D763" s="9" t="str">
        <f t="shared" ref="D763:D826" si="46">CONCATENATE(C763,E763)</f>
        <v>Paraguay21</v>
      </c>
      <c r="E763" s="398">
        <v>21</v>
      </c>
      <c r="F763" s="399">
        <v>83.452898000000005</v>
      </c>
      <c r="G763" s="36">
        <v>56.382207999999999</v>
      </c>
      <c r="H763" s="36">
        <v>43.104762999999998</v>
      </c>
      <c r="I763" s="393">
        <v>149.50285</v>
      </c>
      <c r="J763" s="399">
        <v>90.662498999999997</v>
      </c>
      <c r="K763" s="36">
        <v>62.900289999999998</v>
      </c>
      <c r="L763" s="36">
        <v>64.996509000000003</v>
      </c>
      <c r="M763" s="393">
        <v>163.43082000000001</v>
      </c>
      <c r="N763" s="399">
        <v>75.301578000000006</v>
      </c>
      <c r="O763" s="36">
        <v>45.986626000000001</v>
      </c>
      <c r="P763" s="36">
        <v>30.085308999999999</v>
      </c>
      <c r="Q763" s="393">
        <v>134.53945999999999</v>
      </c>
      <c r="R763" s="399">
        <v>81.613822999999996</v>
      </c>
      <c r="S763" s="36">
        <v>57.281539000000002</v>
      </c>
      <c r="T763" s="36">
        <v>46.728642000000001</v>
      </c>
      <c r="U763" s="393">
        <v>129.76263</v>
      </c>
    </row>
    <row r="764" spans="3:21" s="9" customFormat="1" ht="0.5" customHeight="1">
      <c r="C764" s="9" t="s">
        <v>55</v>
      </c>
      <c r="D764" s="9" t="str">
        <f t="shared" si="46"/>
        <v>Paraguay21.5</v>
      </c>
      <c r="E764" s="398">
        <v>21.5</v>
      </c>
      <c r="F764" s="399">
        <v>84.520684000000003</v>
      </c>
      <c r="G764" s="36">
        <v>57.138207000000001</v>
      </c>
      <c r="H764" s="36">
        <v>43.904555999999999</v>
      </c>
      <c r="I764" s="393">
        <v>150.22176999999999</v>
      </c>
      <c r="J764" s="399">
        <v>92.474801999999997</v>
      </c>
      <c r="K764" s="36">
        <v>65.499184</v>
      </c>
      <c r="L764" s="36">
        <v>67.469916999999995</v>
      </c>
      <c r="M764" s="393">
        <v>180.95635999999999</v>
      </c>
      <c r="N764" s="399">
        <v>75.354973999999999</v>
      </c>
      <c r="O764" s="36">
        <v>46.028075999999999</v>
      </c>
      <c r="P764" s="36">
        <v>30.400341999999998</v>
      </c>
      <c r="Q764" s="393">
        <v>133.99100999999999</v>
      </c>
      <c r="R764" s="399">
        <v>83.064496000000005</v>
      </c>
      <c r="S764" s="36">
        <v>58.907317999999997</v>
      </c>
      <c r="T764" s="36">
        <v>48.624994000000001</v>
      </c>
      <c r="U764" s="393">
        <v>134.61063999999999</v>
      </c>
    </row>
    <row r="765" spans="3:21" s="9" customFormat="1" ht="0.5" customHeight="1">
      <c r="C765" s="9" t="s">
        <v>55</v>
      </c>
      <c r="D765" s="9" t="str">
        <f t="shared" si="46"/>
        <v>Paraguay22</v>
      </c>
      <c r="E765" s="398">
        <v>22</v>
      </c>
      <c r="F765" s="399">
        <v>85.406434000000004</v>
      </c>
      <c r="G765" s="36">
        <v>57.937674000000001</v>
      </c>
      <c r="H765" s="36">
        <v>44.563471</v>
      </c>
      <c r="I765" s="393">
        <v>150.68222</v>
      </c>
      <c r="J765" s="399">
        <v>94.533488000000006</v>
      </c>
      <c r="K765" s="36">
        <v>68.105126999999996</v>
      </c>
      <c r="L765" s="36">
        <v>70.163650000000004</v>
      </c>
      <c r="M765" s="393">
        <v>193.42027999999999</v>
      </c>
      <c r="N765" s="399">
        <v>75.424334999999999</v>
      </c>
      <c r="O765" s="36">
        <v>46.091813999999999</v>
      </c>
      <c r="P765" s="36">
        <v>30.730442</v>
      </c>
      <c r="Q765" s="393">
        <v>133.73919000000001</v>
      </c>
      <c r="R765" s="399">
        <v>84.644276000000005</v>
      </c>
      <c r="S765" s="36">
        <v>60.554406999999998</v>
      </c>
      <c r="T765" s="36">
        <v>50.735767000000003</v>
      </c>
      <c r="U765" s="393">
        <v>139.20738</v>
      </c>
    </row>
    <row r="766" spans="3:21" s="9" customFormat="1" ht="0.5" customHeight="1">
      <c r="C766" s="9" t="s">
        <v>55</v>
      </c>
      <c r="D766" s="9" t="str">
        <f t="shared" si="46"/>
        <v>Paraguay22.5</v>
      </c>
      <c r="E766" s="398">
        <v>22.5</v>
      </c>
      <c r="F766" s="399">
        <v>86.205005999999997</v>
      </c>
      <c r="G766" s="36">
        <v>58.761584999999997</v>
      </c>
      <c r="H766" s="36">
        <v>45.158620999999997</v>
      </c>
      <c r="I766" s="393">
        <v>151.63939999999999</v>
      </c>
      <c r="J766" s="399">
        <v>96.737975000000006</v>
      </c>
      <c r="K766" s="36">
        <v>70.731193000000005</v>
      </c>
      <c r="L766" s="36">
        <v>73.053179999999998</v>
      </c>
      <c r="M766" s="393">
        <v>201.39523</v>
      </c>
      <c r="N766" s="399">
        <v>75.779617000000002</v>
      </c>
      <c r="O766" s="36">
        <v>46.148544999999999</v>
      </c>
      <c r="P766" s="36">
        <v>31.094681000000001</v>
      </c>
      <c r="Q766" s="393">
        <v>133.12976</v>
      </c>
      <c r="R766" s="399">
        <v>86.209146000000004</v>
      </c>
      <c r="S766" s="36">
        <v>62.245023000000003</v>
      </c>
      <c r="T766" s="36">
        <v>52.965539</v>
      </c>
      <c r="U766" s="393">
        <v>143.64483999999999</v>
      </c>
    </row>
    <row r="767" spans="3:21" s="9" customFormat="1" ht="0.5" customHeight="1">
      <c r="C767" s="9" t="s">
        <v>55</v>
      </c>
      <c r="D767" s="9" t="str">
        <f t="shared" si="46"/>
        <v>Paraguay23</v>
      </c>
      <c r="E767" s="398">
        <v>23</v>
      </c>
      <c r="F767" s="399">
        <v>86.925798999999998</v>
      </c>
      <c r="G767" s="36">
        <v>59.597273000000001</v>
      </c>
      <c r="H767" s="36">
        <v>45.755136</v>
      </c>
      <c r="I767" s="393">
        <v>152.09989999999999</v>
      </c>
      <c r="J767" s="399">
        <v>99.005472999999995</v>
      </c>
      <c r="K767" s="36">
        <v>73.377830000000003</v>
      </c>
      <c r="L767" s="36">
        <v>75.857157000000001</v>
      </c>
      <c r="M767" s="393">
        <v>207.25684999999999</v>
      </c>
      <c r="N767" s="399">
        <v>76.334962000000004</v>
      </c>
      <c r="O767" s="36">
        <v>46.172656000000003</v>
      </c>
      <c r="P767" s="36">
        <v>31.472529999999999</v>
      </c>
      <c r="Q767" s="393">
        <v>132.23147</v>
      </c>
      <c r="R767" s="399">
        <v>87.804895000000002</v>
      </c>
      <c r="S767" s="36">
        <v>63.984954999999999</v>
      </c>
      <c r="T767" s="36">
        <v>55.060974000000002</v>
      </c>
      <c r="U767" s="393">
        <v>148.43690000000001</v>
      </c>
    </row>
    <row r="768" spans="3:21" s="9" customFormat="1" ht="0.5" customHeight="1">
      <c r="C768" s="9" t="s">
        <v>55</v>
      </c>
      <c r="D768" s="9" t="str">
        <f t="shared" si="46"/>
        <v>Paraguay23.5</v>
      </c>
      <c r="E768" s="398">
        <v>23.5</v>
      </c>
      <c r="F768" s="399">
        <v>87.604731000000001</v>
      </c>
      <c r="G768" s="36">
        <v>60.417327</v>
      </c>
      <c r="H768" s="36">
        <v>46.339801999999999</v>
      </c>
      <c r="I768" s="393">
        <v>152.0035</v>
      </c>
      <c r="J768" s="399">
        <v>101.24274</v>
      </c>
      <c r="K768" s="36">
        <v>75.947188999999995</v>
      </c>
      <c r="L768" s="36">
        <v>78.531109000000001</v>
      </c>
      <c r="M768" s="393">
        <v>212.08277000000001</v>
      </c>
      <c r="N768" s="399">
        <v>77.010338000000004</v>
      </c>
      <c r="O768" s="36">
        <v>46.160215000000001</v>
      </c>
      <c r="P768" s="36">
        <v>31.864599999999999</v>
      </c>
      <c r="Q768" s="393">
        <v>130.66300000000001</v>
      </c>
      <c r="R768" s="399">
        <v>89.464011999999997</v>
      </c>
      <c r="S768" s="36">
        <v>65.745239999999995</v>
      </c>
      <c r="T768" s="36">
        <v>57.015318999999998</v>
      </c>
      <c r="U768" s="393">
        <v>153.24171999999999</v>
      </c>
    </row>
    <row r="769" spans="3:21" s="9" customFormat="1" ht="0.5" customHeight="1">
      <c r="C769" s="9" t="s">
        <v>55</v>
      </c>
      <c r="D769" s="9" t="str">
        <f t="shared" si="46"/>
        <v>Paraguay24</v>
      </c>
      <c r="E769" s="398">
        <v>24</v>
      </c>
      <c r="F769" s="399">
        <v>88.252578999999997</v>
      </c>
      <c r="G769" s="36">
        <v>61.205022999999997</v>
      </c>
      <c r="H769" s="36">
        <v>46.905833999999999</v>
      </c>
      <c r="I769" s="393">
        <v>151.87371999999999</v>
      </c>
      <c r="J769" s="399">
        <v>103.45975</v>
      </c>
      <c r="K769" s="36">
        <v>78.474013999999997</v>
      </c>
      <c r="L769" s="36">
        <v>81.064093</v>
      </c>
      <c r="M769" s="393">
        <v>216.44372999999999</v>
      </c>
      <c r="N769" s="399">
        <v>77.740092000000004</v>
      </c>
      <c r="O769" s="36">
        <v>46.124184</v>
      </c>
      <c r="P769" s="36">
        <v>32.232748000000001</v>
      </c>
      <c r="Q769" s="393">
        <v>128.86322000000001</v>
      </c>
      <c r="R769" s="399">
        <v>91.122337999999999</v>
      </c>
      <c r="S769" s="36">
        <v>67.513617999999994</v>
      </c>
      <c r="T769" s="36">
        <v>58.821063000000002</v>
      </c>
      <c r="U769" s="393">
        <v>157.49336</v>
      </c>
    </row>
    <row r="770" spans="3:21" s="9" customFormat="1" ht="0.5" customHeight="1">
      <c r="C770" s="9" t="s">
        <v>55</v>
      </c>
      <c r="D770" s="9" t="str">
        <f t="shared" si="46"/>
        <v>Paraguay24.5</v>
      </c>
      <c r="E770" s="398">
        <v>24.5</v>
      </c>
      <c r="F770" s="399">
        <v>88.873435999999998</v>
      </c>
      <c r="G770" s="36">
        <v>61.989722</v>
      </c>
      <c r="H770" s="36">
        <v>47.444234999999999</v>
      </c>
      <c r="I770" s="393">
        <v>151.66417999999999</v>
      </c>
      <c r="J770" s="399">
        <v>105.66692</v>
      </c>
      <c r="K770" s="36">
        <v>80.931905999999998</v>
      </c>
      <c r="L770" s="36">
        <v>83.553150000000002</v>
      </c>
      <c r="M770" s="393">
        <v>220.88038</v>
      </c>
      <c r="N770" s="399">
        <v>78.449387999999999</v>
      </c>
      <c r="O770" s="36">
        <v>46.069096999999999</v>
      </c>
      <c r="P770" s="36">
        <v>32.576709000000001</v>
      </c>
      <c r="Q770" s="393">
        <v>127.26482</v>
      </c>
      <c r="R770" s="399">
        <v>92.760267999999996</v>
      </c>
      <c r="S770" s="36">
        <v>69.263739999999999</v>
      </c>
      <c r="T770" s="36">
        <v>60.548402000000003</v>
      </c>
      <c r="U770" s="393">
        <v>161.31694999999999</v>
      </c>
    </row>
    <row r="771" spans="3:21" s="9" customFormat="1" ht="0.5" customHeight="1">
      <c r="C771" s="9" t="s">
        <v>55</v>
      </c>
      <c r="D771" s="9" t="str">
        <f t="shared" si="46"/>
        <v>Paraguay25</v>
      </c>
      <c r="E771" s="398">
        <v>25</v>
      </c>
      <c r="F771" s="399">
        <v>89.470320000000001</v>
      </c>
      <c r="G771" s="36">
        <v>62.783873</v>
      </c>
      <c r="H771" s="36">
        <v>47.965390999999997</v>
      </c>
      <c r="I771" s="393">
        <v>151.60724999999999</v>
      </c>
      <c r="J771" s="399">
        <v>107.86295</v>
      </c>
      <c r="K771" s="36">
        <v>83.368668999999997</v>
      </c>
      <c r="L771" s="36">
        <v>85.986519999999999</v>
      </c>
      <c r="M771" s="393">
        <v>226.26034999999999</v>
      </c>
      <c r="N771" s="399">
        <v>79.144369999999995</v>
      </c>
      <c r="O771" s="36">
        <v>46.009538999999997</v>
      </c>
      <c r="P771" s="36">
        <v>32.913836000000003</v>
      </c>
      <c r="Q771" s="393">
        <v>125.79603</v>
      </c>
      <c r="R771" s="399">
        <v>94.378099000000006</v>
      </c>
      <c r="S771" s="36">
        <v>70.941489000000004</v>
      </c>
      <c r="T771" s="36">
        <v>62.264181999999998</v>
      </c>
      <c r="U771" s="393">
        <v>164.63237000000001</v>
      </c>
    </row>
    <row r="772" spans="3:21" s="9" customFormat="1" ht="0.5" customHeight="1">
      <c r="C772" s="9" t="s">
        <v>55</v>
      </c>
      <c r="D772" s="9" t="str">
        <f t="shared" si="46"/>
        <v>Paraguay25.5</v>
      </c>
      <c r="E772" s="398">
        <v>25.5</v>
      </c>
      <c r="F772" s="399">
        <v>90.071000999999995</v>
      </c>
      <c r="G772" s="36">
        <v>63.529235999999997</v>
      </c>
      <c r="H772" s="36">
        <v>48.475047000000004</v>
      </c>
      <c r="I772" s="393">
        <v>151.62383</v>
      </c>
      <c r="J772" s="399">
        <v>110.10402999999999</v>
      </c>
      <c r="K772" s="36">
        <v>85.795012</v>
      </c>
      <c r="L772" s="36">
        <v>88.415246999999994</v>
      </c>
      <c r="M772" s="393">
        <v>232.32651000000001</v>
      </c>
      <c r="N772" s="399">
        <v>79.833916000000002</v>
      </c>
      <c r="O772" s="36">
        <v>45.962072999999997</v>
      </c>
      <c r="P772" s="36">
        <v>33.259259</v>
      </c>
      <c r="Q772" s="393">
        <v>124.42384</v>
      </c>
      <c r="R772" s="399">
        <v>96.001891000000001</v>
      </c>
      <c r="S772" s="36">
        <v>72.588564000000005</v>
      </c>
      <c r="T772" s="36">
        <v>64.022295999999997</v>
      </c>
      <c r="U772" s="393">
        <v>167.59437</v>
      </c>
    </row>
    <row r="773" spans="3:21" s="9" customFormat="1" ht="0.5" customHeight="1">
      <c r="C773" s="9" t="s">
        <v>55</v>
      </c>
      <c r="D773" s="9" t="str">
        <f t="shared" si="46"/>
        <v>Paraguay26</v>
      </c>
      <c r="E773" s="398">
        <v>26</v>
      </c>
      <c r="F773" s="399">
        <v>90.670928000000004</v>
      </c>
      <c r="G773" s="36">
        <v>64.212794000000002</v>
      </c>
      <c r="H773" s="36">
        <v>49.009734000000002</v>
      </c>
      <c r="I773" s="393">
        <v>151.84703999999999</v>
      </c>
      <c r="J773" s="399">
        <v>112.46263</v>
      </c>
      <c r="K773" s="36">
        <v>88.210590999999994</v>
      </c>
      <c r="L773" s="36">
        <v>90.991088000000005</v>
      </c>
      <c r="M773" s="393">
        <v>238.00269</v>
      </c>
      <c r="N773" s="399">
        <v>80.440883999999997</v>
      </c>
      <c r="O773" s="36">
        <v>45.907746000000003</v>
      </c>
      <c r="P773" s="36">
        <v>33.621983</v>
      </c>
      <c r="Q773" s="393">
        <v>123.15777</v>
      </c>
      <c r="R773" s="399">
        <v>97.657529999999994</v>
      </c>
      <c r="S773" s="36">
        <v>74.137741000000005</v>
      </c>
      <c r="T773" s="36">
        <v>65.831537999999995</v>
      </c>
      <c r="U773" s="393">
        <v>170.31361999999999</v>
      </c>
    </row>
    <row r="774" spans="3:21" s="9" customFormat="1" ht="0.5" customHeight="1">
      <c r="C774" s="9" t="s">
        <v>55</v>
      </c>
      <c r="D774" s="9" t="str">
        <f t="shared" si="46"/>
        <v>Paraguay26.5</v>
      </c>
      <c r="E774" s="398">
        <v>26.5</v>
      </c>
      <c r="F774" s="399">
        <v>91.307838000000004</v>
      </c>
      <c r="G774" s="36">
        <v>64.876795999999999</v>
      </c>
      <c r="H774" s="36">
        <v>49.635848000000003</v>
      </c>
      <c r="I774" s="393">
        <v>152.22951</v>
      </c>
      <c r="J774" s="399">
        <v>114.88467</v>
      </c>
      <c r="K774" s="36">
        <v>90.415418000000003</v>
      </c>
      <c r="L774" s="36">
        <v>93.562194000000005</v>
      </c>
      <c r="M774" s="393">
        <v>243.67926</v>
      </c>
      <c r="N774" s="399">
        <v>80.991810000000001</v>
      </c>
      <c r="O774" s="36">
        <v>45.834257999999998</v>
      </c>
      <c r="P774" s="36">
        <v>33.995458999999997</v>
      </c>
      <c r="Q774" s="393">
        <v>122.00799000000001</v>
      </c>
      <c r="R774" s="399">
        <v>99.280327999999997</v>
      </c>
      <c r="S774" s="36">
        <v>75.665761000000003</v>
      </c>
      <c r="T774" s="36">
        <v>67.594609000000005</v>
      </c>
      <c r="U774" s="393">
        <v>172.79854</v>
      </c>
    </row>
    <row r="775" spans="3:21" s="9" customFormat="1" ht="0.5" customHeight="1">
      <c r="C775" s="9" t="s">
        <v>55</v>
      </c>
      <c r="D775" s="9" t="str">
        <f t="shared" si="46"/>
        <v>Paraguay27</v>
      </c>
      <c r="E775" s="398">
        <v>27</v>
      </c>
      <c r="F775" s="399">
        <v>91.951662999999996</v>
      </c>
      <c r="G775" s="36">
        <v>65.462779999999995</v>
      </c>
      <c r="H775" s="36">
        <v>50.282243000000001</v>
      </c>
      <c r="I775" s="393">
        <v>152.76585</v>
      </c>
      <c r="J775" s="399">
        <v>117.23786</v>
      </c>
      <c r="K775" s="36">
        <v>92.543914999999998</v>
      </c>
      <c r="L775" s="36">
        <v>95.940573000000001</v>
      </c>
      <c r="M775" s="393">
        <v>248.31347</v>
      </c>
      <c r="N775" s="399">
        <v>81.470029999999994</v>
      </c>
      <c r="O775" s="36">
        <v>45.761977000000002</v>
      </c>
      <c r="P775" s="36">
        <v>34.376362</v>
      </c>
      <c r="Q775" s="393">
        <v>120.99138000000001</v>
      </c>
      <c r="R775" s="399">
        <v>100.84634</v>
      </c>
      <c r="S775" s="36">
        <v>77.155584000000005</v>
      </c>
      <c r="T775" s="36">
        <v>69.290524000000005</v>
      </c>
      <c r="U775" s="393">
        <v>175.05678</v>
      </c>
    </row>
    <row r="776" spans="3:21" s="9" customFormat="1" ht="0.5" customHeight="1">
      <c r="C776" s="9" t="s">
        <v>55</v>
      </c>
      <c r="D776" s="9" t="str">
        <f t="shared" si="46"/>
        <v>Paraguay27.5</v>
      </c>
      <c r="E776" s="398">
        <v>27.5</v>
      </c>
      <c r="F776" s="399">
        <v>92.607080999999994</v>
      </c>
      <c r="G776" s="36">
        <v>65.989085000000003</v>
      </c>
      <c r="H776" s="36">
        <v>50.940792000000002</v>
      </c>
      <c r="I776" s="393">
        <v>153.55649</v>
      </c>
      <c r="J776" s="399">
        <v>119.51499</v>
      </c>
      <c r="K776" s="36">
        <v>94.643017</v>
      </c>
      <c r="L776" s="36">
        <v>98.310586999999998</v>
      </c>
      <c r="M776" s="393">
        <v>252.63288</v>
      </c>
      <c r="N776" s="399">
        <v>81.906239999999997</v>
      </c>
      <c r="O776" s="36">
        <v>45.696556000000001</v>
      </c>
      <c r="P776" s="36">
        <v>34.764437999999998</v>
      </c>
      <c r="Q776" s="393">
        <v>120.10249</v>
      </c>
      <c r="R776" s="399">
        <v>102.37125</v>
      </c>
      <c r="S776" s="36">
        <v>78.562029999999993</v>
      </c>
      <c r="T776" s="36">
        <v>70.761283000000006</v>
      </c>
      <c r="U776" s="393">
        <v>177.17561000000001</v>
      </c>
    </row>
    <row r="777" spans="3:21" s="9" customFormat="1" ht="0.5" customHeight="1">
      <c r="C777" s="9" t="s">
        <v>55</v>
      </c>
      <c r="D777" s="9" t="str">
        <f t="shared" si="46"/>
        <v>Paraguay28</v>
      </c>
      <c r="E777" s="398">
        <v>28</v>
      </c>
      <c r="F777" s="399">
        <v>93.263497000000001</v>
      </c>
      <c r="G777" s="36">
        <v>66.464185999999998</v>
      </c>
      <c r="H777" s="36">
        <v>51.559843999999998</v>
      </c>
      <c r="I777" s="393">
        <v>154.52686</v>
      </c>
      <c r="J777" s="399">
        <v>121.80534</v>
      </c>
      <c r="K777" s="36">
        <v>96.737779000000003</v>
      </c>
      <c r="L777" s="36">
        <v>100.6283</v>
      </c>
      <c r="M777" s="393">
        <v>255.50915000000001</v>
      </c>
      <c r="N777" s="399">
        <v>82.261696000000001</v>
      </c>
      <c r="O777" s="36">
        <v>45.633591000000003</v>
      </c>
      <c r="P777" s="36">
        <v>35.140911000000003</v>
      </c>
      <c r="Q777" s="393">
        <v>119.10154</v>
      </c>
      <c r="R777" s="399">
        <v>103.8501</v>
      </c>
      <c r="S777" s="36">
        <v>79.717625999999996</v>
      </c>
      <c r="T777" s="36">
        <v>72.084164000000001</v>
      </c>
      <c r="U777" s="393">
        <v>179.25359</v>
      </c>
    </row>
    <row r="778" spans="3:21" s="9" customFormat="1" ht="0.5" customHeight="1">
      <c r="C778" s="9" t="s">
        <v>55</v>
      </c>
      <c r="D778" s="9" t="str">
        <f t="shared" si="46"/>
        <v>Paraguay28.5</v>
      </c>
      <c r="E778" s="398">
        <v>28.5</v>
      </c>
      <c r="F778" s="399">
        <v>93.866930999999994</v>
      </c>
      <c r="G778" s="36">
        <v>66.905337000000003</v>
      </c>
      <c r="H778" s="36">
        <v>52.071652</v>
      </c>
      <c r="I778" s="393">
        <v>155.43974</v>
      </c>
      <c r="J778" s="399">
        <v>124.13372</v>
      </c>
      <c r="K778" s="36">
        <v>98.886259999999993</v>
      </c>
      <c r="L778" s="36">
        <v>102.93599</v>
      </c>
      <c r="M778" s="393">
        <v>258.20843000000002</v>
      </c>
      <c r="N778" s="399">
        <v>82.599813999999995</v>
      </c>
      <c r="O778" s="36">
        <v>45.569383999999999</v>
      </c>
      <c r="P778" s="36">
        <v>35.49794</v>
      </c>
      <c r="Q778" s="393">
        <v>118.16942</v>
      </c>
      <c r="R778" s="399">
        <v>105.35872999999999</v>
      </c>
      <c r="S778" s="36">
        <v>80.923411000000002</v>
      </c>
      <c r="T778" s="36">
        <v>73.426732999999999</v>
      </c>
      <c r="U778" s="393">
        <v>181.46055999999999</v>
      </c>
    </row>
    <row r="779" spans="3:21" s="9" customFormat="1" ht="0.5" customHeight="1">
      <c r="C779" s="9" t="s">
        <v>55</v>
      </c>
      <c r="D779" s="9" t="str">
        <f t="shared" si="46"/>
        <v>Paraguay29</v>
      </c>
      <c r="E779" s="398">
        <v>29</v>
      </c>
      <c r="F779" s="399">
        <v>94.471594999999994</v>
      </c>
      <c r="G779" s="36">
        <v>67.289912999999999</v>
      </c>
      <c r="H779" s="36">
        <v>52.574053999999997</v>
      </c>
      <c r="I779" s="393">
        <v>156.44542999999999</v>
      </c>
      <c r="J779" s="399">
        <v>126.38952</v>
      </c>
      <c r="K779" s="36">
        <v>101.07362999999999</v>
      </c>
      <c r="L779" s="36">
        <v>104.93277999999999</v>
      </c>
      <c r="M779" s="393">
        <v>261.47705999999999</v>
      </c>
      <c r="N779" s="399">
        <v>82.909773000000001</v>
      </c>
      <c r="O779" s="36">
        <v>45.514831999999998</v>
      </c>
      <c r="P779" s="36">
        <v>35.863526</v>
      </c>
      <c r="Q779" s="393">
        <v>118.25511</v>
      </c>
      <c r="R779" s="399">
        <v>106.88494</v>
      </c>
      <c r="S779" s="36">
        <v>82.284582</v>
      </c>
      <c r="T779" s="36">
        <v>74.792929000000001</v>
      </c>
      <c r="U779" s="393">
        <v>183.69578999999999</v>
      </c>
    </row>
    <row r="780" spans="3:21" s="9" customFormat="1" ht="0.5" customHeight="1">
      <c r="C780" s="9" t="s">
        <v>55</v>
      </c>
      <c r="D780" s="9" t="str">
        <f t="shared" si="46"/>
        <v>Paraguay29.5</v>
      </c>
      <c r="E780" s="398">
        <v>29.5</v>
      </c>
      <c r="F780" s="399">
        <v>95.040216999999998</v>
      </c>
      <c r="G780" s="36">
        <v>67.584192000000002</v>
      </c>
      <c r="H780" s="36">
        <v>53.083956000000001</v>
      </c>
      <c r="I780" s="393">
        <v>157.51376999999999</v>
      </c>
      <c r="J780" s="399">
        <v>128.52297999999999</v>
      </c>
      <c r="K780" s="36">
        <v>103.32633</v>
      </c>
      <c r="L780" s="36">
        <v>106.90881</v>
      </c>
      <c r="M780" s="393">
        <v>265.05520999999999</v>
      </c>
      <c r="N780" s="399">
        <v>83.211725000000001</v>
      </c>
      <c r="O780" s="36">
        <v>45.489958999999999</v>
      </c>
      <c r="P780" s="36">
        <v>36.226086000000002</v>
      </c>
      <c r="Q780" s="393">
        <v>118.74709</v>
      </c>
      <c r="R780" s="399">
        <v>108.35661</v>
      </c>
      <c r="S780" s="36">
        <v>83.574134999999998</v>
      </c>
      <c r="T780" s="36">
        <v>76.136392999999998</v>
      </c>
      <c r="U780" s="393">
        <v>185.79119</v>
      </c>
    </row>
    <row r="781" spans="3:21" s="9" customFormat="1" ht="0.5" customHeight="1">
      <c r="C781" s="9" t="s">
        <v>55</v>
      </c>
      <c r="D781" s="9" t="str">
        <f t="shared" si="46"/>
        <v>Paraguay30</v>
      </c>
      <c r="E781" s="398">
        <v>30</v>
      </c>
      <c r="F781" s="399">
        <v>95.607849999999999</v>
      </c>
      <c r="G781" s="36">
        <v>67.780957999999998</v>
      </c>
      <c r="H781" s="36">
        <v>53.586472999999998</v>
      </c>
      <c r="I781" s="393">
        <v>158.53666999999999</v>
      </c>
      <c r="J781" s="399">
        <v>130.71959000000001</v>
      </c>
      <c r="K781" s="36">
        <v>105.57811</v>
      </c>
      <c r="L781" s="36">
        <v>109.02338</v>
      </c>
      <c r="M781" s="393">
        <v>270.83940999999999</v>
      </c>
      <c r="N781" s="399">
        <v>83.407787999999996</v>
      </c>
      <c r="O781" s="36">
        <v>45.465097</v>
      </c>
      <c r="P781" s="36">
        <v>36.595326999999997</v>
      </c>
      <c r="Q781" s="393">
        <v>118.95063</v>
      </c>
      <c r="R781" s="399">
        <v>109.75413</v>
      </c>
      <c r="S781" s="36">
        <v>84.707295999999999</v>
      </c>
      <c r="T781" s="36">
        <v>77.468688999999998</v>
      </c>
      <c r="U781" s="393">
        <v>187.85159999999999</v>
      </c>
    </row>
    <row r="782" spans="3:21" s="9" customFormat="1" ht="0.5" customHeight="1">
      <c r="C782" s="9" t="s">
        <v>55</v>
      </c>
      <c r="D782" s="9" t="str">
        <f t="shared" si="46"/>
        <v>Paraguay30.5</v>
      </c>
      <c r="E782" s="398">
        <v>30.5</v>
      </c>
      <c r="F782" s="399">
        <v>96.180257999999995</v>
      </c>
      <c r="G782" s="36">
        <v>67.931016</v>
      </c>
      <c r="H782" s="36">
        <v>54.178337999999997</v>
      </c>
      <c r="I782" s="393">
        <v>159.54284999999999</v>
      </c>
      <c r="J782" s="399">
        <v>133.00738000000001</v>
      </c>
      <c r="K782" s="36">
        <v>107.66463</v>
      </c>
      <c r="L782" s="36">
        <v>111.12278999999999</v>
      </c>
      <c r="M782" s="393">
        <v>276.68952999999999</v>
      </c>
      <c r="N782" s="399">
        <v>83.526942000000005</v>
      </c>
      <c r="O782" s="36">
        <v>45.435094999999997</v>
      </c>
      <c r="P782" s="36">
        <v>36.978853999999998</v>
      </c>
      <c r="Q782" s="393">
        <v>119.03792</v>
      </c>
      <c r="R782" s="399">
        <v>111.0868</v>
      </c>
      <c r="S782" s="36">
        <v>85.803777999999994</v>
      </c>
      <c r="T782" s="36">
        <v>78.833404999999999</v>
      </c>
      <c r="U782" s="393">
        <v>189.94596999999999</v>
      </c>
    </row>
    <row r="783" spans="3:21" s="9" customFormat="1" ht="0.5" customHeight="1">
      <c r="C783" s="9" t="s">
        <v>55</v>
      </c>
      <c r="D783" s="9" t="str">
        <f t="shared" si="46"/>
        <v>Paraguay31</v>
      </c>
      <c r="E783" s="398">
        <v>31</v>
      </c>
      <c r="F783" s="399">
        <v>96.753615999999994</v>
      </c>
      <c r="G783" s="36">
        <v>68.028094999999993</v>
      </c>
      <c r="H783" s="36">
        <v>54.800567999999998</v>
      </c>
      <c r="I783" s="393">
        <v>160.50271000000001</v>
      </c>
      <c r="J783" s="399">
        <v>135.29123000000001</v>
      </c>
      <c r="K783" s="36">
        <v>109.71366999999999</v>
      </c>
      <c r="L783" s="36">
        <v>112.55958</v>
      </c>
      <c r="M783" s="393">
        <v>282.53253999999998</v>
      </c>
      <c r="N783" s="399">
        <v>83.580506999999997</v>
      </c>
      <c r="O783" s="36">
        <v>45.401860999999997</v>
      </c>
      <c r="P783" s="36">
        <v>37.347732999999998</v>
      </c>
      <c r="Q783" s="393">
        <v>118.92864</v>
      </c>
      <c r="R783" s="399">
        <v>112.28748</v>
      </c>
      <c r="S783" s="36">
        <v>86.783711999999994</v>
      </c>
      <c r="T783" s="36">
        <v>80.220860000000002</v>
      </c>
      <c r="U783" s="393">
        <v>192.10073</v>
      </c>
    </row>
    <row r="784" spans="3:21" s="9" customFormat="1" ht="0.5" customHeight="1">
      <c r="C784" s="9" t="s">
        <v>55</v>
      </c>
      <c r="D784" s="9" t="str">
        <f t="shared" si="46"/>
        <v>Paraguay31.5</v>
      </c>
      <c r="E784" s="398">
        <v>31.5</v>
      </c>
      <c r="F784" s="399">
        <v>97.366831000000005</v>
      </c>
      <c r="G784" s="36">
        <v>68.087177999999994</v>
      </c>
      <c r="H784" s="36">
        <v>55.365096000000001</v>
      </c>
      <c r="I784" s="393">
        <v>161.25048000000001</v>
      </c>
      <c r="J784" s="399">
        <v>137.63247000000001</v>
      </c>
      <c r="K784" s="36">
        <v>111.4551</v>
      </c>
      <c r="L784" s="36">
        <v>114.0189</v>
      </c>
      <c r="M784" s="393">
        <v>288.41978</v>
      </c>
      <c r="N784" s="399">
        <v>83.635722999999999</v>
      </c>
      <c r="O784" s="36">
        <v>45.366725000000002</v>
      </c>
      <c r="P784" s="36">
        <v>37.718575000000001</v>
      </c>
      <c r="Q784" s="393">
        <v>118.74639999999999</v>
      </c>
      <c r="R784" s="399">
        <v>113.40531</v>
      </c>
      <c r="S784" s="36">
        <v>87.633088000000001</v>
      </c>
      <c r="T784" s="36">
        <v>81.441678999999993</v>
      </c>
      <c r="U784" s="393">
        <v>194.29220000000001</v>
      </c>
    </row>
    <row r="785" spans="3:21" s="9" customFormat="1" ht="0.5" customHeight="1">
      <c r="C785" s="9" t="s">
        <v>55</v>
      </c>
      <c r="D785" s="9" t="str">
        <f t="shared" si="46"/>
        <v>Paraguay32</v>
      </c>
      <c r="E785" s="398">
        <v>32</v>
      </c>
      <c r="F785" s="399">
        <v>97.980828000000002</v>
      </c>
      <c r="G785" s="36">
        <v>68.106921999999997</v>
      </c>
      <c r="H785" s="36">
        <v>55.923476999999998</v>
      </c>
      <c r="I785" s="393">
        <v>161.87681000000001</v>
      </c>
      <c r="J785" s="399">
        <v>140.05463</v>
      </c>
      <c r="K785" s="36">
        <v>113.10817</v>
      </c>
      <c r="L785" s="36">
        <v>115.37241</v>
      </c>
      <c r="M785" s="393">
        <v>293.28007000000002</v>
      </c>
      <c r="N785" s="399">
        <v>83.669432999999998</v>
      </c>
      <c r="O785" s="36">
        <v>45.334933999999997</v>
      </c>
      <c r="P785" s="36">
        <v>38.098990000000001</v>
      </c>
      <c r="Q785" s="393">
        <v>118.76451</v>
      </c>
      <c r="R785" s="399">
        <v>114.43583</v>
      </c>
      <c r="S785" s="36">
        <v>88.115606999999997</v>
      </c>
      <c r="T785" s="36">
        <v>82.534555999999995</v>
      </c>
      <c r="U785" s="393">
        <v>196.51876999999999</v>
      </c>
    </row>
    <row r="786" spans="3:21" s="9" customFormat="1" ht="0.5" customHeight="1">
      <c r="C786" s="9" t="s">
        <v>55</v>
      </c>
      <c r="D786" s="9" t="str">
        <f t="shared" si="46"/>
        <v>Paraguay32.5</v>
      </c>
      <c r="E786" s="398">
        <v>32.5</v>
      </c>
      <c r="F786" s="399">
        <v>98.539365000000004</v>
      </c>
      <c r="G786" s="36">
        <v>68.169549000000004</v>
      </c>
      <c r="H786" s="36">
        <v>56.502564999999997</v>
      </c>
      <c r="I786" s="393">
        <v>162.06189000000001</v>
      </c>
      <c r="J786" s="399">
        <v>142.52753999999999</v>
      </c>
      <c r="K786" s="36">
        <v>114.6224</v>
      </c>
      <c r="L786" s="36">
        <v>116.72447</v>
      </c>
      <c r="M786" s="393">
        <v>298.07344000000001</v>
      </c>
      <c r="N786" s="399">
        <v>83.694730000000007</v>
      </c>
      <c r="O786" s="36">
        <v>45.330798000000001</v>
      </c>
      <c r="P786" s="36">
        <v>38.451425999999998</v>
      </c>
      <c r="Q786" s="393">
        <v>118.86917</v>
      </c>
      <c r="R786" s="399">
        <v>115.43944999999999</v>
      </c>
      <c r="S786" s="36">
        <v>88.602631000000002</v>
      </c>
      <c r="T786" s="36">
        <v>83.445803999999995</v>
      </c>
      <c r="U786" s="393">
        <v>198.75124</v>
      </c>
    </row>
    <row r="787" spans="3:21" s="9" customFormat="1" ht="0.5" customHeight="1">
      <c r="C787" s="9" t="s">
        <v>55</v>
      </c>
      <c r="D787" s="9" t="str">
        <f t="shared" si="46"/>
        <v>Paraguay33</v>
      </c>
      <c r="E787" s="398">
        <v>33</v>
      </c>
      <c r="F787" s="399">
        <v>99.098258999999999</v>
      </c>
      <c r="G787" s="36">
        <v>68.284586000000004</v>
      </c>
      <c r="H787" s="36">
        <v>57.057364</v>
      </c>
      <c r="I787" s="393">
        <v>162.22791000000001</v>
      </c>
      <c r="J787" s="399">
        <v>145.07196999999999</v>
      </c>
      <c r="K787" s="36">
        <v>116.07962000000001</v>
      </c>
      <c r="L787" s="36">
        <v>117.52816</v>
      </c>
      <c r="M787" s="393">
        <v>300.61507</v>
      </c>
      <c r="N787" s="399">
        <v>83.725886000000003</v>
      </c>
      <c r="O787" s="36">
        <v>45.329329999999999</v>
      </c>
      <c r="P787" s="36">
        <v>38.784098999999998</v>
      </c>
      <c r="Q787" s="393">
        <v>118.98269000000001</v>
      </c>
      <c r="R787" s="399">
        <v>116.437</v>
      </c>
      <c r="S787" s="36">
        <v>89.153047000000001</v>
      </c>
      <c r="T787" s="36">
        <v>84.224855000000005</v>
      </c>
      <c r="U787" s="393">
        <v>200.93441999999999</v>
      </c>
    </row>
    <row r="788" spans="3:21" s="9" customFormat="1" ht="0.5" customHeight="1">
      <c r="C788" s="9" t="s">
        <v>55</v>
      </c>
      <c r="D788" s="9" t="str">
        <f t="shared" si="46"/>
        <v>Paraguay33.5</v>
      </c>
      <c r="E788" s="398">
        <v>33.5</v>
      </c>
      <c r="F788" s="399">
        <v>99.666435000000007</v>
      </c>
      <c r="G788" s="36">
        <v>68.390778999999995</v>
      </c>
      <c r="H788" s="36">
        <v>57.521838000000002</v>
      </c>
      <c r="I788" s="393">
        <v>162.78136000000001</v>
      </c>
      <c r="J788" s="399">
        <v>147.61959999999999</v>
      </c>
      <c r="K788" s="36">
        <v>116.76581</v>
      </c>
      <c r="L788" s="36">
        <v>118.42494000000001</v>
      </c>
      <c r="M788" s="393">
        <v>302.58841000000001</v>
      </c>
      <c r="N788" s="399">
        <v>83.754992000000001</v>
      </c>
      <c r="O788" s="36">
        <v>45.340361999999999</v>
      </c>
      <c r="P788" s="36">
        <v>39.107762000000001</v>
      </c>
      <c r="Q788" s="393">
        <v>119.10444</v>
      </c>
      <c r="R788" s="399">
        <v>117.40067999999999</v>
      </c>
      <c r="S788" s="36">
        <v>89.692699000000005</v>
      </c>
      <c r="T788" s="36">
        <v>84.719734000000003</v>
      </c>
      <c r="U788" s="393">
        <v>203.22878</v>
      </c>
    </row>
    <row r="789" spans="3:21" s="9" customFormat="1" ht="0.5" customHeight="1">
      <c r="C789" s="9" t="s">
        <v>55</v>
      </c>
      <c r="D789" s="9" t="str">
        <f t="shared" si="46"/>
        <v>Paraguay34</v>
      </c>
      <c r="E789" s="398">
        <v>34</v>
      </c>
      <c r="F789" s="399">
        <v>100.23672000000001</v>
      </c>
      <c r="G789" s="36">
        <v>68.536201000000005</v>
      </c>
      <c r="H789" s="36">
        <v>57.971896000000001</v>
      </c>
      <c r="I789" s="393">
        <v>163.26990000000001</v>
      </c>
      <c r="J789" s="399">
        <v>150.24651</v>
      </c>
      <c r="K789" s="36">
        <v>117.26309999999999</v>
      </c>
      <c r="L789" s="36">
        <v>118.64157</v>
      </c>
      <c r="M789" s="393">
        <v>303.51227999999998</v>
      </c>
      <c r="N789" s="399">
        <v>83.669387999999998</v>
      </c>
      <c r="O789" s="36">
        <v>45.348795000000003</v>
      </c>
      <c r="P789" s="36">
        <v>39.424081999999999</v>
      </c>
      <c r="Q789" s="393">
        <v>119.30212</v>
      </c>
      <c r="R789" s="399">
        <v>118.31440000000001</v>
      </c>
      <c r="S789" s="36">
        <v>90.216761000000005</v>
      </c>
      <c r="T789" s="36">
        <v>85.258932999999999</v>
      </c>
      <c r="U789" s="393">
        <v>205.56618</v>
      </c>
    </row>
    <row r="790" spans="3:21" s="9" customFormat="1" ht="0.5" customHeight="1">
      <c r="C790" s="9" t="s">
        <v>55</v>
      </c>
      <c r="D790" s="9" t="str">
        <f t="shared" si="46"/>
        <v>Paraguay34.5</v>
      </c>
      <c r="E790" s="398">
        <v>34.5</v>
      </c>
      <c r="F790" s="399">
        <v>100.83326</v>
      </c>
      <c r="G790" s="36">
        <v>68.696513999999993</v>
      </c>
      <c r="H790" s="36">
        <v>58.360196000000002</v>
      </c>
      <c r="I790" s="393">
        <v>163.99474000000001</v>
      </c>
      <c r="J790" s="399">
        <v>152.99633</v>
      </c>
      <c r="K790" s="36">
        <v>117.74338</v>
      </c>
      <c r="L790" s="36">
        <v>118.90987</v>
      </c>
      <c r="M790" s="393">
        <v>304.26733000000002</v>
      </c>
      <c r="N790" s="399">
        <v>83.526599000000004</v>
      </c>
      <c r="O790" s="36">
        <v>45.353721</v>
      </c>
      <c r="P790" s="36">
        <v>39.727410999999996</v>
      </c>
      <c r="Q790" s="393">
        <v>119.59844</v>
      </c>
      <c r="R790" s="399">
        <v>119.21386</v>
      </c>
      <c r="S790" s="36">
        <v>90.628208000000001</v>
      </c>
      <c r="T790" s="36">
        <v>85.823082999999997</v>
      </c>
      <c r="U790" s="393">
        <v>207.81448</v>
      </c>
    </row>
    <row r="791" spans="3:21" s="9" customFormat="1" ht="0.5" customHeight="1">
      <c r="C791" s="9" t="s">
        <v>55</v>
      </c>
      <c r="D791" s="9" t="str">
        <f t="shared" si="46"/>
        <v>Paraguay35</v>
      </c>
      <c r="E791" s="398">
        <v>35</v>
      </c>
      <c r="F791" s="399">
        <v>101.43299</v>
      </c>
      <c r="G791" s="36">
        <v>68.845079999999996</v>
      </c>
      <c r="H791" s="36">
        <v>58.734848999999997</v>
      </c>
      <c r="I791" s="393">
        <v>164.85529</v>
      </c>
      <c r="J791" s="399">
        <v>155.55422999999999</v>
      </c>
      <c r="K791" s="36">
        <v>118.28451</v>
      </c>
      <c r="L791" s="36">
        <v>119.2503</v>
      </c>
      <c r="M791" s="393">
        <v>304.18310000000002</v>
      </c>
      <c r="N791" s="399">
        <v>83.389656000000002</v>
      </c>
      <c r="O791" s="36">
        <v>45.354892999999997</v>
      </c>
      <c r="P791" s="36">
        <v>40.004866</v>
      </c>
      <c r="Q791" s="393">
        <v>120.19634000000001</v>
      </c>
      <c r="R791" s="399">
        <v>120.04300000000001</v>
      </c>
      <c r="S791" s="36">
        <v>90.735465000000005</v>
      </c>
      <c r="T791" s="36">
        <v>86.257953000000001</v>
      </c>
      <c r="U791" s="393">
        <v>209.95529999999999</v>
      </c>
    </row>
    <row r="792" spans="3:21" s="9" customFormat="1" ht="0.5" customHeight="1">
      <c r="C792" s="9" t="s">
        <v>55</v>
      </c>
      <c r="D792" s="9" t="str">
        <f t="shared" si="46"/>
        <v>Paraguay35.5</v>
      </c>
      <c r="E792" s="398">
        <v>35.5</v>
      </c>
      <c r="F792" s="399">
        <v>101.91235</v>
      </c>
      <c r="G792" s="36">
        <v>68.972221000000005</v>
      </c>
      <c r="H792" s="36">
        <v>59.056834000000002</v>
      </c>
      <c r="I792" s="393">
        <v>165.81322</v>
      </c>
      <c r="J792" s="399">
        <v>157.90794</v>
      </c>
      <c r="K792" s="36">
        <v>118.62584</v>
      </c>
      <c r="L792" s="36">
        <v>119.57248</v>
      </c>
      <c r="M792" s="393">
        <v>304.19772</v>
      </c>
      <c r="N792" s="399">
        <v>83.288255000000007</v>
      </c>
      <c r="O792" s="36">
        <v>45.372726</v>
      </c>
      <c r="P792" s="36">
        <v>40.256917000000001</v>
      </c>
      <c r="Q792" s="393">
        <v>120.93823999999999</v>
      </c>
      <c r="R792" s="399">
        <v>120.79814</v>
      </c>
      <c r="S792" s="36">
        <v>90.991833</v>
      </c>
      <c r="T792" s="36">
        <v>86.635425999999995</v>
      </c>
      <c r="U792" s="393">
        <v>211.96573000000001</v>
      </c>
    </row>
    <row r="793" spans="3:21" s="9" customFormat="1" ht="0.5" customHeight="1">
      <c r="C793" s="9" t="s">
        <v>55</v>
      </c>
      <c r="D793" s="9" t="str">
        <f t="shared" si="46"/>
        <v>Paraguay36</v>
      </c>
      <c r="E793" s="398">
        <v>36</v>
      </c>
      <c r="F793" s="399">
        <v>102.39753</v>
      </c>
      <c r="G793" s="36">
        <v>69.078137999999996</v>
      </c>
      <c r="H793" s="36">
        <v>59.360103000000002</v>
      </c>
      <c r="I793" s="393">
        <v>166.82783000000001</v>
      </c>
      <c r="J793" s="399">
        <v>160.52883</v>
      </c>
      <c r="K793" s="36">
        <v>118.86794</v>
      </c>
      <c r="L793" s="36">
        <v>119.79822</v>
      </c>
      <c r="M793" s="393">
        <v>307.38574</v>
      </c>
      <c r="N793" s="399">
        <v>83.160784000000007</v>
      </c>
      <c r="O793" s="36">
        <v>45.389845000000001</v>
      </c>
      <c r="P793" s="36">
        <v>40.510584999999999</v>
      </c>
      <c r="Q793" s="393">
        <v>121.90425999999999</v>
      </c>
      <c r="R793" s="399">
        <v>121.52093000000001</v>
      </c>
      <c r="S793" s="36">
        <v>91.518522000000004</v>
      </c>
      <c r="T793" s="36">
        <v>86.962743000000003</v>
      </c>
      <c r="U793" s="393">
        <v>213.8683</v>
      </c>
    </row>
    <row r="794" spans="3:21" s="9" customFormat="1" ht="0.5" customHeight="1">
      <c r="C794" s="9" t="s">
        <v>55</v>
      </c>
      <c r="D794" s="9" t="str">
        <f t="shared" si="46"/>
        <v>Paraguay36.5</v>
      </c>
      <c r="E794" s="398">
        <v>36.5</v>
      </c>
      <c r="F794" s="399">
        <v>102.77115999999999</v>
      </c>
      <c r="G794" s="36">
        <v>69.154534999999996</v>
      </c>
      <c r="H794" s="36">
        <v>59.661147999999997</v>
      </c>
      <c r="I794" s="393">
        <v>168.10232999999999</v>
      </c>
      <c r="J794" s="399">
        <v>163.53639000000001</v>
      </c>
      <c r="K794" s="36">
        <v>119.41893</v>
      </c>
      <c r="L794" s="36">
        <v>120.00788</v>
      </c>
      <c r="M794" s="393">
        <v>311.05032999999997</v>
      </c>
      <c r="N794" s="399">
        <v>83.036254999999997</v>
      </c>
      <c r="O794" s="36">
        <v>45.414588000000002</v>
      </c>
      <c r="P794" s="36">
        <v>40.748407999999998</v>
      </c>
      <c r="Q794" s="393">
        <v>122.86201</v>
      </c>
      <c r="R794" s="399">
        <v>122.24723</v>
      </c>
      <c r="S794" s="36">
        <v>91.901724999999999</v>
      </c>
      <c r="T794" s="36">
        <v>87.168149999999997</v>
      </c>
      <c r="U794" s="393">
        <v>215.56975</v>
      </c>
    </row>
    <row r="795" spans="3:21" s="9" customFormat="1" ht="0.5" customHeight="1">
      <c r="C795" s="9" t="s">
        <v>55</v>
      </c>
      <c r="D795" s="9" t="str">
        <f t="shared" si="46"/>
        <v>Paraguay37</v>
      </c>
      <c r="E795" s="398">
        <v>37</v>
      </c>
      <c r="F795" s="399">
        <v>103.15243</v>
      </c>
      <c r="G795" s="36">
        <v>69.218592000000001</v>
      </c>
      <c r="H795" s="36">
        <v>59.956186000000002</v>
      </c>
      <c r="I795" s="393">
        <v>169.49306000000001</v>
      </c>
      <c r="J795" s="399">
        <v>166.46697</v>
      </c>
      <c r="K795" s="36">
        <v>120.1233</v>
      </c>
      <c r="L795" s="36">
        <v>120.46865</v>
      </c>
      <c r="M795" s="393">
        <v>314.48944</v>
      </c>
      <c r="N795" s="399">
        <v>82.993335999999999</v>
      </c>
      <c r="O795" s="36">
        <v>45.448233000000002</v>
      </c>
      <c r="P795" s="36">
        <v>40.977266</v>
      </c>
      <c r="Q795" s="393">
        <v>123.62196</v>
      </c>
      <c r="R795" s="399">
        <v>122.89791</v>
      </c>
      <c r="S795" s="36">
        <v>91.917719000000005</v>
      </c>
      <c r="T795" s="36">
        <v>87.328605999999994</v>
      </c>
      <c r="U795" s="393">
        <v>217.12031999999999</v>
      </c>
    </row>
    <row r="796" spans="3:21" s="9" customFormat="1" ht="0.5" customHeight="1">
      <c r="C796" s="9" t="s">
        <v>55</v>
      </c>
      <c r="D796" s="9" t="str">
        <f t="shared" si="46"/>
        <v>Paraguay37.5</v>
      </c>
      <c r="E796" s="398">
        <v>37.5</v>
      </c>
      <c r="F796" s="399">
        <v>103.49941</v>
      </c>
      <c r="G796" s="36">
        <v>69.268067000000002</v>
      </c>
      <c r="H796" s="36">
        <v>60.172584999999998</v>
      </c>
      <c r="I796" s="393">
        <v>170.84169</v>
      </c>
      <c r="J796" s="399">
        <v>169.13515000000001</v>
      </c>
      <c r="K796" s="36">
        <v>120.83808000000001</v>
      </c>
      <c r="L796" s="36">
        <v>120.89694</v>
      </c>
      <c r="M796" s="393">
        <v>317.77791000000002</v>
      </c>
      <c r="N796" s="399">
        <v>82.958943000000005</v>
      </c>
      <c r="O796" s="36">
        <v>45.487031000000002</v>
      </c>
      <c r="P796" s="36">
        <v>41.191200000000002</v>
      </c>
      <c r="Q796" s="393">
        <v>124.36609</v>
      </c>
      <c r="R796" s="399">
        <v>123.43903</v>
      </c>
      <c r="S796" s="36">
        <v>91.946123</v>
      </c>
      <c r="T796" s="36">
        <v>87.226161000000005</v>
      </c>
      <c r="U796" s="393">
        <v>218.42501999999999</v>
      </c>
    </row>
    <row r="797" spans="3:21" s="9" customFormat="1" ht="0.5" customHeight="1">
      <c r="C797" s="9" t="s">
        <v>55</v>
      </c>
      <c r="D797" s="9" t="str">
        <f t="shared" si="46"/>
        <v>Paraguay38</v>
      </c>
      <c r="E797" s="398">
        <v>38</v>
      </c>
      <c r="F797" s="399">
        <v>103.85306</v>
      </c>
      <c r="G797" s="36">
        <v>69.301428999999999</v>
      </c>
      <c r="H797" s="36">
        <v>60.366720000000001</v>
      </c>
      <c r="I797" s="393">
        <v>172.12613999999999</v>
      </c>
      <c r="J797" s="399">
        <v>171.5496</v>
      </c>
      <c r="K797" s="36">
        <v>121.5295</v>
      </c>
      <c r="L797" s="36">
        <v>121.15562</v>
      </c>
      <c r="M797" s="393">
        <v>321.55891000000003</v>
      </c>
      <c r="N797" s="399">
        <v>82.975883999999994</v>
      </c>
      <c r="O797" s="36">
        <v>45.532966000000002</v>
      </c>
      <c r="P797" s="36">
        <v>41.383983000000001</v>
      </c>
      <c r="Q797" s="393">
        <v>124.99468</v>
      </c>
      <c r="R797" s="399">
        <v>123.86324</v>
      </c>
      <c r="S797" s="36">
        <v>92.041689000000005</v>
      </c>
      <c r="T797" s="36">
        <v>87.056983000000002</v>
      </c>
      <c r="U797" s="393">
        <v>219.74844999999999</v>
      </c>
    </row>
    <row r="798" spans="3:21" s="9" customFormat="1" ht="0.5" customHeight="1">
      <c r="C798" s="9" t="s">
        <v>55</v>
      </c>
      <c r="D798" s="9" t="str">
        <f t="shared" si="46"/>
        <v>Paraguay38.5</v>
      </c>
      <c r="E798" s="398">
        <v>38.5</v>
      </c>
      <c r="F798" s="399">
        <v>104.16112</v>
      </c>
      <c r="G798" s="36">
        <v>69.339583000000005</v>
      </c>
      <c r="H798" s="36">
        <v>60.502225000000003</v>
      </c>
      <c r="I798" s="393">
        <v>173.11463000000001</v>
      </c>
      <c r="J798" s="399">
        <v>173.79536999999999</v>
      </c>
      <c r="K798" s="36">
        <v>122.52994</v>
      </c>
      <c r="L798" s="36">
        <v>121.33280999999999</v>
      </c>
      <c r="M798" s="393">
        <v>325.19238999999999</v>
      </c>
      <c r="N798" s="399">
        <v>82.970680000000002</v>
      </c>
      <c r="O798" s="36">
        <v>45.551349999999999</v>
      </c>
      <c r="P798" s="36">
        <v>41.560189999999999</v>
      </c>
      <c r="Q798" s="393">
        <v>125.44221</v>
      </c>
      <c r="R798" s="399">
        <v>124.27117</v>
      </c>
      <c r="S798" s="36">
        <v>92.203422000000003</v>
      </c>
      <c r="T798" s="36">
        <v>86.899467000000001</v>
      </c>
      <c r="U798" s="393">
        <v>221.15452999999999</v>
      </c>
    </row>
    <row r="799" spans="3:21" s="9" customFormat="1" ht="0.5" customHeight="1">
      <c r="C799" s="9" t="s">
        <v>55</v>
      </c>
      <c r="D799" s="9" t="str">
        <f t="shared" si="46"/>
        <v>Paraguay39</v>
      </c>
      <c r="E799" s="398">
        <v>39</v>
      </c>
      <c r="F799" s="399">
        <v>104.47208999999999</v>
      </c>
      <c r="G799" s="36">
        <v>69.301936999999995</v>
      </c>
      <c r="H799" s="36">
        <v>60.618335000000002</v>
      </c>
      <c r="I799" s="393">
        <v>174.08895000000001</v>
      </c>
      <c r="J799" s="399">
        <v>175.93871999999999</v>
      </c>
      <c r="K799" s="36">
        <v>123.62466999999999</v>
      </c>
      <c r="L799" s="36">
        <v>122.10576</v>
      </c>
      <c r="M799" s="393">
        <v>326.54273000000001</v>
      </c>
      <c r="N799" s="399">
        <v>82.917777000000001</v>
      </c>
      <c r="O799" s="36">
        <v>45.556742</v>
      </c>
      <c r="P799" s="36">
        <v>41.709091999999998</v>
      </c>
      <c r="Q799" s="393">
        <v>125.87729</v>
      </c>
      <c r="R799" s="399">
        <v>124.72714000000001</v>
      </c>
      <c r="S799" s="36">
        <v>92.291355999999993</v>
      </c>
      <c r="T799" s="36">
        <v>86.794534999999996</v>
      </c>
      <c r="U799" s="393">
        <v>222.66495</v>
      </c>
    </row>
    <row r="800" spans="3:21" s="9" customFormat="1" ht="0.5" customHeight="1">
      <c r="C800" s="9" t="s">
        <v>55</v>
      </c>
      <c r="D800" s="9" t="str">
        <f t="shared" si="46"/>
        <v>Paraguay39.5</v>
      </c>
      <c r="E800" s="398">
        <v>39.5</v>
      </c>
      <c r="F800" s="399">
        <v>104.70486</v>
      </c>
      <c r="G800" s="36">
        <v>69.220152999999996</v>
      </c>
      <c r="H800" s="36">
        <v>60.679751000000003</v>
      </c>
      <c r="I800" s="393">
        <v>174.87651</v>
      </c>
      <c r="J800" s="399">
        <v>177.80578</v>
      </c>
      <c r="K800" s="36">
        <v>125.02388000000001</v>
      </c>
      <c r="L800" s="36">
        <v>122.77469000000001</v>
      </c>
      <c r="M800" s="393">
        <v>327.56151</v>
      </c>
      <c r="N800" s="399">
        <v>82.888217999999995</v>
      </c>
      <c r="O800" s="36">
        <v>45.522767000000002</v>
      </c>
      <c r="P800" s="36">
        <v>41.834387999999997</v>
      </c>
      <c r="Q800" s="393">
        <v>126.43198</v>
      </c>
      <c r="R800" s="399">
        <v>125.26121000000001</v>
      </c>
      <c r="S800" s="36">
        <v>92.252109000000004</v>
      </c>
      <c r="T800" s="36">
        <v>87.085936000000004</v>
      </c>
      <c r="U800" s="393">
        <v>224.33998</v>
      </c>
    </row>
    <row r="801" spans="3:21" s="9" customFormat="1" ht="0.5" customHeight="1">
      <c r="C801" s="9" t="s">
        <v>55</v>
      </c>
      <c r="D801" s="9" t="str">
        <f t="shared" si="46"/>
        <v>Paraguay40</v>
      </c>
      <c r="E801" s="398">
        <v>40</v>
      </c>
      <c r="F801" s="399">
        <v>104.93883</v>
      </c>
      <c r="G801" s="36">
        <v>69.090022000000005</v>
      </c>
      <c r="H801" s="36">
        <v>60.727535000000003</v>
      </c>
      <c r="I801" s="393">
        <v>175.61031</v>
      </c>
      <c r="J801" s="399">
        <v>179.10516000000001</v>
      </c>
      <c r="K801" s="36">
        <v>126.47145999999999</v>
      </c>
      <c r="L801" s="36">
        <v>123.67296</v>
      </c>
      <c r="M801" s="393">
        <v>329.84573</v>
      </c>
      <c r="N801" s="399">
        <v>82.953067000000004</v>
      </c>
      <c r="O801" s="36">
        <v>45.473846000000002</v>
      </c>
      <c r="P801" s="36">
        <v>41.963160999999999</v>
      </c>
      <c r="Q801" s="393">
        <v>127.07149</v>
      </c>
      <c r="R801" s="399">
        <v>125.80622</v>
      </c>
      <c r="S801" s="36">
        <v>92.528163000000006</v>
      </c>
      <c r="T801" s="36">
        <v>87.535771999999994</v>
      </c>
      <c r="U801" s="393">
        <v>225.82705999999999</v>
      </c>
    </row>
    <row r="802" spans="3:21" s="9" customFormat="1" ht="0.5" customHeight="1">
      <c r="C802" s="9" t="s">
        <v>55</v>
      </c>
      <c r="D802" s="9" t="str">
        <f t="shared" si="46"/>
        <v>Paraguay40.5</v>
      </c>
      <c r="E802" s="398">
        <v>40.5</v>
      </c>
      <c r="F802" s="399">
        <v>105.12602</v>
      </c>
      <c r="G802" s="36">
        <v>68.903683000000001</v>
      </c>
      <c r="H802" s="36">
        <v>60.850847000000002</v>
      </c>
      <c r="I802" s="393">
        <v>176.43767</v>
      </c>
      <c r="J802" s="399">
        <v>179.96960000000001</v>
      </c>
      <c r="K802" s="36">
        <v>128.14027999999999</v>
      </c>
      <c r="L802" s="36">
        <v>124.58381</v>
      </c>
      <c r="M802" s="393">
        <v>332.53680000000003</v>
      </c>
      <c r="N802" s="399">
        <v>83.014731999999995</v>
      </c>
      <c r="O802" s="36">
        <v>45.392966999999999</v>
      </c>
      <c r="P802" s="36">
        <v>42.060279999999999</v>
      </c>
      <c r="Q802" s="393">
        <v>127.64333999999999</v>
      </c>
      <c r="R802" s="399">
        <v>126.29073</v>
      </c>
      <c r="S802" s="36">
        <v>92.933582000000001</v>
      </c>
      <c r="T802" s="36">
        <v>88.009223000000006</v>
      </c>
      <c r="U802" s="393">
        <v>227.02719999999999</v>
      </c>
    </row>
    <row r="803" spans="3:21" s="9" customFormat="1" ht="0.5" customHeight="1">
      <c r="C803" s="9" t="s">
        <v>55</v>
      </c>
      <c r="D803" s="9" t="str">
        <f t="shared" si="46"/>
        <v>Paraguay41</v>
      </c>
      <c r="E803" s="398">
        <v>41</v>
      </c>
      <c r="F803" s="399">
        <v>105.31359</v>
      </c>
      <c r="G803" s="36">
        <v>68.629401999999999</v>
      </c>
      <c r="H803" s="36">
        <v>60.989082000000003</v>
      </c>
      <c r="I803" s="393">
        <v>177.30174</v>
      </c>
      <c r="J803" s="399">
        <v>180.53115</v>
      </c>
      <c r="K803" s="36">
        <v>129.78632999999999</v>
      </c>
      <c r="L803" s="36">
        <v>126.51877</v>
      </c>
      <c r="M803" s="393">
        <v>339.82332000000002</v>
      </c>
      <c r="N803" s="399">
        <v>82.988185999999999</v>
      </c>
      <c r="O803" s="36">
        <v>45.293424999999999</v>
      </c>
      <c r="P803" s="36">
        <v>42.145088999999999</v>
      </c>
      <c r="Q803" s="393">
        <v>128.14062999999999</v>
      </c>
      <c r="R803" s="399">
        <v>126.70639</v>
      </c>
      <c r="S803" s="36">
        <v>93.356302999999997</v>
      </c>
      <c r="T803" s="36">
        <v>88.401432</v>
      </c>
      <c r="U803" s="393">
        <v>228.20033000000001</v>
      </c>
    </row>
    <row r="804" spans="3:21" s="9" customFormat="1" ht="0.5" customHeight="1">
      <c r="C804" s="9" t="s">
        <v>55</v>
      </c>
      <c r="D804" s="9" t="str">
        <f t="shared" si="46"/>
        <v>Paraguay41.5</v>
      </c>
      <c r="E804" s="398">
        <v>41.5</v>
      </c>
      <c r="F804" s="399">
        <v>105.542</v>
      </c>
      <c r="G804" s="36">
        <v>68.303200000000004</v>
      </c>
      <c r="H804" s="36">
        <v>61.146763</v>
      </c>
      <c r="I804" s="393">
        <v>177.92312000000001</v>
      </c>
      <c r="J804" s="399">
        <v>180.72232</v>
      </c>
      <c r="K804" s="36">
        <v>131.06351000000001</v>
      </c>
      <c r="L804" s="36">
        <v>128.4614</v>
      </c>
      <c r="M804" s="393">
        <v>348.00259</v>
      </c>
      <c r="N804" s="399">
        <v>82.936558000000005</v>
      </c>
      <c r="O804" s="36">
        <v>45.151831999999999</v>
      </c>
      <c r="P804" s="36">
        <v>42.225470000000001</v>
      </c>
      <c r="Q804" s="393">
        <v>128.72214</v>
      </c>
      <c r="R804" s="399">
        <v>127.13355</v>
      </c>
      <c r="S804" s="36">
        <v>93.787260000000003</v>
      </c>
      <c r="T804" s="36">
        <v>88.567149999999998</v>
      </c>
      <c r="U804" s="393">
        <v>229.15754000000001</v>
      </c>
    </row>
    <row r="805" spans="3:21" s="9" customFormat="1" ht="0.5" customHeight="1">
      <c r="C805" s="9" t="s">
        <v>55</v>
      </c>
      <c r="D805" s="9" t="str">
        <f t="shared" si="46"/>
        <v>Paraguay42</v>
      </c>
      <c r="E805" s="398">
        <v>42</v>
      </c>
      <c r="F805" s="399">
        <v>105.77164999999999</v>
      </c>
      <c r="G805" s="36">
        <v>68.017067999999995</v>
      </c>
      <c r="H805" s="36">
        <v>61.306064999999997</v>
      </c>
      <c r="I805" s="393">
        <v>178.47395</v>
      </c>
      <c r="J805" s="399">
        <v>180.95918</v>
      </c>
      <c r="K805" s="36">
        <v>132.24424999999999</v>
      </c>
      <c r="L805" s="36">
        <v>130.13226</v>
      </c>
      <c r="M805" s="393">
        <v>361.35138000000001</v>
      </c>
      <c r="N805" s="399">
        <v>82.873492999999996</v>
      </c>
      <c r="O805" s="36">
        <v>45.010598000000002</v>
      </c>
      <c r="P805" s="36">
        <v>42.295555999999998</v>
      </c>
      <c r="Q805" s="393">
        <v>129.54263</v>
      </c>
      <c r="R805" s="399">
        <v>127.70659000000001</v>
      </c>
      <c r="S805" s="36">
        <v>94.281445000000005</v>
      </c>
      <c r="T805" s="36">
        <v>88.758538999999999</v>
      </c>
      <c r="U805" s="393">
        <v>230.16247000000001</v>
      </c>
    </row>
    <row r="806" spans="3:21" s="9" customFormat="1" ht="0.5" customHeight="1">
      <c r="C806" s="9" t="s">
        <v>55</v>
      </c>
      <c r="D806" s="9" t="str">
        <f t="shared" si="46"/>
        <v>Paraguay42.5</v>
      </c>
      <c r="E806" s="398">
        <v>42.5</v>
      </c>
      <c r="F806" s="399">
        <v>106.05355</v>
      </c>
      <c r="G806" s="36">
        <v>67.770380000000003</v>
      </c>
      <c r="H806" s="36">
        <v>61.352246000000001</v>
      </c>
      <c r="I806" s="393">
        <v>179.26913999999999</v>
      </c>
      <c r="J806" s="399">
        <v>181.29759999999999</v>
      </c>
      <c r="K806" s="36">
        <v>132.64989</v>
      </c>
      <c r="L806" s="36">
        <v>131.80011999999999</v>
      </c>
      <c r="M806" s="393">
        <v>375.29358000000002</v>
      </c>
      <c r="N806" s="399">
        <v>82.809200000000004</v>
      </c>
      <c r="O806" s="36">
        <v>44.837854999999998</v>
      </c>
      <c r="P806" s="36">
        <v>42.365839000000001</v>
      </c>
      <c r="Q806" s="393">
        <v>130.29203999999999</v>
      </c>
      <c r="R806" s="399">
        <v>128.33553000000001</v>
      </c>
      <c r="S806" s="36">
        <v>94.775353999999993</v>
      </c>
      <c r="T806" s="36">
        <v>89.060563999999999</v>
      </c>
      <c r="U806" s="393">
        <v>231.25683000000001</v>
      </c>
    </row>
    <row r="807" spans="3:21" s="9" customFormat="1" ht="0.5" customHeight="1">
      <c r="C807" s="9" t="s">
        <v>55</v>
      </c>
      <c r="D807" s="9" t="str">
        <f t="shared" si="46"/>
        <v>Paraguay43</v>
      </c>
      <c r="E807" s="398">
        <v>43</v>
      </c>
      <c r="F807" s="399">
        <v>106.33389</v>
      </c>
      <c r="G807" s="36">
        <v>67.541453000000004</v>
      </c>
      <c r="H807" s="36">
        <v>61.356484000000002</v>
      </c>
      <c r="I807" s="393">
        <v>180.18387999999999</v>
      </c>
      <c r="J807" s="399">
        <v>181.53986</v>
      </c>
      <c r="K807" s="36">
        <v>132.62879000000001</v>
      </c>
      <c r="L807" s="36">
        <v>133.51496</v>
      </c>
      <c r="M807" s="393">
        <v>390.52749999999997</v>
      </c>
      <c r="N807" s="399">
        <v>82.725922999999995</v>
      </c>
      <c r="O807" s="36">
        <v>44.657415</v>
      </c>
      <c r="P807" s="36">
        <v>42.440629000000001</v>
      </c>
      <c r="Q807" s="393">
        <v>130.82696999999999</v>
      </c>
      <c r="R807" s="399">
        <v>128.96379999999999</v>
      </c>
      <c r="S807" s="36">
        <v>95.00967</v>
      </c>
      <c r="T807" s="36">
        <v>89.392336999999998</v>
      </c>
      <c r="U807" s="393">
        <v>232.00314</v>
      </c>
    </row>
    <row r="808" spans="3:21" s="9" customFormat="1" ht="0.5" customHeight="1">
      <c r="C808" s="9" t="s">
        <v>55</v>
      </c>
      <c r="D808" s="9" t="str">
        <f t="shared" si="46"/>
        <v>Paraguay43.5</v>
      </c>
      <c r="E808" s="398">
        <v>43.5</v>
      </c>
      <c r="F808" s="399">
        <v>106.63943</v>
      </c>
      <c r="G808" s="36">
        <v>67.264881000000003</v>
      </c>
      <c r="H808" s="36">
        <v>61.331195999999998</v>
      </c>
      <c r="I808" s="393">
        <v>181.18729999999999</v>
      </c>
      <c r="J808" s="399">
        <v>181.73809</v>
      </c>
      <c r="K808" s="36">
        <v>131.99802</v>
      </c>
      <c r="L808" s="36">
        <v>135.23586</v>
      </c>
      <c r="M808" s="393">
        <v>405.40643</v>
      </c>
      <c r="N808" s="399">
        <v>82.635271000000003</v>
      </c>
      <c r="O808" s="36">
        <v>44.466137000000003</v>
      </c>
      <c r="P808" s="36">
        <v>42.508127000000002</v>
      </c>
      <c r="Q808" s="393">
        <v>131.3836</v>
      </c>
      <c r="R808" s="399">
        <v>129.63847999999999</v>
      </c>
      <c r="S808" s="36">
        <v>95.207047000000003</v>
      </c>
      <c r="T808" s="36">
        <v>89.694969</v>
      </c>
      <c r="U808" s="393">
        <v>232.24692999999999</v>
      </c>
    </row>
    <row r="809" spans="3:21" s="9" customFormat="1" ht="0.5" customHeight="1">
      <c r="C809" s="9" t="s">
        <v>55</v>
      </c>
      <c r="D809" s="9" t="str">
        <f t="shared" si="46"/>
        <v>Paraguay44</v>
      </c>
      <c r="E809" s="398">
        <v>44</v>
      </c>
      <c r="F809" s="399">
        <v>106.94559</v>
      </c>
      <c r="G809" s="36">
        <v>66.926334999999995</v>
      </c>
      <c r="H809" s="36">
        <v>61.313442000000002</v>
      </c>
      <c r="I809" s="393">
        <v>182.13973999999999</v>
      </c>
      <c r="J809" s="399">
        <v>182.13583</v>
      </c>
      <c r="K809" s="36">
        <v>131.34251</v>
      </c>
      <c r="L809" s="36">
        <v>136.32114000000001</v>
      </c>
      <c r="M809" s="393">
        <v>417.86696999999998</v>
      </c>
      <c r="N809" s="399">
        <v>82.518547999999996</v>
      </c>
      <c r="O809" s="36">
        <v>44.270519</v>
      </c>
      <c r="P809" s="36">
        <v>42.569034000000002</v>
      </c>
      <c r="Q809" s="393">
        <v>132.02249</v>
      </c>
      <c r="R809" s="399">
        <v>130.37568999999999</v>
      </c>
      <c r="S809" s="36">
        <v>95.574196000000001</v>
      </c>
      <c r="T809" s="36">
        <v>90.036644999999993</v>
      </c>
      <c r="U809" s="393">
        <v>232.33637999999999</v>
      </c>
    </row>
    <row r="810" spans="3:21" s="9" customFormat="1" ht="0.5" customHeight="1">
      <c r="C810" s="9" t="s">
        <v>55</v>
      </c>
      <c r="D810" s="9" t="str">
        <f t="shared" si="46"/>
        <v>Paraguay44.5</v>
      </c>
      <c r="E810" s="398">
        <v>44.5</v>
      </c>
      <c r="F810" s="399">
        <v>107.06724</v>
      </c>
      <c r="G810" s="36">
        <v>66.584778999999997</v>
      </c>
      <c r="H810" s="36">
        <v>61.300125000000001</v>
      </c>
      <c r="I810" s="393">
        <v>183.09293</v>
      </c>
      <c r="J810" s="399">
        <v>182.89855</v>
      </c>
      <c r="K810" s="36">
        <v>130.59925999999999</v>
      </c>
      <c r="L810" s="36">
        <v>137.42407</v>
      </c>
      <c r="M810" s="393">
        <v>429.94434999999999</v>
      </c>
      <c r="N810" s="399">
        <v>82.366558999999995</v>
      </c>
      <c r="O810" s="36">
        <v>44.061101000000001</v>
      </c>
      <c r="P810" s="36">
        <v>42.628276</v>
      </c>
      <c r="Q810" s="393">
        <v>132.61672999999999</v>
      </c>
      <c r="R810" s="399">
        <v>131.14045999999999</v>
      </c>
      <c r="S810" s="36">
        <v>95.973720999999998</v>
      </c>
      <c r="T810" s="36">
        <v>90.551080999999996</v>
      </c>
      <c r="U810" s="393">
        <v>232.04454000000001</v>
      </c>
    </row>
    <row r="811" spans="3:21" s="9" customFormat="1" ht="0.5" customHeight="1">
      <c r="C811" s="9" t="s">
        <v>55</v>
      </c>
      <c r="D811" s="9" t="str">
        <f t="shared" si="46"/>
        <v>Paraguay45</v>
      </c>
      <c r="E811" s="398">
        <v>45</v>
      </c>
      <c r="F811" s="399">
        <v>107.18807</v>
      </c>
      <c r="G811" s="36">
        <v>66.235124999999996</v>
      </c>
      <c r="H811" s="36">
        <v>61.275680000000001</v>
      </c>
      <c r="I811" s="393">
        <v>184.0444</v>
      </c>
      <c r="J811" s="399">
        <v>183.45400000000001</v>
      </c>
      <c r="K811" s="36">
        <v>129.76722000000001</v>
      </c>
      <c r="L811" s="36">
        <v>138.41616999999999</v>
      </c>
      <c r="M811" s="393">
        <v>437.33195000000001</v>
      </c>
      <c r="N811" s="399">
        <v>82.265311999999994</v>
      </c>
      <c r="O811" s="36">
        <v>43.847935</v>
      </c>
      <c r="P811" s="36">
        <v>42.677469000000002</v>
      </c>
      <c r="Q811" s="393">
        <v>132.78721999999999</v>
      </c>
      <c r="R811" s="399">
        <v>131.95734999999999</v>
      </c>
      <c r="S811" s="36">
        <v>96.423120999999995</v>
      </c>
      <c r="T811" s="36">
        <v>91.044278000000006</v>
      </c>
      <c r="U811" s="393">
        <v>231.61806999999999</v>
      </c>
    </row>
    <row r="812" spans="3:21" s="9" customFormat="1" ht="0.5" customHeight="1">
      <c r="C812" s="9" t="s">
        <v>55</v>
      </c>
      <c r="D812" s="9" t="str">
        <f t="shared" si="46"/>
        <v>Paraguay45.5</v>
      </c>
      <c r="E812" s="398">
        <v>45.5</v>
      </c>
      <c r="F812" s="399">
        <v>107.18989000000001</v>
      </c>
      <c r="G812" s="36">
        <v>65.898144000000002</v>
      </c>
      <c r="H812" s="36">
        <v>61.221423000000001</v>
      </c>
      <c r="I812" s="393">
        <v>184.82682</v>
      </c>
      <c r="J812" s="399">
        <v>183.52995999999999</v>
      </c>
      <c r="K812" s="36">
        <v>128.93498</v>
      </c>
      <c r="L812" s="36">
        <v>139.38057000000001</v>
      </c>
      <c r="M812" s="393">
        <v>443.85798999999997</v>
      </c>
      <c r="N812" s="399">
        <v>82.212886999999995</v>
      </c>
      <c r="O812" s="36">
        <v>43.649079999999998</v>
      </c>
      <c r="P812" s="36">
        <v>42.712043000000001</v>
      </c>
      <c r="Q812" s="393">
        <v>132.9513</v>
      </c>
      <c r="R812" s="399">
        <v>132.74160000000001</v>
      </c>
      <c r="S812" s="36">
        <v>96.893553999999995</v>
      </c>
      <c r="T812" s="36">
        <v>91.340648999999999</v>
      </c>
      <c r="U812" s="393">
        <v>231.10059000000001</v>
      </c>
    </row>
    <row r="813" spans="3:21" s="9" customFormat="1" ht="0.5" customHeight="1">
      <c r="C813" s="9" t="s">
        <v>55</v>
      </c>
      <c r="D813" s="9" t="str">
        <f t="shared" si="46"/>
        <v>Paraguay46</v>
      </c>
      <c r="E813" s="398">
        <v>46</v>
      </c>
      <c r="F813" s="399">
        <v>107.19365000000001</v>
      </c>
      <c r="G813" s="36">
        <v>65.560816000000003</v>
      </c>
      <c r="H813" s="36">
        <v>61.152670999999998</v>
      </c>
      <c r="I813" s="393">
        <v>185.61750000000001</v>
      </c>
      <c r="J813" s="399">
        <v>183.62371999999999</v>
      </c>
      <c r="K813" s="36">
        <v>128.25202999999999</v>
      </c>
      <c r="L813" s="36">
        <v>139.53530000000001</v>
      </c>
      <c r="M813" s="393">
        <v>449.26913000000002</v>
      </c>
      <c r="N813" s="399">
        <v>82.292096999999998</v>
      </c>
      <c r="O813" s="36">
        <v>43.455798999999999</v>
      </c>
      <c r="P813" s="36">
        <v>42.742552000000003</v>
      </c>
      <c r="Q813" s="393">
        <v>133.22166999999999</v>
      </c>
      <c r="R813" s="399">
        <v>133.48982000000001</v>
      </c>
      <c r="S813" s="36">
        <v>97.134533000000005</v>
      </c>
      <c r="T813" s="36">
        <v>91.565244000000007</v>
      </c>
      <c r="U813" s="393">
        <v>230.55545000000001</v>
      </c>
    </row>
    <row r="814" spans="3:21" s="9" customFormat="1" ht="0.5" customHeight="1">
      <c r="C814" s="9" t="s">
        <v>55</v>
      </c>
      <c r="D814" s="9" t="str">
        <f t="shared" si="46"/>
        <v>Paraguay46.5</v>
      </c>
      <c r="E814" s="398">
        <v>46.5</v>
      </c>
      <c r="F814" s="399">
        <v>107.29407</v>
      </c>
      <c r="G814" s="36">
        <v>65.265634000000006</v>
      </c>
      <c r="H814" s="36">
        <v>61.083834000000003</v>
      </c>
      <c r="I814" s="393">
        <v>185.88902999999999</v>
      </c>
      <c r="J814" s="399">
        <v>184.30312000000001</v>
      </c>
      <c r="K814" s="36">
        <v>128.40055000000001</v>
      </c>
      <c r="L814" s="36">
        <v>139.75583</v>
      </c>
      <c r="M814" s="393">
        <v>455.12824999999998</v>
      </c>
      <c r="N814" s="399">
        <v>82.401285000000001</v>
      </c>
      <c r="O814" s="36">
        <v>43.262121999999998</v>
      </c>
      <c r="P814" s="36">
        <v>42.775917999999997</v>
      </c>
      <c r="Q814" s="393">
        <v>133.27912000000001</v>
      </c>
      <c r="R814" s="399">
        <v>134.214</v>
      </c>
      <c r="S814" s="36">
        <v>97.370014999999995</v>
      </c>
      <c r="T814" s="36">
        <v>91.806541999999993</v>
      </c>
      <c r="U814" s="393">
        <v>230.24132</v>
      </c>
    </row>
    <row r="815" spans="3:21" s="9" customFormat="1" ht="0.5" customHeight="1">
      <c r="C815" s="9" t="s">
        <v>55</v>
      </c>
      <c r="D815" s="9" t="str">
        <f t="shared" si="46"/>
        <v>Paraguay47</v>
      </c>
      <c r="E815" s="398">
        <v>47</v>
      </c>
      <c r="F815" s="399">
        <v>107.39788</v>
      </c>
      <c r="G815" s="36">
        <v>65.031673999999995</v>
      </c>
      <c r="H815" s="36">
        <v>61.022545999999998</v>
      </c>
      <c r="I815" s="393">
        <v>186.03968</v>
      </c>
      <c r="J815" s="399">
        <v>185.30566999999999</v>
      </c>
      <c r="K815" s="36">
        <v>128.55646999999999</v>
      </c>
      <c r="L815" s="36">
        <v>140.44929999999999</v>
      </c>
      <c r="M815" s="393">
        <v>459.50939</v>
      </c>
      <c r="N815" s="399">
        <v>82.451475000000002</v>
      </c>
      <c r="O815" s="36">
        <v>43.062761999999999</v>
      </c>
      <c r="P815" s="36">
        <v>42.832878000000001</v>
      </c>
      <c r="Q815" s="393">
        <v>132.81272000000001</v>
      </c>
      <c r="R815" s="399">
        <v>134.88135</v>
      </c>
      <c r="S815" s="36">
        <v>98.086262000000005</v>
      </c>
      <c r="T815" s="36">
        <v>92.036812999999995</v>
      </c>
      <c r="U815" s="393">
        <v>230.01868999999999</v>
      </c>
    </row>
    <row r="816" spans="3:21" s="9" customFormat="1" ht="0.5" customHeight="1">
      <c r="C816" s="9" t="s">
        <v>55</v>
      </c>
      <c r="D816" s="9" t="str">
        <f t="shared" si="46"/>
        <v>Paraguay47.5</v>
      </c>
      <c r="E816" s="398">
        <v>47.5</v>
      </c>
      <c r="F816" s="399">
        <v>107.6041</v>
      </c>
      <c r="G816" s="36">
        <v>64.799837999999994</v>
      </c>
      <c r="H816" s="36">
        <v>60.884844999999999</v>
      </c>
      <c r="I816" s="393">
        <v>185.72165000000001</v>
      </c>
      <c r="J816" s="399">
        <v>186.26680999999999</v>
      </c>
      <c r="K816" s="36">
        <v>128.49497</v>
      </c>
      <c r="L816" s="36">
        <v>141.17057</v>
      </c>
      <c r="M816" s="393">
        <v>463.40069999999997</v>
      </c>
      <c r="N816" s="399">
        <v>82.484643000000005</v>
      </c>
      <c r="O816" s="36">
        <v>42.854734999999998</v>
      </c>
      <c r="P816" s="36">
        <v>42.877307000000002</v>
      </c>
      <c r="Q816" s="393">
        <v>132.34914000000001</v>
      </c>
      <c r="R816" s="399">
        <v>135.51517000000001</v>
      </c>
      <c r="S816" s="36">
        <v>98.863890999999995</v>
      </c>
      <c r="T816" s="36">
        <v>92.286698999999999</v>
      </c>
      <c r="U816" s="393">
        <v>229.53802999999999</v>
      </c>
    </row>
    <row r="817" spans="3:21" s="9" customFormat="1" ht="0.5" customHeight="1">
      <c r="C817" s="9" t="s">
        <v>55</v>
      </c>
      <c r="D817" s="9" t="str">
        <f t="shared" si="46"/>
        <v>Paraguay48</v>
      </c>
      <c r="E817" s="398">
        <v>48</v>
      </c>
      <c r="F817" s="399">
        <v>107.81023999999999</v>
      </c>
      <c r="G817" s="36">
        <v>64.593847999999994</v>
      </c>
      <c r="H817" s="36">
        <v>60.735841999999998</v>
      </c>
      <c r="I817" s="393">
        <v>185.27892</v>
      </c>
      <c r="J817" s="399">
        <v>187.50378000000001</v>
      </c>
      <c r="K817" s="36">
        <v>128.44417000000001</v>
      </c>
      <c r="L817" s="36">
        <v>141.29028</v>
      </c>
      <c r="M817" s="393">
        <v>465.87804</v>
      </c>
      <c r="N817" s="399">
        <v>82.582255000000004</v>
      </c>
      <c r="O817" s="36">
        <v>42.645603000000001</v>
      </c>
      <c r="P817" s="36">
        <v>42.881483000000003</v>
      </c>
      <c r="Q817" s="393">
        <v>131.83581000000001</v>
      </c>
      <c r="R817" s="399">
        <v>136.09533999999999</v>
      </c>
      <c r="S817" s="36">
        <v>99.268516000000005</v>
      </c>
      <c r="T817" s="36">
        <v>92.488150000000005</v>
      </c>
      <c r="U817" s="393">
        <v>228.91748999999999</v>
      </c>
    </row>
    <row r="818" spans="3:21" s="9" customFormat="1" ht="0.5" customHeight="1">
      <c r="C818" s="9" t="s">
        <v>55</v>
      </c>
      <c r="D818" s="9" t="str">
        <f t="shared" si="46"/>
        <v>Paraguay48.5</v>
      </c>
      <c r="E818" s="398">
        <v>48.5</v>
      </c>
      <c r="F818" s="399">
        <v>107.96921</v>
      </c>
      <c r="G818" s="36">
        <v>64.341187000000005</v>
      </c>
      <c r="H818" s="36">
        <v>60.587229999999998</v>
      </c>
      <c r="I818" s="393">
        <v>184.12831</v>
      </c>
      <c r="J818" s="399">
        <v>189.08001999999999</v>
      </c>
      <c r="K818" s="36">
        <v>128.84247999999999</v>
      </c>
      <c r="L818" s="36">
        <v>141.41359</v>
      </c>
      <c r="M818" s="393">
        <v>468.36592999999999</v>
      </c>
      <c r="N818" s="399">
        <v>82.663796000000005</v>
      </c>
      <c r="O818" s="36">
        <v>42.451549</v>
      </c>
      <c r="P818" s="36">
        <v>42.865203999999999</v>
      </c>
      <c r="Q818" s="393">
        <v>131.23577</v>
      </c>
      <c r="R818" s="399">
        <v>136.64508000000001</v>
      </c>
      <c r="S818" s="36">
        <v>99.463333000000006</v>
      </c>
      <c r="T818" s="36">
        <v>92.513332000000005</v>
      </c>
      <c r="U818" s="393">
        <v>228.28449000000001</v>
      </c>
    </row>
    <row r="819" spans="3:21" s="9" customFormat="1" ht="0.5" customHeight="1">
      <c r="C819" s="9" t="s">
        <v>55</v>
      </c>
      <c r="D819" s="9" t="str">
        <f t="shared" si="46"/>
        <v>Paraguay49</v>
      </c>
      <c r="E819" s="398">
        <v>49</v>
      </c>
      <c r="F819" s="399">
        <v>108.13048999999999</v>
      </c>
      <c r="G819" s="36">
        <v>64.036445999999998</v>
      </c>
      <c r="H819" s="36">
        <v>60.428120999999997</v>
      </c>
      <c r="I819" s="393">
        <v>182.94271000000001</v>
      </c>
      <c r="J819" s="399">
        <v>190.66075000000001</v>
      </c>
      <c r="K819" s="36">
        <v>129.31943999999999</v>
      </c>
      <c r="L819" s="36">
        <v>141.1705</v>
      </c>
      <c r="M819" s="393">
        <v>469.65947999999997</v>
      </c>
      <c r="N819" s="399">
        <v>82.716296</v>
      </c>
      <c r="O819" s="36">
        <v>42.26623</v>
      </c>
      <c r="P819" s="36">
        <v>42.845452000000002</v>
      </c>
      <c r="Q819" s="393">
        <v>130.5224</v>
      </c>
      <c r="R819" s="399">
        <v>137.11668</v>
      </c>
      <c r="S819" s="36">
        <v>99.321731999999997</v>
      </c>
      <c r="T819" s="36">
        <v>92.547781000000001</v>
      </c>
      <c r="U819" s="393">
        <v>227.68077</v>
      </c>
    </row>
    <row r="820" spans="3:21" s="9" customFormat="1" ht="0.5" customHeight="1">
      <c r="C820" s="9" t="s">
        <v>55</v>
      </c>
      <c r="D820" s="9" t="str">
        <f t="shared" si="46"/>
        <v>Paraguay49.5</v>
      </c>
      <c r="E820" s="398">
        <v>49.5</v>
      </c>
      <c r="F820" s="399">
        <v>108.29204</v>
      </c>
      <c r="G820" s="36">
        <v>63.817771</v>
      </c>
      <c r="H820" s="36">
        <v>60.263378000000003</v>
      </c>
      <c r="I820" s="393">
        <v>181.62806</v>
      </c>
      <c r="J820" s="399">
        <v>192.18645000000001</v>
      </c>
      <c r="K820" s="36">
        <v>130.5719</v>
      </c>
      <c r="L820" s="36">
        <v>140.91219000000001</v>
      </c>
      <c r="M820" s="393">
        <v>470.22692000000001</v>
      </c>
      <c r="N820" s="399">
        <v>82.825542999999996</v>
      </c>
      <c r="O820" s="36">
        <v>42.095371</v>
      </c>
      <c r="P820" s="36">
        <v>42.820400999999997</v>
      </c>
      <c r="Q820" s="393">
        <v>129.76388</v>
      </c>
      <c r="R820" s="399">
        <v>137.56401</v>
      </c>
      <c r="S820" s="36">
        <v>99.191654999999997</v>
      </c>
      <c r="T820" s="36">
        <v>92.58623</v>
      </c>
      <c r="U820" s="393">
        <v>227.20217</v>
      </c>
    </row>
    <row r="821" spans="3:21" s="9" customFormat="1" ht="0.5" customHeight="1">
      <c r="C821" s="9" t="s">
        <v>55</v>
      </c>
      <c r="D821" s="9" t="str">
        <f t="shared" si="46"/>
        <v>Paraguay50</v>
      </c>
      <c r="E821" s="398">
        <v>50</v>
      </c>
      <c r="F821" s="399">
        <v>108.46159</v>
      </c>
      <c r="G821" s="36">
        <v>63.693882000000002</v>
      </c>
      <c r="H821" s="36">
        <v>60.095818000000001</v>
      </c>
      <c r="I821" s="393">
        <v>180.49850000000001</v>
      </c>
      <c r="J821" s="399">
        <v>193.72797</v>
      </c>
      <c r="K821" s="36">
        <v>132.17984999999999</v>
      </c>
      <c r="L821" s="36">
        <v>140.25684999999999</v>
      </c>
      <c r="M821" s="393">
        <v>467.10845999999998</v>
      </c>
      <c r="N821" s="399">
        <v>83.075766000000002</v>
      </c>
      <c r="O821" s="36">
        <v>41.932219000000003</v>
      </c>
      <c r="P821" s="36">
        <v>42.789799000000002</v>
      </c>
      <c r="Q821" s="393">
        <v>129.05293</v>
      </c>
      <c r="R821" s="399">
        <v>137.96199999999999</v>
      </c>
      <c r="S821" s="36">
        <v>99.172346000000005</v>
      </c>
      <c r="T821" s="36">
        <v>92.598313000000005</v>
      </c>
      <c r="U821" s="393">
        <v>226.81195</v>
      </c>
    </row>
    <row r="822" spans="3:21" s="9" customFormat="1" ht="0.5" customHeight="1">
      <c r="C822" s="9" t="s">
        <v>55</v>
      </c>
      <c r="D822" s="9" t="str">
        <f t="shared" si="46"/>
        <v>Paraguay50.5</v>
      </c>
      <c r="E822" s="398">
        <v>50.5</v>
      </c>
      <c r="F822" s="399">
        <v>108.6615</v>
      </c>
      <c r="G822" s="36">
        <v>63.553536999999999</v>
      </c>
      <c r="H822" s="36">
        <v>59.922043000000002</v>
      </c>
      <c r="I822" s="393">
        <v>179.84145000000001</v>
      </c>
      <c r="J822" s="399">
        <v>195.01913999999999</v>
      </c>
      <c r="K822" s="36">
        <v>133.95862</v>
      </c>
      <c r="L822" s="36">
        <v>139.60774000000001</v>
      </c>
      <c r="M822" s="393">
        <v>463.55453</v>
      </c>
      <c r="N822" s="399">
        <v>83.296407000000002</v>
      </c>
      <c r="O822" s="36">
        <v>41.777718</v>
      </c>
      <c r="P822" s="36">
        <v>42.752471999999997</v>
      </c>
      <c r="Q822" s="393">
        <v>128.35921999999999</v>
      </c>
      <c r="R822" s="399">
        <v>138.26741000000001</v>
      </c>
      <c r="S822" s="36">
        <v>99.205305999999993</v>
      </c>
      <c r="T822" s="36">
        <v>92.550443999999999</v>
      </c>
      <c r="U822" s="393">
        <v>226.49731</v>
      </c>
    </row>
    <row r="823" spans="3:21" s="9" customFormat="1" ht="0.5" customHeight="1">
      <c r="C823" s="9" t="s">
        <v>55</v>
      </c>
      <c r="D823" s="9" t="str">
        <f t="shared" si="46"/>
        <v>Paraguay51</v>
      </c>
      <c r="E823" s="398">
        <v>51</v>
      </c>
      <c r="F823" s="399">
        <v>108.81950000000001</v>
      </c>
      <c r="G823" s="36">
        <v>63.399009999999997</v>
      </c>
      <c r="H823" s="36">
        <v>59.742185999999997</v>
      </c>
      <c r="I823" s="393">
        <v>179.25984</v>
      </c>
      <c r="J823" s="399">
        <v>196.08387999999999</v>
      </c>
      <c r="K823" s="36">
        <v>135.60498000000001</v>
      </c>
      <c r="L823" s="36">
        <v>138.42724999999999</v>
      </c>
      <c r="M823" s="393">
        <v>458.55475000000001</v>
      </c>
      <c r="N823" s="399">
        <v>83.466594000000001</v>
      </c>
      <c r="O823" s="36">
        <v>41.633119999999998</v>
      </c>
      <c r="P823" s="36">
        <v>42.711593999999998</v>
      </c>
      <c r="Q823" s="393">
        <v>127.6981</v>
      </c>
      <c r="R823" s="399">
        <v>138.39801</v>
      </c>
      <c r="S823" s="36">
        <v>99.108468999999999</v>
      </c>
      <c r="T823" s="36">
        <v>92.357495999999998</v>
      </c>
      <c r="U823" s="393">
        <v>226.14286999999999</v>
      </c>
    </row>
    <row r="824" spans="3:21" s="9" customFormat="1" ht="0.5" customHeight="1">
      <c r="C824" s="9" t="s">
        <v>55</v>
      </c>
      <c r="D824" s="9" t="str">
        <f t="shared" si="46"/>
        <v>Paraguay51.5</v>
      </c>
      <c r="E824" s="398">
        <v>51.5</v>
      </c>
      <c r="F824" s="399">
        <v>108.93004999999999</v>
      </c>
      <c r="G824" s="36">
        <v>63.264502999999998</v>
      </c>
      <c r="H824" s="36">
        <v>59.543779000000001</v>
      </c>
      <c r="I824" s="393">
        <v>178.80226999999999</v>
      </c>
      <c r="J824" s="399">
        <v>196.97333</v>
      </c>
      <c r="K824" s="36">
        <v>137.28187</v>
      </c>
      <c r="L824" s="36">
        <v>137.29803000000001</v>
      </c>
      <c r="M824" s="393">
        <v>454.55468999999999</v>
      </c>
      <c r="N824" s="399">
        <v>83.625005999999999</v>
      </c>
      <c r="O824" s="36">
        <v>41.498713000000002</v>
      </c>
      <c r="P824" s="36">
        <v>42.657290000000003</v>
      </c>
      <c r="Q824" s="393">
        <v>126.98779999999999</v>
      </c>
      <c r="R824" s="399">
        <v>138.41813999999999</v>
      </c>
      <c r="S824" s="36">
        <v>98.912659000000005</v>
      </c>
      <c r="T824" s="36">
        <v>92.088882999999996</v>
      </c>
      <c r="U824" s="393">
        <v>225.66900999999999</v>
      </c>
    </row>
    <row r="825" spans="3:21" s="9" customFormat="1" ht="0.5" customHeight="1">
      <c r="C825" s="9" t="s">
        <v>55</v>
      </c>
      <c r="D825" s="9" t="str">
        <f t="shared" si="46"/>
        <v>Paraguay52</v>
      </c>
      <c r="E825" s="398">
        <v>52</v>
      </c>
      <c r="F825" s="399">
        <v>109.01264999999999</v>
      </c>
      <c r="G825" s="36">
        <v>63.164340000000003</v>
      </c>
      <c r="H825" s="36">
        <v>59.347045000000001</v>
      </c>
      <c r="I825" s="393">
        <v>178.43947</v>
      </c>
      <c r="J825" s="399">
        <v>197.85563999999999</v>
      </c>
      <c r="K825" s="36">
        <v>138.71692999999999</v>
      </c>
      <c r="L825" s="36">
        <v>136.48049</v>
      </c>
      <c r="M825" s="393">
        <v>452.91248999999999</v>
      </c>
      <c r="N825" s="399">
        <v>83.776884999999993</v>
      </c>
      <c r="O825" s="36">
        <v>41.372492000000001</v>
      </c>
      <c r="P825" s="36">
        <v>42.577084999999997</v>
      </c>
      <c r="Q825" s="393">
        <v>126.16381</v>
      </c>
      <c r="R825" s="399">
        <v>138.34540999999999</v>
      </c>
      <c r="S825" s="36">
        <v>98.590807999999996</v>
      </c>
      <c r="T825" s="36">
        <v>91.931389999999993</v>
      </c>
      <c r="U825" s="393">
        <v>224.98435000000001</v>
      </c>
    </row>
    <row r="826" spans="3:21" s="9" customFormat="1" ht="0.5" customHeight="1">
      <c r="C826" s="9" t="s">
        <v>55</v>
      </c>
      <c r="D826" s="9" t="str">
        <f t="shared" si="46"/>
        <v>Paraguay52.5</v>
      </c>
      <c r="E826" s="398">
        <v>52.5</v>
      </c>
      <c r="F826" s="399">
        <v>109.12739000000001</v>
      </c>
      <c r="G826" s="36">
        <v>63.054563999999999</v>
      </c>
      <c r="H826" s="36">
        <v>59.163845000000002</v>
      </c>
      <c r="I826" s="393">
        <v>177.92865</v>
      </c>
      <c r="J826" s="399">
        <v>198.99887000000001</v>
      </c>
      <c r="K826" s="36">
        <v>139.83329000000001</v>
      </c>
      <c r="L826" s="36">
        <v>135.56168</v>
      </c>
      <c r="M826" s="393">
        <v>453.92955000000001</v>
      </c>
      <c r="N826" s="399">
        <v>83.943923999999996</v>
      </c>
      <c r="O826" s="36">
        <v>41.275691999999999</v>
      </c>
      <c r="P826" s="36">
        <v>42.472135999999999</v>
      </c>
      <c r="Q826" s="393">
        <v>125.2914</v>
      </c>
      <c r="R826" s="399">
        <v>138.21337</v>
      </c>
      <c r="S826" s="36">
        <v>98.123316000000003</v>
      </c>
      <c r="T826" s="36">
        <v>92.137928000000002</v>
      </c>
      <c r="U826" s="393">
        <v>224.02287999999999</v>
      </c>
    </row>
    <row r="827" spans="3:21" s="9" customFormat="1" ht="0.5" customHeight="1">
      <c r="C827" s="9" t="s">
        <v>55</v>
      </c>
      <c r="D827" s="9" t="str">
        <f t="shared" ref="D827:D890" si="47">CONCATENATE(C827,E827)</f>
        <v>Paraguay53</v>
      </c>
      <c r="E827" s="398">
        <v>53</v>
      </c>
      <c r="F827" s="399">
        <v>109.28559</v>
      </c>
      <c r="G827" s="36">
        <v>62.856319999999997</v>
      </c>
      <c r="H827" s="36">
        <v>59.010370000000002</v>
      </c>
      <c r="I827" s="393">
        <v>177.02828</v>
      </c>
      <c r="J827" s="399">
        <v>200.29832999999999</v>
      </c>
      <c r="K827" s="36">
        <v>140.79508000000001</v>
      </c>
      <c r="L827" s="36">
        <v>134.52276000000001</v>
      </c>
      <c r="M827" s="393">
        <v>457.84859999999998</v>
      </c>
      <c r="N827" s="399">
        <v>84.130348999999995</v>
      </c>
      <c r="O827" s="36">
        <v>41.236086999999998</v>
      </c>
      <c r="P827" s="36">
        <v>42.344043999999997</v>
      </c>
      <c r="Q827" s="393">
        <v>124.31422999999999</v>
      </c>
      <c r="R827" s="399">
        <v>137.93176</v>
      </c>
      <c r="S827" s="36">
        <v>97.438576999999995</v>
      </c>
      <c r="T827" s="36">
        <v>92.826143000000002</v>
      </c>
      <c r="U827" s="393">
        <v>222.63801000000001</v>
      </c>
    </row>
    <row r="828" spans="3:21" s="9" customFormat="1" ht="0.5" customHeight="1">
      <c r="C828" s="9" t="s">
        <v>55</v>
      </c>
      <c r="D828" s="9" t="str">
        <f t="shared" si="47"/>
        <v>Paraguay53.5</v>
      </c>
      <c r="E828" s="398">
        <v>53.5</v>
      </c>
      <c r="F828" s="399">
        <v>109.45796</v>
      </c>
      <c r="G828" s="36">
        <v>62.590986000000001</v>
      </c>
      <c r="H828" s="36">
        <v>58.904412999999998</v>
      </c>
      <c r="I828" s="393">
        <v>175.79239999999999</v>
      </c>
      <c r="J828" s="399">
        <v>201.82029</v>
      </c>
      <c r="K828" s="36">
        <v>141.50899000000001</v>
      </c>
      <c r="L828" s="36">
        <v>133.42310000000001</v>
      </c>
      <c r="M828" s="393">
        <v>463.67574000000002</v>
      </c>
      <c r="N828" s="399">
        <v>84.347847000000002</v>
      </c>
      <c r="O828" s="36">
        <v>41.235700999999999</v>
      </c>
      <c r="P828" s="36">
        <v>42.216121000000001</v>
      </c>
      <c r="Q828" s="393">
        <v>123.09979</v>
      </c>
      <c r="R828" s="399">
        <v>137.33305999999999</v>
      </c>
      <c r="S828" s="36">
        <v>96.494123999999999</v>
      </c>
      <c r="T828" s="36">
        <v>93.608810000000005</v>
      </c>
      <c r="U828" s="393">
        <v>220.88990000000001</v>
      </c>
    </row>
    <row r="829" spans="3:21" s="9" customFormat="1" ht="0.5" customHeight="1">
      <c r="C829" s="9" t="s">
        <v>55</v>
      </c>
      <c r="D829" s="9" t="str">
        <f t="shared" si="47"/>
        <v>Paraguay54</v>
      </c>
      <c r="E829" s="398">
        <v>54</v>
      </c>
      <c r="F829" s="399">
        <v>109.68335</v>
      </c>
      <c r="G829" s="36">
        <v>62.271396000000003</v>
      </c>
      <c r="H829" s="36">
        <v>58.883628999999999</v>
      </c>
      <c r="I829" s="393">
        <v>173.89819</v>
      </c>
      <c r="J829" s="399">
        <v>203.79057</v>
      </c>
      <c r="K829" s="36">
        <v>141.80159</v>
      </c>
      <c r="L829" s="36">
        <v>131.99426</v>
      </c>
      <c r="M829" s="393">
        <v>468.66028999999997</v>
      </c>
      <c r="N829" s="399">
        <v>84.587220000000002</v>
      </c>
      <c r="O829" s="36">
        <v>41.308174999999999</v>
      </c>
      <c r="P829" s="36">
        <v>42.075068999999999</v>
      </c>
      <c r="Q829" s="393">
        <v>122.00281</v>
      </c>
      <c r="R829" s="399">
        <v>136.59693999999999</v>
      </c>
      <c r="S829" s="36">
        <v>95.362420999999998</v>
      </c>
      <c r="T829" s="36">
        <v>94.690595000000002</v>
      </c>
      <c r="U829" s="393">
        <v>218.64893000000001</v>
      </c>
    </row>
    <row r="830" spans="3:21" s="9" customFormat="1" ht="0.5" customHeight="1">
      <c r="C830" s="9" t="s">
        <v>55</v>
      </c>
      <c r="D830" s="9" t="str">
        <f t="shared" si="47"/>
        <v>Paraguay54.5</v>
      </c>
      <c r="E830" s="398">
        <v>54.5</v>
      </c>
      <c r="F830" s="399">
        <v>109.94482000000001</v>
      </c>
      <c r="G830" s="36">
        <v>61.951267000000001</v>
      </c>
      <c r="H830" s="36">
        <v>58.882311999999999</v>
      </c>
      <c r="I830" s="393">
        <v>171.52</v>
      </c>
      <c r="J830" s="399">
        <v>205.64099999999999</v>
      </c>
      <c r="K830" s="36">
        <v>142.04035999999999</v>
      </c>
      <c r="L830" s="36">
        <v>129.79991999999999</v>
      </c>
      <c r="M830" s="393">
        <v>472.02134999999998</v>
      </c>
      <c r="N830" s="399">
        <v>84.811706000000001</v>
      </c>
      <c r="O830" s="36">
        <v>41.360568999999998</v>
      </c>
      <c r="P830" s="36">
        <v>41.918664</v>
      </c>
      <c r="Q830" s="393">
        <v>121.30625000000001</v>
      </c>
      <c r="R830" s="399">
        <v>135.97909000000001</v>
      </c>
      <c r="S830" s="36">
        <v>93.998069000000001</v>
      </c>
      <c r="T830" s="36">
        <v>95.770030000000006</v>
      </c>
      <c r="U830" s="393">
        <v>216.14085</v>
      </c>
    </row>
    <row r="831" spans="3:21" s="9" customFormat="1" ht="0.5" customHeight="1">
      <c r="C831" s="9" t="s">
        <v>55</v>
      </c>
      <c r="D831" s="9" t="str">
        <f t="shared" si="47"/>
        <v>Paraguay55</v>
      </c>
      <c r="E831" s="398">
        <v>55</v>
      </c>
      <c r="F831" s="399">
        <v>110.31447</v>
      </c>
      <c r="G831" s="36">
        <v>61.752032</v>
      </c>
      <c r="H831" s="36">
        <v>58.904784999999997</v>
      </c>
      <c r="I831" s="393">
        <v>168.05752000000001</v>
      </c>
      <c r="J831" s="399">
        <v>205.32998000000001</v>
      </c>
      <c r="K831" s="36">
        <v>141.92358999999999</v>
      </c>
      <c r="L831" s="36">
        <v>127.68961</v>
      </c>
      <c r="M831" s="393">
        <v>469.92847999999998</v>
      </c>
      <c r="N831" s="399">
        <v>84.689564000000004</v>
      </c>
      <c r="O831" s="36">
        <v>41.410246000000001</v>
      </c>
      <c r="P831" s="36">
        <v>41.668925999999999</v>
      </c>
      <c r="Q831" s="393">
        <v>120.51063000000001</v>
      </c>
      <c r="R831" s="399">
        <v>135.24045000000001</v>
      </c>
      <c r="S831" s="36">
        <v>92.354602</v>
      </c>
      <c r="T831" s="36">
        <v>97.16628</v>
      </c>
      <c r="U831" s="393">
        <v>213.42662000000001</v>
      </c>
    </row>
    <row r="832" spans="3:21" s="9" customFormat="1" ht="0.5" customHeight="1">
      <c r="C832" s="9" t="s">
        <v>52</v>
      </c>
      <c r="D832" s="9" t="str">
        <f t="shared" si="47"/>
        <v>Mexico20</v>
      </c>
      <c r="E832" s="398">
        <v>20</v>
      </c>
      <c r="F832" s="399">
        <v>74.829744000000005</v>
      </c>
      <c r="G832" s="36">
        <v>50.826281000000002</v>
      </c>
      <c r="H832" s="36">
        <v>46.497276999999997</v>
      </c>
      <c r="I832" s="393">
        <v>90.064977999999996</v>
      </c>
      <c r="J832" s="399">
        <v>81.234617</v>
      </c>
      <c r="K832" s="36">
        <v>50.355683999999997</v>
      </c>
      <c r="L832" s="36">
        <v>63.352963000000003</v>
      </c>
      <c r="M832" s="393">
        <v>207.09962999999999</v>
      </c>
      <c r="N832" s="399">
        <v>63.438963999999999</v>
      </c>
      <c r="O832" s="36">
        <v>37.852730000000001</v>
      </c>
      <c r="P832" s="36">
        <v>18.768487</v>
      </c>
      <c r="Q832" s="393">
        <v>43.902501999999998</v>
      </c>
      <c r="R832" s="399">
        <v>73.012533000000005</v>
      </c>
      <c r="S832" s="36">
        <v>40.671028</v>
      </c>
      <c r="T832" s="36">
        <v>24.861315000000001</v>
      </c>
      <c r="U832" s="393">
        <v>98.327619999999996</v>
      </c>
    </row>
    <row r="833" spans="3:21" s="9" customFormat="1" ht="0.5" customHeight="1">
      <c r="C833" s="9" t="s">
        <v>52</v>
      </c>
      <c r="D833" s="9" t="str">
        <f t="shared" si="47"/>
        <v>Mexico20.5</v>
      </c>
      <c r="E833" s="398">
        <v>20.5</v>
      </c>
      <c r="F833" s="399">
        <v>77.096324999999993</v>
      </c>
      <c r="G833" s="36">
        <v>52.134619000000001</v>
      </c>
      <c r="H833" s="36">
        <v>48.308275000000002</v>
      </c>
      <c r="I833" s="393">
        <v>94.528547000000003</v>
      </c>
      <c r="J833" s="399">
        <v>86.634506000000002</v>
      </c>
      <c r="K833" s="36">
        <v>53.982759999999999</v>
      </c>
      <c r="L833" s="36">
        <v>68.528115</v>
      </c>
      <c r="M833" s="393">
        <v>195.78961000000001</v>
      </c>
      <c r="N833" s="399">
        <v>64.348359000000002</v>
      </c>
      <c r="O833" s="36">
        <v>38.226191999999998</v>
      </c>
      <c r="P833" s="36">
        <v>18.951309999999999</v>
      </c>
      <c r="Q833" s="393">
        <v>41.745202999999997</v>
      </c>
      <c r="R833" s="399">
        <v>77.934265999999994</v>
      </c>
      <c r="S833" s="36">
        <v>44.536583999999998</v>
      </c>
      <c r="T833" s="36">
        <v>28.147245000000002</v>
      </c>
      <c r="U833" s="393">
        <v>103.14578</v>
      </c>
    </row>
    <row r="834" spans="3:21" s="9" customFormat="1" ht="0.5" customHeight="1">
      <c r="C834" s="9" t="s">
        <v>52</v>
      </c>
      <c r="D834" s="9" t="str">
        <f t="shared" si="47"/>
        <v>Mexico21</v>
      </c>
      <c r="E834" s="398">
        <v>21</v>
      </c>
      <c r="F834" s="399">
        <v>79.352973000000006</v>
      </c>
      <c r="G834" s="36">
        <v>53.361980000000003</v>
      </c>
      <c r="H834" s="36">
        <v>49.841151000000004</v>
      </c>
      <c r="I834" s="393">
        <v>98.361953999999997</v>
      </c>
      <c r="J834" s="399">
        <v>92.159238000000002</v>
      </c>
      <c r="K834" s="36">
        <v>57.915433</v>
      </c>
      <c r="L834" s="36">
        <v>73.106665000000007</v>
      </c>
      <c r="M834" s="393">
        <v>187.31717</v>
      </c>
      <c r="N834" s="399">
        <v>65.298940999999999</v>
      </c>
      <c r="O834" s="36">
        <v>38.563338000000002</v>
      </c>
      <c r="P834" s="36">
        <v>19.293441000000001</v>
      </c>
      <c r="Q834" s="393">
        <v>41.777175</v>
      </c>
      <c r="R834" s="399">
        <v>82.805400000000006</v>
      </c>
      <c r="S834" s="36">
        <v>48.335425000000001</v>
      </c>
      <c r="T834" s="36">
        <v>31.080309</v>
      </c>
      <c r="U834" s="393">
        <v>108.46214000000001</v>
      </c>
    </row>
    <row r="835" spans="3:21" s="9" customFormat="1" ht="0.5" customHeight="1">
      <c r="C835" s="9" t="s">
        <v>52</v>
      </c>
      <c r="D835" s="9" t="str">
        <f t="shared" si="47"/>
        <v>Mexico21.5</v>
      </c>
      <c r="E835" s="398">
        <v>21.5</v>
      </c>
      <c r="F835" s="399">
        <v>81.559156999999999</v>
      </c>
      <c r="G835" s="36">
        <v>54.529719999999998</v>
      </c>
      <c r="H835" s="36">
        <v>51.128070999999998</v>
      </c>
      <c r="I835" s="393">
        <v>101.82778</v>
      </c>
      <c r="J835" s="399">
        <v>97.836577000000005</v>
      </c>
      <c r="K835" s="36">
        <v>62.071607</v>
      </c>
      <c r="L835" s="36">
        <v>77.466378000000006</v>
      </c>
      <c r="M835" s="393">
        <v>186.49412000000001</v>
      </c>
      <c r="N835" s="399">
        <v>66.288809999999998</v>
      </c>
      <c r="O835" s="36">
        <v>38.880377000000003</v>
      </c>
      <c r="P835" s="36">
        <v>19.792814</v>
      </c>
      <c r="Q835" s="393">
        <v>42.684913999999999</v>
      </c>
      <c r="R835" s="399">
        <v>87.825762999999995</v>
      </c>
      <c r="S835" s="36">
        <v>52.058311000000003</v>
      </c>
      <c r="T835" s="36">
        <v>33.978344999999997</v>
      </c>
      <c r="U835" s="393">
        <v>112.45571</v>
      </c>
    </row>
    <row r="836" spans="3:21" s="9" customFormat="1" ht="0.5" customHeight="1">
      <c r="C836" s="9" t="s">
        <v>52</v>
      </c>
      <c r="D836" s="9" t="str">
        <f t="shared" si="47"/>
        <v>Mexico22</v>
      </c>
      <c r="E836" s="398">
        <v>22</v>
      </c>
      <c r="F836" s="399">
        <v>83.608580000000003</v>
      </c>
      <c r="G836" s="36">
        <v>55.622557999999998</v>
      </c>
      <c r="H836" s="36">
        <v>52.254263999999999</v>
      </c>
      <c r="I836" s="393">
        <v>104.23907</v>
      </c>
      <c r="J836" s="399">
        <v>103.71652</v>
      </c>
      <c r="K836" s="36">
        <v>66.516159999999999</v>
      </c>
      <c r="L836" s="36">
        <v>81.529555999999999</v>
      </c>
      <c r="M836" s="393">
        <v>187.80953</v>
      </c>
      <c r="N836" s="399">
        <v>67.303385000000006</v>
      </c>
      <c r="O836" s="36">
        <v>39.172094999999999</v>
      </c>
      <c r="P836" s="36">
        <v>20.319177</v>
      </c>
      <c r="Q836" s="393">
        <v>43.572882999999997</v>
      </c>
      <c r="R836" s="399">
        <v>92.996618999999995</v>
      </c>
      <c r="S836" s="36">
        <v>55.713394000000001</v>
      </c>
      <c r="T836" s="36">
        <v>36.566160000000004</v>
      </c>
      <c r="U836" s="393">
        <v>116.32644000000001</v>
      </c>
    </row>
    <row r="837" spans="3:21" s="9" customFormat="1" ht="0.5" customHeight="1">
      <c r="C837" s="9" t="s">
        <v>52</v>
      </c>
      <c r="D837" s="9" t="str">
        <f t="shared" si="47"/>
        <v>Mexico22.5</v>
      </c>
      <c r="E837" s="398">
        <v>22.5</v>
      </c>
      <c r="F837" s="399">
        <v>85.524261999999993</v>
      </c>
      <c r="G837" s="36">
        <v>56.592759000000001</v>
      </c>
      <c r="H837" s="36">
        <v>53.336475</v>
      </c>
      <c r="I837" s="393">
        <v>105.92126</v>
      </c>
      <c r="J837" s="399">
        <v>109.68991</v>
      </c>
      <c r="K837" s="36">
        <v>71.170722999999995</v>
      </c>
      <c r="L837" s="36">
        <v>85.372911999999999</v>
      </c>
      <c r="M837" s="393">
        <v>190.30515</v>
      </c>
      <c r="N837" s="399">
        <v>68.346127999999993</v>
      </c>
      <c r="O837" s="36">
        <v>39.424002999999999</v>
      </c>
      <c r="P837" s="36">
        <v>20.831672000000001</v>
      </c>
      <c r="Q837" s="393">
        <v>44.526806999999998</v>
      </c>
      <c r="R837" s="399">
        <v>98.364157000000006</v>
      </c>
      <c r="S837" s="36">
        <v>59.394860000000001</v>
      </c>
      <c r="T837" s="36">
        <v>39.018000999999998</v>
      </c>
      <c r="U837" s="393">
        <v>119.36672</v>
      </c>
    </row>
    <row r="838" spans="3:21" s="9" customFormat="1" ht="0.5" customHeight="1">
      <c r="C838" s="9" t="s">
        <v>52</v>
      </c>
      <c r="D838" s="9" t="str">
        <f t="shared" si="47"/>
        <v>Mexico23</v>
      </c>
      <c r="E838" s="398">
        <v>23</v>
      </c>
      <c r="F838" s="399">
        <v>87.392392000000001</v>
      </c>
      <c r="G838" s="36">
        <v>57.521672000000002</v>
      </c>
      <c r="H838" s="36">
        <v>54.386369000000002</v>
      </c>
      <c r="I838" s="393">
        <v>107.27399</v>
      </c>
      <c r="J838" s="399">
        <v>115.69148</v>
      </c>
      <c r="K838" s="36">
        <v>75.967214999999996</v>
      </c>
      <c r="L838" s="36">
        <v>89.014150999999998</v>
      </c>
      <c r="M838" s="393">
        <v>193.43362999999999</v>
      </c>
      <c r="N838" s="399">
        <v>69.367397999999994</v>
      </c>
      <c r="O838" s="36">
        <v>39.62191</v>
      </c>
      <c r="P838" s="36">
        <v>21.369727000000001</v>
      </c>
      <c r="Q838" s="393">
        <v>45.706049</v>
      </c>
      <c r="R838" s="399">
        <v>103.66311</v>
      </c>
      <c r="S838" s="36">
        <v>63.114868000000001</v>
      </c>
      <c r="T838" s="36">
        <v>41.25403</v>
      </c>
      <c r="U838" s="393">
        <v>122.00358</v>
      </c>
    </row>
    <row r="839" spans="3:21" s="9" customFormat="1" ht="0.5" customHeight="1">
      <c r="C839" s="9" t="s">
        <v>52</v>
      </c>
      <c r="D839" s="9" t="str">
        <f t="shared" si="47"/>
        <v>Mexico23.5</v>
      </c>
      <c r="E839" s="398">
        <v>23.5</v>
      </c>
      <c r="F839" s="399">
        <v>89.069149999999993</v>
      </c>
      <c r="G839" s="36">
        <v>58.367080999999999</v>
      </c>
      <c r="H839" s="36">
        <v>55.361542999999998</v>
      </c>
      <c r="I839" s="393">
        <v>108.41013</v>
      </c>
      <c r="J839" s="399">
        <v>121.64245</v>
      </c>
      <c r="K839" s="36">
        <v>80.776775999999998</v>
      </c>
      <c r="L839" s="36">
        <v>92.608171999999996</v>
      </c>
      <c r="M839" s="393">
        <v>197.51164</v>
      </c>
      <c r="N839" s="399">
        <v>70.365853000000001</v>
      </c>
      <c r="O839" s="36">
        <v>39.784311000000002</v>
      </c>
      <c r="P839" s="36">
        <v>21.932952</v>
      </c>
      <c r="Q839" s="393">
        <v>47.018450999999999</v>
      </c>
      <c r="R839" s="399">
        <v>108.75237</v>
      </c>
      <c r="S839" s="36">
        <v>66.844528999999994</v>
      </c>
      <c r="T839" s="36">
        <v>43.355857</v>
      </c>
      <c r="U839" s="393">
        <v>124.31785000000001</v>
      </c>
    </row>
    <row r="840" spans="3:21" s="9" customFormat="1" ht="0.5" customHeight="1">
      <c r="C840" s="9" t="s">
        <v>52</v>
      </c>
      <c r="D840" s="9" t="str">
        <f t="shared" si="47"/>
        <v>Mexico24</v>
      </c>
      <c r="E840" s="398">
        <v>24</v>
      </c>
      <c r="F840" s="399">
        <v>90.748722000000001</v>
      </c>
      <c r="G840" s="36">
        <v>59.217145000000002</v>
      </c>
      <c r="H840" s="36">
        <v>56.264954000000003</v>
      </c>
      <c r="I840" s="393">
        <v>109.57707000000001</v>
      </c>
      <c r="J840" s="399">
        <v>127.59013</v>
      </c>
      <c r="K840" s="36">
        <v>85.543919000000002</v>
      </c>
      <c r="L840" s="36">
        <v>96.374889999999994</v>
      </c>
      <c r="M840" s="393">
        <v>203.44658999999999</v>
      </c>
      <c r="N840" s="399">
        <v>71.287882999999994</v>
      </c>
      <c r="O840" s="36">
        <v>39.916030999999997</v>
      </c>
      <c r="P840" s="36">
        <v>22.526256</v>
      </c>
      <c r="Q840" s="393">
        <v>48.386735999999999</v>
      </c>
      <c r="R840" s="399">
        <v>113.76585</v>
      </c>
      <c r="S840" s="36">
        <v>70.576880000000003</v>
      </c>
      <c r="T840" s="36">
        <v>45.282150999999999</v>
      </c>
      <c r="U840" s="393">
        <v>126.9126</v>
      </c>
    </row>
    <row r="841" spans="3:21" s="9" customFormat="1" ht="0.5" customHeight="1">
      <c r="C841" s="9" t="s">
        <v>52</v>
      </c>
      <c r="D841" s="9" t="str">
        <f t="shared" si="47"/>
        <v>Mexico24.5</v>
      </c>
      <c r="E841" s="398">
        <v>24.5</v>
      </c>
      <c r="F841" s="399">
        <v>92.261786999999998</v>
      </c>
      <c r="G841" s="36">
        <v>59.875436000000001</v>
      </c>
      <c r="H841" s="36">
        <v>57.106776000000004</v>
      </c>
      <c r="I841" s="393">
        <v>110.80936</v>
      </c>
      <c r="J841" s="399">
        <v>133.58508</v>
      </c>
      <c r="K841" s="36">
        <v>90.204075000000003</v>
      </c>
      <c r="L841" s="36">
        <v>100.27706999999999</v>
      </c>
      <c r="M841" s="393">
        <v>210.56341</v>
      </c>
      <c r="N841" s="399">
        <v>72.177582999999998</v>
      </c>
      <c r="O841" s="36">
        <v>40.040312</v>
      </c>
      <c r="P841" s="36">
        <v>23.115483000000001</v>
      </c>
      <c r="Q841" s="393">
        <v>49.627032</v>
      </c>
      <c r="R841" s="399">
        <v>118.55844</v>
      </c>
      <c r="S841" s="36">
        <v>74.013143999999997</v>
      </c>
      <c r="T841" s="36">
        <v>47.053269999999998</v>
      </c>
      <c r="U841" s="393">
        <v>128.99802</v>
      </c>
    </row>
    <row r="842" spans="3:21" s="9" customFormat="1" ht="0.5" customHeight="1">
      <c r="C842" s="9" t="s">
        <v>52</v>
      </c>
      <c r="D842" s="9" t="str">
        <f t="shared" si="47"/>
        <v>Mexico25</v>
      </c>
      <c r="E842" s="398">
        <v>25</v>
      </c>
      <c r="F842" s="399">
        <v>93.781222999999997</v>
      </c>
      <c r="G842" s="36">
        <v>60.536831999999997</v>
      </c>
      <c r="H842" s="36">
        <v>57.880932000000001</v>
      </c>
      <c r="I842" s="393">
        <v>112.00167</v>
      </c>
      <c r="J842" s="399">
        <v>139.51373000000001</v>
      </c>
      <c r="K842" s="36">
        <v>94.826324</v>
      </c>
      <c r="L842" s="36">
        <v>104.19662</v>
      </c>
      <c r="M842" s="393">
        <v>221.30256</v>
      </c>
      <c r="N842" s="399">
        <v>73.046798999999993</v>
      </c>
      <c r="O842" s="36">
        <v>40.168557</v>
      </c>
      <c r="P842" s="36">
        <v>23.684197000000001</v>
      </c>
      <c r="Q842" s="393">
        <v>50.744070999999998</v>
      </c>
      <c r="R842" s="399">
        <v>123.06879000000001</v>
      </c>
      <c r="S842" s="36">
        <v>77.293794000000005</v>
      </c>
      <c r="T842" s="36">
        <v>48.684981999999998</v>
      </c>
      <c r="U842" s="393">
        <v>130.54452000000001</v>
      </c>
    </row>
    <row r="843" spans="3:21" s="9" customFormat="1" ht="0.5" customHeight="1">
      <c r="C843" s="9" t="s">
        <v>52</v>
      </c>
      <c r="D843" s="9" t="str">
        <f t="shared" si="47"/>
        <v>Mexico25.5</v>
      </c>
      <c r="E843" s="398">
        <v>25.5</v>
      </c>
      <c r="F843" s="399">
        <v>95.143803000000005</v>
      </c>
      <c r="G843" s="36">
        <v>61.169750000000001</v>
      </c>
      <c r="H843" s="36">
        <v>58.465349000000003</v>
      </c>
      <c r="I843" s="393">
        <v>113.17814</v>
      </c>
      <c r="J843" s="399">
        <v>145.20143999999999</v>
      </c>
      <c r="K843" s="36">
        <v>99.163008000000005</v>
      </c>
      <c r="L843" s="36">
        <v>107.87300999999999</v>
      </c>
      <c r="M843" s="393">
        <v>232.40161000000001</v>
      </c>
      <c r="N843" s="399">
        <v>73.916426000000001</v>
      </c>
      <c r="O843" s="36">
        <v>40.294142000000001</v>
      </c>
      <c r="P843" s="36">
        <v>24.246919999999999</v>
      </c>
      <c r="Q843" s="393">
        <v>51.586094000000003</v>
      </c>
      <c r="R843" s="399">
        <v>126.83737000000001</v>
      </c>
      <c r="S843" s="36">
        <v>80.260042999999996</v>
      </c>
      <c r="T843" s="36">
        <v>50.213853</v>
      </c>
      <c r="U843" s="393">
        <v>132.10449</v>
      </c>
    </row>
    <row r="844" spans="3:21" s="9" customFormat="1" ht="0.5" customHeight="1">
      <c r="C844" s="9" t="s">
        <v>52</v>
      </c>
      <c r="D844" s="9" t="str">
        <f t="shared" si="47"/>
        <v>Mexico26</v>
      </c>
      <c r="E844" s="398">
        <v>26</v>
      </c>
      <c r="F844" s="399">
        <v>96.512744999999995</v>
      </c>
      <c r="G844" s="36">
        <v>61.804563999999999</v>
      </c>
      <c r="H844" s="36">
        <v>58.908256999999999</v>
      </c>
      <c r="I844" s="393">
        <v>114.39172000000001</v>
      </c>
      <c r="J844" s="399">
        <v>150.80034000000001</v>
      </c>
      <c r="K844" s="36">
        <v>103.16374999999999</v>
      </c>
      <c r="L844" s="36">
        <v>111.45407</v>
      </c>
      <c r="M844" s="393">
        <v>243.40980999999999</v>
      </c>
      <c r="N844" s="399">
        <v>74.699506999999997</v>
      </c>
      <c r="O844" s="36">
        <v>40.420971000000002</v>
      </c>
      <c r="P844" s="36">
        <v>24.826637000000002</v>
      </c>
      <c r="Q844" s="393">
        <v>52.361446000000001</v>
      </c>
      <c r="R844" s="399">
        <v>130.42926</v>
      </c>
      <c r="S844" s="36">
        <v>83.066588999999993</v>
      </c>
      <c r="T844" s="36">
        <v>51.683669000000002</v>
      </c>
      <c r="U844" s="393">
        <v>133.58629999999999</v>
      </c>
    </row>
    <row r="845" spans="3:21" s="9" customFormat="1" ht="0.5" customHeight="1">
      <c r="C845" s="9" t="s">
        <v>52</v>
      </c>
      <c r="D845" s="9" t="str">
        <f t="shared" si="47"/>
        <v>Mexico26.5</v>
      </c>
      <c r="E845" s="398">
        <v>26.5</v>
      </c>
      <c r="F845" s="399">
        <v>97.529368000000005</v>
      </c>
      <c r="G845" s="36">
        <v>62.285207</v>
      </c>
      <c r="H845" s="36">
        <v>59.418567000000003</v>
      </c>
      <c r="I845" s="393">
        <v>115.66059</v>
      </c>
      <c r="J845" s="399">
        <v>156.15386000000001</v>
      </c>
      <c r="K845" s="36">
        <v>106.96934</v>
      </c>
      <c r="L845" s="36">
        <v>114.99162</v>
      </c>
      <c r="M845" s="393">
        <v>254.33167</v>
      </c>
      <c r="N845" s="399">
        <v>75.468834999999999</v>
      </c>
      <c r="O845" s="36">
        <v>40.556091000000002</v>
      </c>
      <c r="P845" s="36">
        <v>25.401062</v>
      </c>
      <c r="Q845" s="393">
        <v>53.198926999999998</v>
      </c>
      <c r="R845" s="399">
        <v>133.41399999999999</v>
      </c>
      <c r="S845" s="36">
        <v>85.486462000000003</v>
      </c>
      <c r="T845" s="36">
        <v>53.083399</v>
      </c>
      <c r="U845" s="393">
        <v>135.19971000000001</v>
      </c>
    </row>
    <row r="846" spans="3:21" s="9" customFormat="1" ht="0.5" customHeight="1">
      <c r="C846" s="9" t="s">
        <v>52</v>
      </c>
      <c r="D846" s="9" t="str">
        <f t="shared" si="47"/>
        <v>Mexico27</v>
      </c>
      <c r="E846" s="398">
        <v>27</v>
      </c>
      <c r="F846" s="399">
        <v>98.560869999999994</v>
      </c>
      <c r="G846" s="36">
        <v>62.772328999999999</v>
      </c>
      <c r="H846" s="36">
        <v>60.074423000000003</v>
      </c>
      <c r="I846" s="393">
        <v>116.97074000000001</v>
      </c>
      <c r="J846" s="399">
        <v>161.51254</v>
      </c>
      <c r="K846" s="36">
        <v>110.49464999999999</v>
      </c>
      <c r="L846" s="36">
        <v>118.11072</v>
      </c>
      <c r="M846" s="393">
        <v>264.14958999999999</v>
      </c>
      <c r="N846" s="399">
        <v>76.213977</v>
      </c>
      <c r="O846" s="36">
        <v>40.657347999999999</v>
      </c>
      <c r="P846" s="36">
        <v>25.938628000000001</v>
      </c>
      <c r="Q846" s="393">
        <v>54.037675</v>
      </c>
      <c r="R846" s="399">
        <v>136.19683000000001</v>
      </c>
      <c r="S846" s="36">
        <v>87.849969000000002</v>
      </c>
      <c r="T846" s="36">
        <v>54.421048999999996</v>
      </c>
      <c r="U846" s="393">
        <v>136.89229</v>
      </c>
    </row>
    <row r="847" spans="3:21" s="9" customFormat="1" ht="0.5" customHeight="1">
      <c r="C847" s="9" t="s">
        <v>52</v>
      </c>
      <c r="D847" s="9" t="str">
        <f t="shared" si="47"/>
        <v>Mexico27.5</v>
      </c>
      <c r="E847" s="398">
        <v>27.5</v>
      </c>
      <c r="F847" s="399">
        <v>99.720500999999999</v>
      </c>
      <c r="G847" s="36">
        <v>63.316561</v>
      </c>
      <c r="H847" s="36">
        <v>60.830751999999997</v>
      </c>
      <c r="I847" s="393">
        <v>118.30289999999999</v>
      </c>
      <c r="J847" s="399">
        <v>166.71772999999999</v>
      </c>
      <c r="K847" s="36">
        <v>113.78785999999999</v>
      </c>
      <c r="L847" s="36">
        <v>120.99330999999999</v>
      </c>
      <c r="M847" s="393">
        <v>273.83274999999998</v>
      </c>
      <c r="N847" s="399">
        <v>76.947524999999999</v>
      </c>
      <c r="O847" s="36">
        <v>40.750855000000001</v>
      </c>
      <c r="P847" s="36">
        <v>26.416875000000001</v>
      </c>
      <c r="Q847" s="393">
        <v>54.853606999999997</v>
      </c>
      <c r="R847" s="399">
        <v>138.60731000000001</v>
      </c>
      <c r="S847" s="36">
        <v>89.986182999999997</v>
      </c>
      <c r="T847" s="36">
        <v>55.715013999999996</v>
      </c>
      <c r="U847" s="393">
        <v>138.69682</v>
      </c>
    </row>
    <row r="848" spans="3:21" s="9" customFormat="1" ht="0.5" customHeight="1">
      <c r="C848" s="9" t="s">
        <v>52</v>
      </c>
      <c r="D848" s="9" t="str">
        <f t="shared" si="47"/>
        <v>Mexico28</v>
      </c>
      <c r="E848" s="398">
        <v>28</v>
      </c>
      <c r="F848" s="399">
        <v>100.88298</v>
      </c>
      <c r="G848" s="36">
        <v>63.862997</v>
      </c>
      <c r="H848" s="36">
        <v>61.640459999999997</v>
      </c>
      <c r="I848" s="393">
        <v>119.60194</v>
      </c>
      <c r="J848" s="399">
        <v>171.82560000000001</v>
      </c>
      <c r="K848" s="36">
        <v>116.90465</v>
      </c>
      <c r="L848" s="36">
        <v>123.99458</v>
      </c>
      <c r="M848" s="393">
        <v>285.60289999999998</v>
      </c>
      <c r="N848" s="399">
        <v>77.570943999999997</v>
      </c>
      <c r="O848" s="36">
        <v>40.844472000000003</v>
      </c>
      <c r="P848" s="36">
        <v>26.866046000000001</v>
      </c>
      <c r="Q848" s="393">
        <v>55.641565</v>
      </c>
      <c r="R848" s="399">
        <v>140.92500000000001</v>
      </c>
      <c r="S848" s="36">
        <v>91.952552999999995</v>
      </c>
      <c r="T848" s="36">
        <v>57.008194000000003</v>
      </c>
      <c r="U848" s="393">
        <v>140.61449999999999</v>
      </c>
    </row>
    <row r="849" spans="3:21" s="9" customFormat="1" ht="0.5" customHeight="1">
      <c r="C849" s="9" t="s">
        <v>52</v>
      </c>
      <c r="D849" s="9" t="str">
        <f t="shared" si="47"/>
        <v>Mexico28.5</v>
      </c>
      <c r="E849" s="398">
        <v>28.5</v>
      </c>
      <c r="F849" s="399">
        <v>102.09108999999999</v>
      </c>
      <c r="G849" s="36">
        <v>64.396135999999998</v>
      </c>
      <c r="H849" s="36">
        <v>62.485895999999997</v>
      </c>
      <c r="I849" s="393">
        <v>120.96442999999999</v>
      </c>
      <c r="J849" s="399">
        <v>176.70596</v>
      </c>
      <c r="K849" s="36">
        <v>119.83240000000001</v>
      </c>
      <c r="L849" s="36">
        <v>126.98002</v>
      </c>
      <c r="M849" s="393">
        <v>297.44513999999998</v>
      </c>
      <c r="N849" s="399">
        <v>78.181917999999996</v>
      </c>
      <c r="O849" s="36">
        <v>40.924360999999998</v>
      </c>
      <c r="P849" s="36">
        <v>27.299001000000001</v>
      </c>
      <c r="Q849" s="393">
        <v>56.225938999999997</v>
      </c>
      <c r="R849" s="399">
        <v>143.35079999999999</v>
      </c>
      <c r="S849" s="36">
        <v>93.356707999999998</v>
      </c>
      <c r="T849" s="36">
        <v>58.196075</v>
      </c>
      <c r="U849" s="393">
        <v>142.64112</v>
      </c>
    </row>
    <row r="850" spans="3:21" s="9" customFormat="1" ht="0.5" customHeight="1">
      <c r="C850" s="9" t="s">
        <v>52</v>
      </c>
      <c r="D850" s="9" t="str">
        <f t="shared" si="47"/>
        <v>Mexico29</v>
      </c>
      <c r="E850" s="398">
        <v>29</v>
      </c>
      <c r="F850" s="399">
        <v>103.29625</v>
      </c>
      <c r="G850" s="36">
        <v>64.928111999999999</v>
      </c>
      <c r="H850" s="36">
        <v>63.312745</v>
      </c>
      <c r="I850" s="393">
        <v>122.48377000000001</v>
      </c>
      <c r="J850" s="399">
        <v>181.55739</v>
      </c>
      <c r="K850" s="36">
        <v>122.57550999999999</v>
      </c>
      <c r="L850" s="36">
        <v>129.715</v>
      </c>
      <c r="M850" s="393">
        <v>308.44348000000002</v>
      </c>
      <c r="N850" s="399">
        <v>78.704778000000005</v>
      </c>
      <c r="O850" s="36">
        <v>41.009946999999997</v>
      </c>
      <c r="P850" s="36">
        <v>27.715599999999998</v>
      </c>
      <c r="Q850" s="393">
        <v>56.805411999999997</v>
      </c>
      <c r="R850" s="399">
        <v>145.67519999999999</v>
      </c>
      <c r="S850" s="36">
        <v>94.555097000000004</v>
      </c>
      <c r="T850" s="36">
        <v>59.317875000000001</v>
      </c>
      <c r="U850" s="393">
        <v>144.71005</v>
      </c>
    </row>
    <row r="851" spans="3:21" s="9" customFormat="1" ht="0.5" customHeight="1">
      <c r="C851" s="9" t="s">
        <v>52</v>
      </c>
      <c r="D851" s="9" t="str">
        <f t="shared" si="47"/>
        <v>Mexico29.5</v>
      </c>
      <c r="E851" s="398">
        <v>29.5</v>
      </c>
      <c r="F851" s="399">
        <v>104.34147</v>
      </c>
      <c r="G851" s="36">
        <v>65.419094000000001</v>
      </c>
      <c r="H851" s="36">
        <v>64.104087000000007</v>
      </c>
      <c r="I851" s="393">
        <v>124.07886000000001</v>
      </c>
      <c r="J851" s="399">
        <v>186.43110999999999</v>
      </c>
      <c r="K851" s="36">
        <v>124.9391</v>
      </c>
      <c r="L851" s="36">
        <v>132.59517</v>
      </c>
      <c r="M851" s="393">
        <v>319.41028</v>
      </c>
      <c r="N851" s="399">
        <v>79.211716999999993</v>
      </c>
      <c r="O851" s="36">
        <v>41.100461000000003</v>
      </c>
      <c r="P851" s="36">
        <v>28.078116000000001</v>
      </c>
      <c r="Q851" s="393">
        <v>57.271762000000003</v>
      </c>
      <c r="R851" s="399">
        <v>147.43603999999999</v>
      </c>
      <c r="S851" s="36">
        <v>95.695004999999995</v>
      </c>
      <c r="T851" s="36">
        <v>60.303196999999997</v>
      </c>
      <c r="U851" s="393">
        <v>146.80991</v>
      </c>
    </row>
    <row r="852" spans="3:21" s="9" customFormat="1" ht="0.5" customHeight="1">
      <c r="C852" s="9" t="s">
        <v>52</v>
      </c>
      <c r="D852" s="9" t="str">
        <f t="shared" si="47"/>
        <v>Mexico30</v>
      </c>
      <c r="E852" s="398">
        <v>30</v>
      </c>
      <c r="F852" s="399">
        <v>105.38709</v>
      </c>
      <c r="G852" s="36">
        <v>65.91037</v>
      </c>
      <c r="H852" s="36">
        <v>64.841134999999994</v>
      </c>
      <c r="I852" s="393">
        <v>125.62448000000001</v>
      </c>
      <c r="J852" s="399">
        <v>191.18852000000001</v>
      </c>
      <c r="K852" s="36">
        <v>126.98419</v>
      </c>
      <c r="L852" s="36">
        <v>135.75248999999999</v>
      </c>
      <c r="M852" s="393">
        <v>328.86259000000001</v>
      </c>
      <c r="N852" s="399">
        <v>79.625540999999998</v>
      </c>
      <c r="O852" s="36">
        <v>41.194191000000004</v>
      </c>
      <c r="P852" s="36">
        <v>28.41872</v>
      </c>
      <c r="Q852" s="393">
        <v>57.748970999999997</v>
      </c>
      <c r="R852" s="399">
        <v>149.12037000000001</v>
      </c>
      <c r="S852" s="36">
        <v>96.923687000000001</v>
      </c>
      <c r="T852" s="36">
        <v>61.289185000000003</v>
      </c>
      <c r="U852" s="393">
        <v>148.9134</v>
      </c>
    </row>
    <row r="853" spans="3:21" s="9" customFormat="1" ht="0.5" customHeight="1">
      <c r="C853" s="9" t="s">
        <v>52</v>
      </c>
      <c r="D853" s="9" t="str">
        <f t="shared" si="47"/>
        <v>Mexico30.5</v>
      </c>
      <c r="E853" s="398">
        <v>30.5</v>
      </c>
      <c r="F853" s="399">
        <v>106.38394</v>
      </c>
      <c r="G853" s="36">
        <v>66.313237999999998</v>
      </c>
      <c r="H853" s="36">
        <v>65.536049000000006</v>
      </c>
      <c r="I853" s="393">
        <v>127.09883000000001</v>
      </c>
      <c r="J853" s="399">
        <v>195.60059999999999</v>
      </c>
      <c r="K853" s="36">
        <v>128.85543999999999</v>
      </c>
      <c r="L853" s="36">
        <v>139.12398999999999</v>
      </c>
      <c r="M853" s="393">
        <v>338.20420999999999</v>
      </c>
      <c r="N853" s="399">
        <v>80.025914</v>
      </c>
      <c r="O853" s="36">
        <v>41.292605999999999</v>
      </c>
      <c r="P853" s="36">
        <v>28.756577</v>
      </c>
      <c r="Q853" s="393">
        <v>58.291457000000001</v>
      </c>
      <c r="R853" s="399">
        <v>151.11177000000001</v>
      </c>
      <c r="S853" s="36">
        <v>98.045855000000003</v>
      </c>
      <c r="T853" s="36">
        <v>62.297148999999997</v>
      </c>
      <c r="U853" s="393">
        <v>151.02239</v>
      </c>
    </row>
    <row r="854" spans="3:21" s="9" customFormat="1" ht="0.5" customHeight="1">
      <c r="C854" s="9" t="s">
        <v>52</v>
      </c>
      <c r="D854" s="9" t="str">
        <f t="shared" si="47"/>
        <v>Mexico31</v>
      </c>
      <c r="E854" s="398">
        <v>31</v>
      </c>
      <c r="F854" s="399">
        <v>107.38677</v>
      </c>
      <c r="G854" s="36">
        <v>66.720187999999993</v>
      </c>
      <c r="H854" s="36">
        <v>66.190764999999999</v>
      </c>
      <c r="I854" s="393">
        <v>128.53677999999999</v>
      </c>
      <c r="J854" s="399">
        <v>199.91615999999999</v>
      </c>
      <c r="K854" s="36">
        <v>130.69936999999999</v>
      </c>
      <c r="L854" s="36">
        <v>142.72206</v>
      </c>
      <c r="M854" s="393">
        <v>343.7011</v>
      </c>
      <c r="N854" s="399">
        <v>80.351671999999994</v>
      </c>
      <c r="O854" s="36">
        <v>41.396467999999999</v>
      </c>
      <c r="P854" s="36">
        <v>29.085611</v>
      </c>
      <c r="Q854" s="393">
        <v>58.758862999999998</v>
      </c>
      <c r="R854" s="399">
        <v>153.05789999999999</v>
      </c>
      <c r="S854" s="36">
        <v>99.173886999999993</v>
      </c>
      <c r="T854" s="36">
        <v>63.312286999999998</v>
      </c>
      <c r="U854" s="393">
        <v>152.77904000000001</v>
      </c>
    </row>
    <row r="855" spans="3:21" s="9" customFormat="1" ht="0.5" customHeight="1">
      <c r="C855" s="9" t="s">
        <v>52</v>
      </c>
      <c r="D855" s="9" t="str">
        <f t="shared" si="47"/>
        <v>Mexico31.5</v>
      </c>
      <c r="E855" s="398">
        <v>31.5</v>
      </c>
      <c r="F855" s="399">
        <v>108.06816000000001</v>
      </c>
      <c r="G855" s="36">
        <v>66.982043000000004</v>
      </c>
      <c r="H855" s="36">
        <v>66.806126000000006</v>
      </c>
      <c r="I855" s="393">
        <v>129.93168</v>
      </c>
      <c r="J855" s="399">
        <v>203.89514</v>
      </c>
      <c r="K855" s="36">
        <v>132.53139999999999</v>
      </c>
      <c r="L855" s="36">
        <v>145.88785999999999</v>
      </c>
      <c r="M855" s="393">
        <v>349.23656999999997</v>
      </c>
      <c r="N855" s="399">
        <v>80.663549000000003</v>
      </c>
      <c r="O855" s="36">
        <v>41.501122000000002</v>
      </c>
      <c r="P855" s="36">
        <v>29.371601999999999</v>
      </c>
      <c r="Q855" s="393">
        <v>59.282890000000002</v>
      </c>
      <c r="R855" s="399">
        <v>154.42522</v>
      </c>
      <c r="S855" s="36">
        <v>100.32714</v>
      </c>
      <c r="T855" s="36">
        <v>64.250844000000001</v>
      </c>
      <c r="U855" s="393">
        <v>154.50102000000001</v>
      </c>
    </row>
    <row r="856" spans="3:21" s="9" customFormat="1" ht="0.5" customHeight="1">
      <c r="C856" s="9" t="s">
        <v>52</v>
      </c>
      <c r="D856" s="9" t="str">
        <f t="shared" si="47"/>
        <v>Mexico32</v>
      </c>
      <c r="E856" s="398">
        <v>32</v>
      </c>
      <c r="F856" s="399">
        <v>108.76742</v>
      </c>
      <c r="G856" s="36">
        <v>67.253823999999994</v>
      </c>
      <c r="H856" s="36">
        <v>67.367071999999993</v>
      </c>
      <c r="I856" s="393">
        <v>131.37734</v>
      </c>
      <c r="J856" s="399">
        <v>207.82328000000001</v>
      </c>
      <c r="K856" s="36">
        <v>134.40690000000001</v>
      </c>
      <c r="L856" s="36">
        <v>148.49796000000001</v>
      </c>
      <c r="M856" s="393">
        <v>351.72395999999998</v>
      </c>
      <c r="N856" s="399">
        <v>80.951093999999998</v>
      </c>
      <c r="O856" s="36">
        <v>41.614891</v>
      </c>
      <c r="P856" s="36">
        <v>29.657385999999999</v>
      </c>
      <c r="Q856" s="393">
        <v>59.811335999999997</v>
      </c>
      <c r="R856" s="399">
        <v>155.63675000000001</v>
      </c>
      <c r="S856" s="36">
        <v>101.41785</v>
      </c>
      <c r="T856" s="36">
        <v>65.166228000000004</v>
      </c>
      <c r="U856" s="393">
        <v>156.08465000000001</v>
      </c>
    </row>
    <row r="857" spans="3:21" s="9" customFormat="1" ht="0.5" customHeight="1">
      <c r="C857" s="9" t="s">
        <v>52</v>
      </c>
      <c r="D857" s="9" t="str">
        <f t="shared" si="47"/>
        <v>Mexico32.5</v>
      </c>
      <c r="E857" s="398">
        <v>32.5</v>
      </c>
      <c r="F857" s="399">
        <v>109.48963000000001</v>
      </c>
      <c r="G857" s="36">
        <v>67.404312000000004</v>
      </c>
      <c r="H857" s="36">
        <v>67.922279000000003</v>
      </c>
      <c r="I857" s="393">
        <v>132.8374</v>
      </c>
      <c r="J857" s="399">
        <v>211.70583999999999</v>
      </c>
      <c r="K857" s="36">
        <v>136.46879999999999</v>
      </c>
      <c r="L857" s="36">
        <v>150.63874999999999</v>
      </c>
      <c r="M857" s="393">
        <v>354.46620999999999</v>
      </c>
      <c r="N857" s="399">
        <v>81.247488000000004</v>
      </c>
      <c r="O857" s="36">
        <v>41.728943000000001</v>
      </c>
      <c r="P857" s="36">
        <v>29.966919999999998</v>
      </c>
      <c r="Q857" s="393">
        <v>60.496214999999999</v>
      </c>
      <c r="R857" s="399">
        <v>156.60122999999999</v>
      </c>
      <c r="S857" s="36">
        <v>102.2171</v>
      </c>
      <c r="T857" s="36">
        <v>66.059425000000005</v>
      </c>
      <c r="U857" s="393">
        <v>157.64007000000001</v>
      </c>
    </row>
    <row r="858" spans="3:21" s="9" customFormat="1" ht="0.5" customHeight="1">
      <c r="C858" s="9" t="s">
        <v>52</v>
      </c>
      <c r="D858" s="9" t="str">
        <f t="shared" si="47"/>
        <v>Mexico33</v>
      </c>
      <c r="E858" s="398">
        <v>33</v>
      </c>
      <c r="F858" s="399">
        <v>110.22778</v>
      </c>
      <c r="G858" s="36">
        <v>67.563276000000002</v>
      </c>
      <c r="H858" s="36">
        <v>68.457181000000006</v>
      </c>
      <c r="I858" s="393">
        <v>134.33725000000001</v>
      </c>
      <c r="J858" s="399">
        <v>215.62135000000001</v>
      </c>
      <c r="K858" s="36">
        <v>138.72322</v>
      </c>
      <c r="L858" s="36">
        <v>152.49116000000001</v>
      </c>
      <c r="M858" s="393">
        <v>356.02078999999998</v>
      </c>
      <c r="N858" s="399">
        <v>81.590141000000003</v>
      </c>
      <c r="O858" s="36">
        <v>41.861106999999997</v>
      </c>
      <c r="P858" s="36">
        <v>30.266370999999999</v>
      </c>
      <c r="Q858" s="393">
        <v>61.272143</v>
      </c>
      <c r="R858" s="399">
        <v>157.58126999999999</v>
      </c>
      <c r="S858" s="36">
        <v>102.9332</v>
      </c>
      <c r="T858" s="36">
        <v>66.950935999999999</v>
      </c>
      <c r="U858" s="393">
        <v>158.95598000000001</v>
      </c>
    </row>
    <row r="859" spans="3:21" s="9" customFormat="1" ht="0.5" customHeight="1">
      <c r="C859" s="9" t="s">
        <v>52</v>
      </c>
      <c r="D859" s="9" t="str">
        <f t="shared" si="47"/>
        <v>Mexico33.5</v>
      </c>
      <c r="E859" s="398">
        <v>33.5</v>
      </c>
      <c r="F859" s="399">
        <v>111.05685</v>
      </c>
      <c r="G859" s="36">
        <v>67.725444999999993</v>
      </c>
      <c r="H859" s="36">
        <v>68.927790000000002</v>
      </c>
      <c r="I859" s="393">
        <v>135.94580999999999</v>
      </c>
      <c r="J859" s="399">
        <v>219.36080999999999</v>
      </c>
      <c r="K859" s="36">
        <v>141.06143</v>
      </c>
      <c r="L859" s="36">
        <v>154.28372999999999</v>
      </c>
      <c r="M859" s="393">
        <v>357.68311999999997</v>
      </c>
      <c r="N859" s="399">
        <v>81.935546000000002</v>
      </c>
      <c r="O859" s="36">
        <v>41.992198999999999</v>
      </c>
      <c r="P859" s="36">
        <v>30.528504000000002</v>
      </c>
      <c r="Q859" s="393">
        <v>62.020451000000001</v>
      </c>
      <c r="R859" s="399">
        <v>158.51767000000001</v>
      </c>
      <c r="S859" s="36">
        <v>103.43974</v>
      </c>
      <c r="T859" s="36">
        <v>67.820436999999998</v>
      </c>
      <c r="U859" s="393">
        <v>160.25124</v>
      </c>
    </row>
    <row r="860" spans="3:21" s="9" customFormat="1" ht="0.5" customHeight="1">
      <c r="C860" s="9" t="s">
        <v>52</v>
      </c>
      <c r="D860" s="9" t="str">
        <f t="shared" si="47"/>
        <v>Mexico34</v>
      </c>
      <c r="E860" s="398">
        <v>34</v>
      </c>
      <c r="F860" s="399">
        <v>111.88669</v>
      </c>
      <c r="G860" s="36">
        <v>67.892601999999997</v>
      </c>
      <c r="H860" s="36">
        <v>69.374429000000006</v>
      </c>
      <c r="I860" s="393">
        <v>137.44421</v>
      </c>
      <c r="J860" s="399">
        <v>223.03480999999999</v>
      </c>
      <c r="K860" s="36">
        <v>143.52445</v>
      </c>
      <c r="L860" s="36">
        <v>156.10989000000001</v>
      </c>
      <c r="M860" s="393">
        <v>357.92552000000001</v>
      </c>
      <c r="N860" s="399">
        <v>82.254035999999999</v>
      </c>
      <c r="O860" s="36">
        <v>42.126846</v>
      </c>
      <c r="P860" s="36">
        <v>30.79448</v>
      </c>
      <c r="Q860" s="393">
        <v>62.694077</v>
      </c>
      <c r="R860" s="399">
        <v>159.56003999999999</v>
      </c>
      <c r="S860" s="36">
        <v>103.90647</v>
      </c>
      <c r="T860" s="36">
        <v>68.680492999999998</v>
      </c>
      <c r="U860" s="393">
        <v>161.82112000000001</v>
      </c>
    </row>
    <row r="861" spans="3:21" s="9" customFormat="1" ht="0.5" customHeight="1">
      <c r="C861" s="9" t="s">
        <v>52</v>
      </c>
      <c r="D861" s="9" t="str">
        <f t="shared" si="47"/>
        <v>Mexico34.5</v>
      </c>
      <c r="E861" s="398">
        <v>34.5</v>
      </c>
      <c r="F861" s="399">
        <v>112.43321</v>
      </c>
      <c r="G861" s="36">
        <v>67.945530000000005</v>
      </c>
      <c r="H861" s="36">
        <v>69.801169999999999</v>
      </c>
      <c r="I861" s="393">
        <v>138.78389999999999</v>
      </c>
      <c r="J861" s="399">
        <v>226.47199000000001</v>
      </c>
      <c r="K861" s="36">
        <v>146.05739</v>
      </c>
      <c r="L861" s="36">
        <v>158.04</v>
      </c>
      <c r="M861" s="393">
        <v>358.26346999999998</v>
      </c>
      <c r="N861" s="399">
        <v>82.559332999999995</v>
      </c>
      <c r="O861" s="36">
        <v>42.268585000000002</v>
      </c>
      <c r="P861" s="36">
        <v>31.094874999999998</v>
      </c>
      <c r="Q861" s="393">
        <v>63.390191999999999</v>
      </c>
      <c r="R861" s="399">
        <v>161.25024999999999</v>
      </c>
      <c r="S861" s="36">
        <v>104.31806</v>
      </c>
      <c r="T861" s="36">
        <v>69.495486</v>
      </c>
      <c r="U861" s="393">
        <v>163.38623999999999</v>
      </c>
    </row>
    <row r="862" spans="3:21" s="9" customFormat="1" ht="0.5" customHeight="1">
      <c r="C862" s="9" t="s">
        <v>52</v>
      </c>
      <c r="D862" s="9" t="str">
        <f t="shared" si="47"/>
        <v>Mexico35</v>
      </c>
      <c r="E862" s="398">
        <v>35</v>
      </c>
      <c r="F862" s="399">
        <v>112.9697</v>
      </c>
      <c r="G862" s="36">
        <v>67.998070999999996</v>
      </c>
      <c r="H862" s="36">
        <v>70.179395999999997</v>
      </c>
      <c r="I862" s="393">
        <v>140.05842999999999</v>
      </c>
      <c r="J862" s="399">
        <v>229.76691</v>
      </c>
      <c r="K862" s="36">
        <v>148.47692000000001</v>
      </c>
      <c r="L862" s="36">
        <v>159.63021000000001</v>
      </c>
      <c r="M862" s="393">
        <v>355.19036</v>
      </c>
      <c r="N862" s="399">
        <v>82.761144999999999</v>
      </c>
      <c r="O862" s="36">
        <v>42.402866000000003</v>
      </c>
      <c r="P862" s="36">
        <v>31.422188999999999</v>
      </c>
      <c r="Q862" s="393">
        <v>64.099727000000001</v>
      </c>
      <c r="R862" s="399">
        <v>162.92097000000001</v>
      </c>
      <c r="S862" s="36">
        <v>104.71234</v>
      </c>
      <c r="T862" s="36">
        <v>70.295072000000005</v>
      </c>
      <c r="U862" s="393">
        <v>164.91435999999999</v>
      </c>
    </row>
    <row r="863" spans="3:21" s="9" customFormat="1" ht="0.5" customHeight="1">
      <c r="C863" s="9" t="s">
        <v>52</v>
      </c>
      <c r="D863" s="9" t="str">
        <f t="shared" si="47"/>
        <v>Mexico35.5</v>
      </c>
      <c r="E863" s="398">
        <v>35.5</v>
      </c>
      <c r="F863" s="399">
        <v>113.55244</v>
      </c>
      <c r="G863" s="36">
        <v>68.083235999999999</v>
      </c>
      <c r="H863" s="36">
        <v>70.453000000000003</v>
      </c>
      <c r="I863" s="393">
        <v>141.07794999999999</v>
      </c>
      <c r="J863" s="399">
        <v>232.97372999999999</v>
      </c>
      <c r="K863" s="36">
        <v>150.46418</v>
      </c>
      <c r="L863" s="36">
        <v>160.80251000000001</v>
      </c>
      <c r="M863" s="393">
        <v>352.09312</v>
      </c>
      <c r="N863" s="399">
        <v>82.955618000000001</v>
      </c>
      <c r="O863" s="36">
        <v>42.544257000000002</v>
      </c>
      <c r="P863" s="36">
        <v>31.780888999999998</v>
      </c>
      <c r="Q863" s="393">
        <v>64.810345999999996</v>
      </c>
      <c r="R863" s="399">
        <v>164.27190999999999</v>
      </c>
      <c r="S863" s="36">
        <v>104.90882999999999</v>
      </c>
      <c r="T863" s="36">
        <v>71.038460999999998</v>
      </c>
      <c r="U863" s="393">
        <v>166.44297</v>
      </c>
    </row>
    <row r="864" spans="3:21" s="9" customFormat="1" ht="0.5" customHeight="1">
      <c r="C864" s="9" t="s">
        <v>52</v>
      </c>
      <c r="D864" s="9" t="str">
        <f t="shared" si="47"/>
        <v>Mexico36</v>
      </c>
      <c r="E864" s="398">
        <v>36</v>
      </c>
      <c r="F864" s="399">
        <v>114.13375000000001</v>
      </c>
      <c r="G864" s="36">
        <v>68.165329</v>
      </c>
      <c r="H864" s="36">
        <v>70.579312999999999</v>
      </c>
      <c r="I864" s="393">
        <v>142.02056999999999</v>
      </c>
      <c r="J864" s="399">
        <v>236.0129</v>
      </c>
      <c r="K864" s="36">
        <v>152.08232000000001</v>
      </c>
      <c r="L864" s="36">
        <v>161.64672999999999</v>
      </c>
      <c r="M864" s="393">
        <v>349.04160000000002</v>
      </c>
      <c r="N864" s="399">
        <v>83.291397000000003</v>
      </c>
      <c r="O864" s="36">
        <v>42.691113000000001</v>
      </c>
      <c r="P864" s="36">
        <v>32.134591999999998</v>
      </c>
      <c r="Q864" s="393">
        <v>65.489052000000001</v>
      </c>
      <c r="R864" s="399">
        <v>165.50197</v>
      </c>
      <c r="S864" s="36">
        <v>104.92265</v>
      </c>
      <c r="T864" s="36">
        <v>71.770020000000002</v>
      </c>
      <c r="U864" s="393">
        <v>168.21010000000001</v>
      </c>
    </row>
    <row r="865" spans="3:21" s="9" customFormat="1" ht="0.5" customHeight="1">
      <c r="C865" s="9" t="s">
        <v>52</v>
      </c>
      <c r="D865" s="9" t="str">
        <f t="shared" si="47"/>
        <v>Mexico36.5</v>
      </c>
      <c r="E865" s="398">
        <v>36.5</v>
      </c>
      <c r="F865" s="399">
        <v>114.51988</v>
      </c>
      <c r="G865" s="36">
        <v>68.095268000000004</v>
      </c>
      <c r="H865" s="36">
        <v>70.681586999999993</v>
      </c>
      <c r="I865" s="393">
        <v>142.75785999999999</v>
      </c>
      <c r="J865" s="399">
        <v>238.43485999999999</v>
      </c>
      <c r="K865" s="36">
        <v>153.69138000000001</v>
      </c>
      <c r="L865" s="36">
        <v>162.22429</v>
      </c>
      <c r="M865" s="393">
        <v>345.83539999999999</v>
      </c>
      <c r="N865" s="399">
        <v>83.655955000000006</v>
      </c>
      <c r="O865" s="36">
        <v>42.827978000000002</v>
      </c>
      <c r="P865" s="36">
        <v>32.484307000000001</v>
      </c>
      <c r="Q865" s="393">
        <v>65.955056999999996</v>
      </c>
      <c r="R865" s="399">
        <v>166.82875999999999</v>
      </c>
      <c r="S865" s="36">
        <v>104.59969</v>
      </c>
      <c r="T865" s="36">
        <v>72.454678999999999</v>
      </c>
      <c r="U865" s="393">
        <v>169.97739999999999</v>
      </c>
    </row>
    <row r="866" spans="3:21" s="9" customFormat="1" ht="0.5" customHeight="1">
      <c r="C866" s="9" t="s">
        <v>52</v>
      </c>
      <c r="D866" s="9" t="str">
        <f t="shared" si="47"/>
        <v>Mexico37</v>
      </c>
      <c r="E866" s="398">
        <v>37</v>
      </c>
      <c r="F866" s="399">
        <v>114.92676</v>
      </c>
      <c r="G866" s="36">
        <v>68.033102999999997</v>
      </c>
      <c r="H866" s="36">
        <v>70.799400000000006</v>
      </c>
      <c r="I866" s="393">
        <v>143.40154999999999</v>
      </c>
      <c r="J866" s="399">
        <v>240.74419</v>
      </c>
      <c r="K866" s="36">
        <v>155.39687000000001</v>
      </c>
      <c r="L866" s="36">
        <v>162.53404</v>
      </c>
      <c r="M866" s="393">
        <v>346.79665999999997</v>
      </c>
      <c r="N866" s="399">
        <v>83.976674000000003</v>
      </c>
      <c r="O866" s="36">
        <v>42.951712000000001</v>
      </c>
      <c r="P866" s="36">
        <v>32.850470999999999</v>
      </c>
      <c r="Q866" s="393">
        <v>66.377584999999996</v>
      </c>
      <c r="R866" s="399">
        <v>168.35240999999999</v>
      </c>
      <c r="S866" s="36">
        <v>104.34938</v>
      </c>
      <c r="T866" s="36">
        <v>73.121995999999996</v>
      </c>
      <c r="U866" s="393">
        <v>171.37153000000001</v>
      </c>
    </row>
    <row r="867" spans="3:21" s="9" customFormat="1" ht="0.5" customHeight="1">
      <c r="C867" s="9" t="s">
        <v>52</v>
      </c>
      <c r="D867" s="9" t="str">
        <f t="shared" si="47"/>
        <v>Mexico37.5</v>
      </c>
      <c r="E867" s="398">
        <v>37.5</v>
      </c>
      <c r="F867" s="399">
        <v>115.3963</v>
      </c>
      <c r="G867" s="36">
        <v>68.070441000000002</v>
      </c>
      <c r="H867" s="36">
        <v>71.003343000000001</v>
      </c>
      <c r="I867" s="393">
        <v>143.81076999999999</v>
      </c>
      <c r="J867" s="399">
        <v>242.81050999999999</v>
      </c>
      <c r="K867" s="36">
        <v>157.05717999999999</v>
      </c>
      <c r="L867" s="36">
        <v>162.77561</v>
      </c>
      <c r="M867" s="393">
        <v>347.75787000000003</v>
      </c>
      <c r="N867" s="399">
        <v>84.296316000000004</v>
      </c>
      <c r="O867" s="36">
        <v>43.064025999999998</v>
      </c>
      <c r="P867" s="36">
        <v>33.203769999999999</v>
      </c>
      <c r="Q867" s="393">
        <v>66.583905999999999</v>
      </c>
      <c r="R867" s="399">
        <v>169.86628999999999</v>
      </c>
      <c r="S867" s="36">
        <v>104.19762</v>
      </c>
      <c r="T867" s="36">
        <v>73.842443000000003</v>
      </c>
      <c r="U867" s="393">
        <v>172.75809000000001</v>
      </c>
    </row>
    <row r="868" spans="3:21" s="9" customFormat="1" ht="0.5" customHeight="1">
      <c r="C868" s="9" t="s">
        <v>52</v>
      </c>
      <c r="D868" s="9" t="str">
        <f t="shared" si="47"/>
        <v>Mexico38</v>
      </c>
      <c r="E868" s="398">
        <v>38</v>
      </c>
      <c r="F868" s="399">
        <v>115.87485</v>
      </c>
      <c r="G868" s="36">
        <v>68.115380000000002</v>
      </c>
      <c r="H868" s="36">
        <v>71.302142000000003</v>
      </c>
      <c r="I868" s="393">
        <v>144.03091000000001</v>
      </c>
      <c r="J868" s="399">
        <v>244.77628000000001</v>
      </c>
      <c r="K868" s="36">
        <v>158.67074</v>
      </c>
      <c r="L868" s="36">
        <v>162.86028999999999</v>
      </c>
      <c r="M868" s="393">
        <v>349.86070000000001</v>
      </c>
      <c r="N868" s="399">
        <v>84.657742999999996</v>
      </c>
      <c r="O868" s="36">
        <v>43.148085999999999</v>
      </c>
      <c r="P868" s="36">
        <v>33.531078999999998</v>
      </c>
      <c r="Q868" s="393">
        <v>66.742234999999994</v>
      </c>
      <c r="R868" s="399">
        <v>171.40357</v>
      </c>
      <c r="S868" s="36">
        <v>103.99399</v>
      </c>
      <c r="T868" s="36">
        <v>74.570104999999998</v>
      </c>
      <c r="U868" s="393">
        <v>173.96386999999999</v>
      </c>
    </row>
    <row r="869" spans="3:21" s="9" customFormat="1" ht="0.5" customHeight="1">
      <c r="C869" s="9" t="s">
        <v>52</v>
      </c>
      <c r="D869" s="9" t="str">
        <f t="shared" si="47"/>
        <v>Mexico38.5</v>
      </c>
      <c r="E869" s="398">
        <v>38.5</v>
      </c>
      <c r="F869" s="399">
        <v>116.32087</v>
      </c>
      <c r="G869" s="36">
        <v>68.275839000000005</v>
      </c>
      <c r="H869" s="36">
        <v>71.653380999999996</v>
      </c>
      <c r="I869" s="393">
        <v>144.07595000000001</v>
      </c>
      <c r="J869" s="399">
        <v>246.11068</v>
      </c>
      <c r="K869" s="36">
        <v>160.20025000000001</v>
      </c>
      <c r="L869" s="36">
        <v>162.57433</v>
      </c>
      <c r="M869" s="393">
        <v>351.77820000000003</v>
      </c>
      <c r="N869" s="399">
        <v>85.025406000000004</v>
      </c>
      <c r="O869" s="36">
        <v>43.228664999999999</v>
      </c>
      <c r="P869" s="36">
        <v>33.798887000000001</v>
      </c>
      <c r="Q869" s="393">
        <v>66.955609999999993</v>
      </c>
      <c r="R869" s="399">
        <v>172.86291</v>
      </c>
      <c r="S869" s="36">
        <v>103.63151000000001</v>
      </c>
      <c r="T869" s="36">
        <v>75.250608</v>
      </c>
      <c r="U869" s="393">
        <v>175.15690000000001</v>
      </c>
    </row>
    <row r="870" spans="3:21" s="9" customFormat="1" ht="0.5" customHeight="1">
      <c r="C870" s="9" t="s">
        <v>52</v>
      </c>
      <c r="D870" s="9" t="str">
        <f t="shared" si="47"/>
        <v>Mexico39</v>
      </c>
      <c r="E870" s="398">
        <v>39</v>
      </c>
      <c r="F870" s="399">
        <v>116.76982</v>
      </c>
      <c r="G870" s="36">
        <v>68.432721000000001</v>
      </c>
      <c r="H870" s="36">
        <v>72.014770999999996</v>
      </c>
      <c r="I870" s="393">
        <v>144.07415</v>
      </c>
      <c r="J870" s="399">
        <v>247.29039</v>
      </c>
      <c r="K870" s="36">
        <v>161.42357000000001</v>
      </c>
      <c r="L870" s="36">
        <v>162.42833999999999</v>
      </c>
      <c r="M870" s="393">
        <v>356.51814000000002</v>
      </c>
      <c r="N870" s="399">
        <v>85.390001999999996</v>
      </c>
      <c r="O870" s="36">
        <v>43.284944000000003</v>
      </c>
      <c r="P870" s="36">
        <v>34.025539999999999</v>
      </c>
      <c r="Q870" s="393">
        <v>67.195127999999997</v>
      </c>
      <c r="R870" s="399">
        <v>174.13186999999999</v>
      </c>
      <c r="S870" s="36">
        <v>103.25145000000001</v>
      </c>
      <c r="T870" s="36">
        <v>75.941768999999994</v>
      </c>
      <c r="U870" s="393">
        <v>176.45131000000001</v>
      </c>
    </row>
    <row r="871" spans="3:21" s="9" customFormat="1" ht="0.5" customHeight="1">
      <c r="C871" s="9" t="s">
        <v>52</v>
      </c>
      <c r="D871" s="9" t="str">
        <f t="shared" si="47"/>
        <v>Mexico39.5</v>
      </c>
      <c r="E871" s="398">
        <v>39.5</v>
      </c>
      <c r="F871" s="399">
        <v>116.82564000000001</v>
      </c>
      <c r="G871" s="36">
        <v>68.426682</v>
      </c>
      <c r="H871" s="36">
        <v>72.336788999999996</v>
      </c>
      <c r="I871" s="393">
        <v>143.91243</v>
      </c>
      <c r="J871" s="399">
        <v>247.93801999999999</v>
      </c>
      <c r="K871" s="36">
        <v>162.68733</v>
      </c>
      <c r="L871" s="36">
        <v>162.45125999999999</v>
      </c>
      <c r="M871" s="393">
        <v>361.13414</v>
      </c>
      <c r="N871" s="399">
        <v>85.749731999999995</v>
      </c>
      <c r="O871" s="36">
        <v>43.336474000000003</v>
      </c>
      <c r="P871" s="36">
        <v>34.193277000000002</v>
      </c>
      <c r="Q871" s="393">
        <v>67.421520000000001</v>
      </c>
      <c r="R871" s="399">
        <v>174.99682999999999</v>
      </c>
      <c r="S871" s="36">
        <v>103.13421</v>
      </c>
      <c r="T871" s="36">
        <v>76.579064000000002</v>
      </c>
      <c r="U871" s="393">
        <v>177.73869999999999</v>
      </c>
    </row>
    <row r="872" spans="3:21" s="9" customFormat="1" ht="0.5" customHeight="1">
      <c r="C872" s="9" t="s">
        <v>52</v>
      </c>
      <c r="D872" s="9" t="str">
        <f t="shared" si="47"/>
        <v>Mexico40</v>
      </c>
      <c r="E872" s="398">
        <v>40</v>
      </c>
      <c r="F872" s="399">
        <v>116.87808</v>
      </c>
      <c r="G872" s="36">
        <v>68.415529000000006</v>
      </c>
      <c r="H872" s="36">
        <v>72.553323000000006</v>
      </c>
      <c r="I872" s="393">
        <v>143.68209999999999</v>
      </c>
      <c r="J872" s="399">
        <v>248.59147999999999</v>
      </c>
      <c r="K872" s="36">
        <v>164.13595000000001</v>
      </c>
      <c r="L872" s="36">
        <v>162.78484</v>
      </c>
      <c r="M872" s="393">
        <v>367.52409999999998</v>
      </c>
      <c r="N872" s="399">
        <v>85.983733000000001</v>
      </c>
      <c r="O872" s="36">
        <v>43.372745999999999</v>
      </c>
      <c r="P872" s="36">
        <v>34.346820999999998</v>
      </c>
      <c r="Q872" s="393">
        <v>67.621140999999994</v>
      </c>
      <c r="R872" s="399">
        <v>175.93827999999999</v>
      </c>
      <c r="S872" s="36">
        <v>103.10411999999999</v>
      </c>
      <c r="T872" s="36">
        <v>77.187849999999997</v>
      </c>
      <c r="U872" s="393">
        <v>178.99374</v>
      </c>
    </row>
    <row r="873" spans="3:21" s="9" customFormat="1" ht="0.5" customHeight="1">
      <c r="C873" s="9" t="s">
        <v>52</v>
      </c>
      <c r="D873" s="9" t="str">
        <f t="shared" si="47"/>
        <v>Mexico40.5</v>
      </c>
      <c r="E873" s="398">
        <v>40.5</v>
      </c>
      <c r="F873" s="399">
        <v>116.81044</v>
      </c>
      <c r="G873" s="36">
        <v>68.322832000000005</v>
      </c>
      <c r="H873" s="36">
        <v>72.678734000000006</v>
      </c>
      <c r="I873" s="393">
        <v>143.37195</v>
      </c>
      <c r="J873" s="399">
        <v>249.46087</v>
      </c>
      <c r="K873" s="36">
        <v>165.79419999999999</v>
      </c>
      <c r="L873" s="36">
        <v>163.66305</v>
      </c>
      <c r="M873" s="393">
        <v>373.89636999999999</v>
      </c>
      <c r="N873" s="399">
        <v>86.176888000000005</v>
      </c>
      <c r="O873" s="36">
        <v>43.408664999999999</v>
      </c>
      <c r="P873" s="36">
        <v>34.506920000000001</v>
      </c>
      <c r="Q873" s="393">
        <v>67.665844000000007</v>
      </c>
      <c r="R873" s="399">
        <v>177.54841999999999</v>
      </c>
      <c r="S873" s="36">
        <v>102.96832999999999</v>
      </c>
      <c r="T873" s="36">
        <v>77.609165000000004</v>
      </c>
      <c r="U873" s="393">
        <v>180.24842000000001</v>
      </c>
    </row>
    <row r="874" spans="3:21" s="9" customFormat="1" ht="0.5" customHeight="1">
      <c r="C874" s="9" t="s">
        <v>52</v>
      </c>
      <c r="D874" s="9" t="str">
        <f t="shared" si="47"/>
        <v>Mexico41</v>
      </c>
      <c r="E874" s="398">
        <v>41</v>
      </c>
      <c r="F874" s="399">
        <v>116.74724000000001</v>
      </c>
      <c r="G874" s="36">
        <v>68.230185000000006</v>
      </c>
      <c r="H874" s="36">
        <v>72.770475000000005</v>
      </c>
      <c r="I874" s="393">
        <v>143.01150999999999</v>
      </c>
      <c r="J874" s="399">
        <v>250.35737</v>
      </c>
      <c r="K874" s="36">
        <v>167.66522000000001</v>
      </c>
      <c r="L874" s="36">
        <v>164.65682000000001</v>
      </c>
      <c r="M874" s="393">
        <v>383.17541999999997</v>
      </c>
      <c r="N874" s="399">
        <v>86.41337</v>
      </c>
      <c r="O874" s="36">
        <v>43.450954000000003</v>
      </c>
      <c r="P874" s="36">
        <v>34.655099999999997</v>
      </c>
      <c r="Q874" s="393">
        <v>67.628185999999999</v>
      </c>
      <c r="R874" s="399">
        <v>179.10203000000001</v>
      </c>
      <c r="S874" s="36">
        <v>102.77329</v>
      </c>
      <c r="T874" s="36">
        <v>77.995185000000006</v>
      </c>
      <c r="U874" s="393">
        <v>181.47584000000001</v>
      </c>
    </row>
    <row r="875" spans="3:21" s="9" customFormat="1" ht="0.5" customHeight="1">
      <c r="C875" s="9" t="s">
        <v>52</v>
      </c>
      <c r="D875" s="9" t="str">
        <f t="shared" si="47"/>
        <v>Mexico41.5</v>
      </c>
      <c r="E875" s="398">
        <v>41.5</v>
      </c>
      <c r="F875" s="399">
        <v>116.71662999999999</v>
      </c>
      <c r="G875" s="36">
        <v>68.036921000000007</v>
      </c>
      <c r="H875" s="36">
        <v>72.850403999999997</v>
      </c>
      <c r="I875" s="393">
        <v>142.48643999999999</v>
      </c>
      <c r="J875" s="399">
        <v>251.60050000000001</v>
      </c>
      <c r="K875" s="36">
        <v>169.38768999999999</v>
      </c>
      <c r="L875" s="36">
        <v>165.40982</v>
      </c>
      <c r="M875" s="393">
        <v>392.43274000000002</v>
      </c>
      <c r="N875" s="399">
        <v>86.661494000000005</v>
      </c>
      <c r="O875" s="36">
        <v>43.480643000000001</v>
      </c>
      <c r="P875" s="36">
        <v>34.742514</v>
      </c>
      <c r="Q875" s="393">
        <v>67.607123000000001</v>
      </c>
      <c r="R875" s="399">
        <v>180.01573999999999</v>
      </c>
      <c r="S875" s="36">
        <v>103.19955</v>
      </c>
      <c r="T875" s="36">
        <v>78.502607999999995</v>
      </c>
      <c r="U875" s="393">
        <v>182.69217</v>
      </c>
    </row>
    <row r="876" spans="3:21" s="9" customFormat="1" ht="0.5" customHeight="1">
      <c r="C876" s="9" t="s">
        <v>52</v>
      </c>
      <c r="D876" s="9" t="str">
        <f t="shared" si="47"/>
        <v>Mexico42</v>
      </c>
      <c r="E876" s="398">
        <v>42</v>
      </c>
      <c r="F876" s="399">
        <v>116.69985</v>
      </c>
      <c r="G876" s="36">
        <v>67.857393000000002</v>
      </c>
      <c r="H876" s="36">
        <v>72.934443000000002</v>
      </c>
      <c r="I876" s="393">
        <v>141.98477</v>
      </c>
      <c r="J876" s="399">
        <v>252.89485999999999</v>
      </c>
      <c r="K876" s="36">
        <v>171.15392</v>
      </c>
      <c r="L876" s="36">
        <v>165.82637</v>
      </c>
      <c r="M876" s="393">
        <v>404.58368999999999</v>
      </c>
      <c r="N876" s="399">
        <v>86.848032000000003</v>
      </c>
      <c r="O876" s="36">
        <v>43.440640999999999</v>
      </c>
      <c r="P876" s="36">
        <v>34.817850999999997</v>
      </c>
      <c r="Q876" s="393">
        <v>67.581024999999997</v>
      </c>
      <c r="R876" s="399">
        <v>180.96091999999999</v>
      </c>
      <c r="S876" s="36">
        <v>103.9843</v>
      </c>
      <c r="T876" s="36">
        <v>79.025020999999995</v>
      </c>
      <c r="U876" s="393">
        <v>183.69390999999999</v>
      </c>
    </row>
    <row r="877" spans="3:21" s="9" customFormat="1" ht="0.5" customHeight="1">
      <c r="C877" s="9" t="s">
        <v>52</v>
      </c>
      <c r="D877" s="9" t="str">
        <f t="shared" si="47"/>
        <v>Mexico42.5</v>
      </c>
      <c r="E877" s="398">
        <v>42.5</v>
      </c>
      <c r="F877" s="399">
        <v>116.52930000000001</v>
      </c>
      <c r="G877" s="36">
        <v>67.792902999999995</v>
      </c>
      <c r="H877" s="36">
        <v>73.014590999999996</v>
      </c>
      <c r="I877" s="393">
        <v>141.51745</v>
      </c>
      <c r="J877" s="399">
        <v>254.73041000000001</v>
      </c>
      <c r="K877" s="36">
        <v>172.94377</v>
      </c>
      <c r="L877" s="36">
        <v>166.33731</v>
      </c>
      <c r="M877" s="393">
        <v>416.83850000000001</v>
      </c>
      <c r="N877" s="399">
        <v>87.023812000000007</v>
      </c>
      <c r="O877" s="36">
        <v>43.390262</v>
      </c>
      <c r="P877" s="36">
        <v>34.927225</v>
      </c>
      <c r="Q877" s="393">
        <v>67.691764000000006</v>
      </c>
      <c r="R877" s="399">
        <v>181.96042</v>
      </c>
      <c r="S877" s="36">
        <v>104.7598</v>
      </c>
      <c r="T877" s="36">
        <v>79.361733999999998</v>
      </c>
      <c r="U877" s="393">
        <v>184.68434999999999</v>
      </c>
    </row>
    <row r="878" spans="3:21" s="9" customFormat="1" ht="0.5" customHeight="1">
      <c r="C878" s="9" t="s">
        <v>52</v>
      </c>
      <c r="D878" s="9" t="str">
        <f t="shared" si="47"/>
        <v>Mexico43</v>
      </c>
      <c r="E878" s="398">
        <v>43</v>
      </c>
      <c r="F878" s="399">
        <v>116.36588</v>
      </c>
      <c r="G878" s="36">
        <v>67.737941000000006</v>
      </c>
      <c r="H878" s="36">
        <v>73.023940999999994</v>
      </c>
      <c r="I878" s="393">
        <v>140.98139</v>
      </c>
      <c r="J878" s="399">
        <v>256.71346999999997</v>
      </c>
      <c r="K878" s="36">
        <v>174.72477000000001</v>
      </c>
      <c r="L878" s="36">
        <v>167.21487999999999</v>
      </c>
      <c r="M878" s="393">
        <v>432.79005000000001</v>
      </c>
      <c r="N878" s="399">
        <v>87.139353999999997</v>
      </c>
      <c r="O878" s="36">
        <v>43.307071999999998</v>
      </c>
      <c r="P878" s="36">
        <v>35.042771999999999</v>
      </c>
      <c r="Q878" s="393">
        <v>67.869962999999998</v>
      </c>
      <c r="R878" s="399">
        <v>182.82990000000001</v>
      </c>
      <c r="S878" s="36">
        <v>105.42582</v>
      </c>
      <c r="T878" s="36">
        <v>79.649499000000006</v>
      </c>
      <c r="U878" s="393">
        <v>185.49816999999999</v>
      </c>
    </row>
    <row r="879" spans="3:21" s="9" customFormat="1" ht="0.5" customHeight="1">
      <c r="C879" s="9" t="s">
        <v>52</v>
      </c>
      <c r="D879" s="9" t="str">
        <f t="shared" si="47"/>
        <v>Mexico43.5</v>
      </c>
      <c r="E879" s="398">
        <v>43.5</v>
      </c>
      <c r="F879" s="399">
        <v>116.16921000000001</v>
      </c>
      <c r="G879" s="36">
        <v>67.791199000000006</v>
      </c>
      <c r="H879" s="36">
        <v>72.962472000000005</v>
      </c>
      <c r="I879" s="393">
        <v>140.25673</v>
      </c>
      <c r="J879" s="399">
        <v>259.19425000000001</v>
      </c>
      <c r="K879" s="36">
        <v>176.13959</v>
      </c>
      <c r="L879" s="36">
        <v>168.06890999999999</v>
      </c>
      <c r="M879" s="393">
        <v>448.38382000000001</v>
      </c>
      <c r="N879" s="399">
        <v>87.245362</v>
      </c>
      <c r="O879" s="36">
        <v>43.221373</v>
      </c>
      <c r="P879" s="36">
        <v>35.111499999999999</v>
      </c>
      <c r="Q879" s="393">
        <v>68.022865999999993</v>
      </c>
      <c r="R879" s="399">
        <v>183.65924000000001</v>
      </c>
      <c r="S879" s="36">
        <v>106.61472999999999</v>
      </c>
      <c r="T879" s="36">
        <v>80.069998999999996</v>
      </c>
      <c r="U879" s="393">
        <v>186.30098000000001</v>
      </c>
    </row>
    <row r="880" spans="3:21" s="9" customFormat="1" ht="0.5" customHeight="1">
      <c r="C880" s="9" t="s">
        <v>52</v>
      </c>
      <c r="D880" s="9" t="str">
        <f t="shared" si="47"/>
        <v>Mexico44</v>
      </c>
      <c r="E880" s="398">
        <v>44</v>
      </c>
      <c r="F880" s="399">
        <v>115.97815</v>
      </c>
      <c r="G880" s="36">
        <v>67.839035999999993</v>
      </c>
      <c r="H880" s="36">
        <v>72.821308000000002</v>
      </c>
      <c r="I880" s="393">
        <v>139.46845999999999</v>
      </c>
      <c r="J880" s="399">
        <v>261.89918</v>
      </c>
      <c r="K880" s="36">
        <v>177.15333999999999</v>
      </c>
      <c r="L880" s="36">
        <v>168.89219</v>
      </c>
      <c r="M880" s="393">
        <v>461.44065000000001</v>
      </c>
      <c r="N880" s="399">
        <v>87.370823000000001</v>
      </c>
      <c r="O880" s="36">
        <v>43.138711000000001</v>
      </c>
      <c r="P880" s="36">
        <v>35.167206999999998</v>
      </c>
      <c r="Q880" s="393">
        <v>68.256628000000006</v>
      </c>
      <c r="R880" s="399">
        <v>184.62072000000001</v>
      </c>
      <c r="S880" s="36">
        <v>108.07196999999999</v>
      </c>
      <c r="T880" s="36">
        <v>80.550312000000005</v>
      </c>
      <c r="U880" s="393">
        <v>187.16979000000001</v>
      </c>
    </row>
    <row r="881" spans="3:21" s="9" customFormat="1" ht="0.5" customHeight="1">
      <c r="C881" s="9" t="s">
        <v>52</v>
      </c>
      <c r="D881" s="9" t="str">
        <f t="shared" si="47"/>
        <v>Mexico44.5</v>
      </c>
      <c r="E881" s="398">
        <v>44.5</v>
      </c>
      <c r="F881" s="399">
        <v>115.73038</v>
      </c>
      <c r="G881" s="36">
        <v>67.455912999999995</v>
      </c>
      <c r="H881" s="36">
        <v>72.670333999999997</v>
      </c>
      <c r="I881" s="393">
        <v>138.69183000000001</v>
      </c>
      <c r="J881" s="399">
        <v>265.03255000000001</v>
      </c>
      <c r="K881" s="36">
        <v>178.25725</v>
      </c>
      <c r="L881" s="36">
        <v>170.17701</v>
      </c>
      <c r="M881" s="393">
        <v>474.30122999999998</v>
      </c>
      <c r="N881" s="399">
        <v>87.499183000000002</v>
      </c>
      <c r="O881" s="36">
        <v>43.059331</v>
      </c>
      <c r="P881" s="36">
        <v>35.169750999999998</v>
      </c>
      <c r="Q881" s="393">
        <v>68.687578999999999</v>
      </c>
      <c r="R881" s="399">
        <v>186.15559999999999</v>
      </c>
      <c r="S881" s="36">
        <v>109.37439999999999</v>
      </c>
      <c r="T881" s="36">
        <v>80.983962000000005</v>
      </c>
      <c r="U881" s="393">
        <v>188.03227999999999</v>
      </c>
    </row>
    <row r="882" spans="3:21" s="9" customFormat="1" ht="0.5" customHeight="1">
      <c r="C882" s="9" t="s">
        <v>52</v>
      </c>
      <c r="D882" s="9" t="str">
        <f t="shared" si="47"/>
        <v>Mexico45</v>
      </c>
      <c r="E882" s="398">
        <v>45</v>
      </c>
      <c r="F882" s="399">
        <v>115.45421</v>
      </c>
      <c r="G882" s="36">
        <v>67.067931000000002</v>
      </c>
      <c r="H882" s="36">
        <v>72.385587000000001</v>
      </c>
      <c r="I882" s="393">
        <v>137.95301000000001</v>
      </c>
      <c r="J882" s="399">
        <v>268.32117</v>
      </c>
      <c r="K882" s="36">
        <v>179.07932</v>
      </c>
      <c r="L882" s="36">
        <v>171.93386000000001</v>
      </c>
      <c r="M882" s="393">
        <v>486.27613000000002</v>
      </c>
      <c r="N882" s="399">
        <v>87.611815000000007</v>
      </c>
      <c r="O882" s="36">
        <v>42.985644000000001</v>
      </c>
      <c r="P882" s="36">
        <v>35.136901000000002</v>
      </c>
      <c r="Q882" s="393">
        <v>69.105093999999994</v>
      </c>
      <c r="R882" s="399">
        <v>187.86374000000001</v>
      </c>
      <c r="S882" s="36">
        <v>110.50523</v>
      </c>
      <c r="T882" s="36">
        <v>81.368489999999994</v>
      </c>
      <c r="U882" s="393">
        <v>188.72221999999999</v>
      </c>
    </row>
    <row r="883" spans="3:21" s="9" customFormat="1" ht="0.5" customHeight="1">
      <c r="C883" s="9" t="s">
        <v>52</v>
      </c>
      <c r="D883" s="9" t="str">
        <f t="shared" si="47"/>
        <v>Mexico45.5</v>
      </c>
      <c r="E883" s="398">
        <v>45.5</v>
      </c>
      <c r="F883" s="399">
        <v>115.29707000000001</v>
      </c>
      <c r="G883" s="36">
        <v>66.696302000000003</v>
      </c>
      <c r="H883" s="36">
        <v>71.970748999999998</v>
      </c>
      <c r="I883" s="393">
        <v>137.38906</v>
      </c>
      <c r="J883" s="399">
        <v>272.09526</v>
      </c>
      <c r="K883" s="36">
        <v>179.26061999999999</v>
      </c>
      <c r="L883" s="36">
        <v>173.72352000000001</v>
      </c>
      <c r="M883" s="393">
        <v>498.30302999999998</v>
      </c>
      <c r="N883" s="399">
        <v>87.692615000000004</v>
      </c>
      <c r="O883" s="36">
        <v>42.907308</v>
      </c>
      <c r="P883" s="36">
        <v>35.072440999999998</v>
      </c>
      <c r="Q883" s="393">
        <v>69.692734999999999</v>
      </c>
      <c r="R883" s="399">
        <v>189.6</v>
      </c>
      <c r="S883" s="36">
        <v>111.9804</v>
      </c>
      <c r="T883" s="36">
        <v>81.689571999999998</v>
      </c>
      <c r="U883" s="393">
        <v>189.44735</v>
      </c>
    </row>
    <row r="884" spans="3:21" s="9" customFormat="1" ht="0.5" customHeight="1">
      <c r="C884" s="9" t="s">
        <v>52</v>
      </c>
      <c r="D884" s="9" t="str">
        <f t="shared" si="47"/>
        <v>Mexico46</v>
      </c>
      <c r="E884" s="398">
        <v>46</v>
      </c>
      <c r="F884" s="399">
        <v>115.12174</v>
      </c>
      <c r="G884" s="36">
        <v>66.334085000000002</v>
      </c>
      <c r="H884" s="36">
        <v>71.535353999999998</v>
      </c>
      <c r="I884" s="393">
        <v>136.87249</v>
      </c>
      <c r="J884" s="399">
        <v>275.68178</v>
      </c>
      <c r="K884" s="36">
        <v>179.14331000000001</v>
      </c>
      <c r="L884" s="36">
        <v>175.45625000000001</v>
      </c>
      <c r="M884" s="393">
        <v>506.54225000000002</v>
      </c>
      <c r="N884" s="399">
        <v>87.765079</v>
      </c>
      <c r="O884" s="36">
        <v>42.81767</v>
      </c>
      <c r="P884" s="36">
        <v>35.010801000000001</v>
      </c>
      <c r="Q884" s="393">
        <v>70.288833999999994</v>
      </c>
      <c r="R884" s="399">
        <v>191.26947999999999</v>
      </c>
      <c r="S884" s="36">
        <v>113.54883</v>
      </c>
      <c r="T884" s="36">
        <v>82.001255</v>
      </c>
      <c r="U884" s="393">
        <v>190.32271</v>
      </c>
    </row>
    <row r="885" spans="3:21" s="9" customFormat="1" ht="0.5" customHeight="1">
      <c r="C885" s="9" t="s">
        <v>52</v>
      </c>
      <c r="D885" s="9" t="str">
        <f t="shared" si="47"/>
        <v>Mexico46.5</v>
      </c>
      <c r="E885" s="398">
        <v>46.5</v>
      </c>
      <c r="F885" s="399">
        <v>114.92572</v>
      </c>
      <c r="G885" s="36">
        <v>66.056222000000005</v>
      </c>
      <c r="H885" s="36">
        <v>71.089028999999996</v>
      </c>
      <c r="I885" s="393">
        <v>136.19009</v>
      </c>
      <c r="J885" s="399">
        <v>278.60064</v>
      </c>
      <c r="K885" s="36">
        <v>179.12432000000001</v>
      </c>
      <c r="L885" s="36">
        <v>177.43813</v>
      </c>
      <c r="M885" s="393">
        <v>515.44042000000002</v>
      </c>
      <c r="N885" s="399">
        <v>87.904025000000004</v>
      </c>
      <c r="O885" s="36">
        <v>42.732691000000003</v>
      </c>
      <c r="P885" s="36">
        <v>34.969034000000001</v>
      </c>
      <c r="Q885" s="393">
        <v>70.700147000000001</v>
      </c>
      <c r="R885" s="399">
        <v>193.41490999999999</v>
      </c>
      <c r="S885" s="36">
        <v>114.73812</v>
      </c>
      <c r="T885" s="36">
        <v>82.346518000000003</v>
      </c>
      <c r="U885" s="393">
        <v>191.2518</v>
      </c>
    </row>
    <row r="886" spans="3:21" s="9" customFormat="1" ht="0.5" customHeight="1">
      <c r="C886" s="9" t="s">
        <v>52</v>
      </c>
      <c r="D886" s="9" t="str">
        <f t="shared" si="47"/>
        <v>Mexico47</v>
      </c>
      <c r="E886" s="398">
        <v>47</v>
      </c>
      <c r="F886" s="399">
        <v>114.7456</v>
      </c>
      <c r="G886" s="36">
        <v>65.79777</v>
      </c>
      <c r="H886" s="36">
        <v>70.570914999999999</v>
      </c>
      <c r="I886" s="393">
        <v>135.46959000000001</v>
      </c>
      <c r="J886" s="399">
        <v>281.53334999999998</v>
      </c>
      <c r="K886" s="36">
        <v>179.00104999999999</v>
      </c>
      <c r="L886" s="36">
        <v>179.96025</v>
      </c>
      <c r="M886" s="393">
        <v>521.73434999999995</v>
      </c>
      <c r="N886" s="399">
        <v>88.100226000000006</v>
      </c>
      <c r="O886" s="36">
        <v>42.645409999999998</v>
      </c>
      <c r="P886" s="36">
        <v>34.934851999999999</v>
      </c>
      <c r="Q886" s="393">
        <v>71.088143000000002</v>
      </c>
      <c r="R886" s="399">
        <v>195.56901999999999</v>
      </c>
      <c r="S886" s="36">
        <v>115.84711</v>
      </c>
      <c r="T886" s="36">
        <v>82.699918999999994</v>
      </c>
      <c r="U886" s="393">
        <v>192.31596999999999</v>
      </c>
    </row>
    <row r="887" spans="3:21" s="9" customFormat="1" ht="0.5" customHeight="1">
      <c r="C887" s="9" t="s">
        <v>52</v>
      </c>
      <c r="D887" s="9" t="str">
        <f t="shared" si="47"/>
        <v>Mexico47.5</v>
      </c>
      <c r="E887" s="398">
        <v>47.5</v>
      </c>
      <c r="F887" s="399">
        <v>114.66352000000001</v>
      </c>
      <c r="G887" s="36">
        <v>65.621667000000002</v>
      </c>
      <c r="H887" s="36">
        <v>70.025204000000002</v>
      </c>
      <c r="I887" s="393">
        <v>134.88887</v>
      </c>
      <c r="J887" s="399">
        <v>284.16000000000003</v>
      </c>
      <c r="K887" s="36">
        <v>179.52578</v>
      </c>
      <c r="L887" s="36">
        <v>182.63332</v>
      </c>
      <c r="M887" s="393">
        <v>527.77602999999999</v>
      </c>
      <c r="N887" s="399">
        <v>88.275234999999995</v>
      </c>
      <c r="O887" s="36">
        <v>42.551977000000001</v>
      </c>
      <c r="P887" s="36">
        <v>34.855539</v>
      </c>
      <c r="Q887" s="393">
        <v>71.449788999999996</v>
      </c>
      <c r="R887" s="399">
        <v>197.00387000000001</v>
      </c>
      <c r="S887" s="36">
        <v>117.01911</v>
      </c>
      <c r="T887" s="36">
        <v>83.063732000000002</v>
      </c>
      <c r="U887" s="393">
        <v>193.43852000000001</v>
      </c>
    </row>
    <row r="888" spans="3:21" s="9" customFormat="1" ht="0.5" customHeight="1">
      <c r="C888" s="9" t="s">
        <v>52</v>
      </c>
      <c r="D888" s="9" t="str">
        <f t="shared" si="47"/>
        <v>Mexico48</v>
      </c>
      <c r="E888" s="398">
        <v>48</v>
      </c>
      <c r="F888" s="399">
        <v>114.58556</v>
      </c>
      <c r="G888" s="36">
        <v>65.453213000000005</v>
      </c>
      <c r="H888" s="36">
        <v>69.370255999999998</v>
      </c>
      <c r="I888" s="393">
        <v>134.41139000000001</v>
      </c>
      <c r="J888" s="399">
        <v>286.61738000000003</v>
      </c>
      <c r="K888" s="36">
        <v>180.77037999999999</v>
      </c>
      <c r="L888" s="36">
        <v>185.09252000000001</v>
      </c>
      <c r="M888" s="393">
        <v>530.19560999999999</v>
      </c>
      <c r="N888" s="399">
        <v>88.388292000000007</v>
      </c>
      <c r="O888" s="36">
        <v>42.458044999999998</v>
      </c>
      <c r="P888" s="36">
        <v>34.762380999999998</v>
      </c>
      <c r="Q888" s="393">
        <v>71.790671000000003</v>
      </c>
      <c r="R888" s="399">
        <v>198.26741999999999</v>
      </c>
      <c r="S888" s="36">
        <v>118.03954</v>
      </c>
      <c r="T888" s="36">
        <v>83.426006000000001</v>
      </c>
      <c r="U888" s="393">
        <v>194.65872999999999</v>
      </c>
    </row>
    <row r="889" spans="3:21" s="9" customFormat="1" ht="0.5" customHeight="1">
      <c r="C889" s="9" t="s">
        <v>52</v>
      </c>
      <c r="D889" s="9" t="str">
        <f t="shared" si="47"/>
        <v>Mexico48.5</v>
      </c>
      <c r="E889" s="398">
        <v>48.5</v>
      </c>
      <c r="F889" s="399">
        <v>114.46499</v>
      </c>
      <c r="G889" s="36">
        <v>65.251380999999995</v>
      </c>
      <c r="H889" s="36">
        <v>68.639578999999998</v>
      </c>
      <c r="I889" s="393">
        <v>133.97076000000001</v>
      </c>
      <c r="J889" s="399">
        <v>288.92433</v>
      </c>
      <c r="K889" s="36">
        <v>181.75189</v>
      </c>
      <c r="L889" s="36">
        <v>186.84156999999999</v>
      </c>
      <c r="M889" s="393">
        <v>532.51518999999996</v>
      </c>
      <c r="N889" s="399">
        <v>88.494861</v>
      </c>
      <c r="O889" s="36">
        <v>42.356248999999998</v>
      </c>
      <c r="P889" s="36">
        <v>34.668062999999997</v>
      </c>
      <c r="Q889" s="393">
        <v>71.962419999999995</v>
      </c>
      <c r="R889" s="399">
        <v>199.34165999999999</v>
      </c>
      <c r="S889" s="36">
        <v>119.64790000000001</v>
      </c>
      <c r="T889" s="36">
        <v>83.831706999999994</v>
      </c>
      <c r="U889" s="393">
        <v>195.93868000000001</v>
      </c>
    </row>
    <row r="890" spans="3:21" s="9" customFormat="1" ht="0.5" customHeight="1">
      <c r="C890" s="9" t="s">
        <v>52</v>
      </c>
      <c r="D890" s="9" t="str">
        <f t="shared" si="47"/>
        <v>Mexico49</v>
      </c>
      <c r="E890" s="398">
        <v>49</v>
      </c>
      <c r="F890" s="399">
        <v>114.34368000000001</v>
      </c>
      <c r="G890" s="36">
        <v>65.037627000000001</v>
      </c>
      <c r="H890" s="36">
        <v>67.962626999999998</v>
      </c>
      <c r="I890" s="393">
        <v>133.51137</v>
      </c>
      <c r="J890" s="399">
        <v>291.25385</v>
      </c>
      <c r="K890" s="36">
        <v>182.81066999999999</v>
      </c>
      <c r="L890" s="36">
        <v>187.75346999999999</v>
      </c>
      <c r="M890" s="393">
        <v>529.05877999999996</v>
      </c>
      <c r="N890" s="399">
        <v>88.602637999999999</v>
      </c>
      <c r="O890" s="36">
        <v>42.277217999999998</v>
      </c>
      <c r="P890" s="36">
        <v>34.552388000000001</v>
      </c>
      <c r="Q890" s="393">
        <v>71.979922000000002</v>
      </c>
      <c r="R890" s="399">
        <v>200.33853999999999</v>
      </c>
      <c r="S890" s="36">
        <v>121.8579</v>
      </c>
      <c r="T890" s="36">
        <v>84.246886000000003</v>
      </c>
      <c r="U890" s="393">
        <v>197.24859000000001</v>
      </c>
    </row>
    <row r="891" spans="3:21" s="9" customFormat="1" ht="0.5" customHeight="1">
      <c r="C891" s="9" t="s">
        <v>52</v>
      </c>
      <c r="D891" s="9" t="str">
        <f t="shared" ref="D891:D902" si="48">CONCATENATE(C891,E891)</f>
        <v>Mexico49.5</v>
      </c>
      <c r="E891" s="398">
        <v>49.5</v>
      </c>
      <c r="F891" s="399">
        <v>114.23358</v>
      </c>
      <c r="G891" s="36">
        <v>64.796441000000002</v>
      </c>
      <c r="H891" s="36">
        <v>67.315241999999998</v>
      </c>
      <c r="I891" s="393">
        <v>133.09960000000001</v>
      </c>
      <c r="J891" s="399">
        <v>293.29516999999998</v>
      </c>
      <c r="K891" s="36">
        <v>184.05801</v>
      </c>
      <c r="L891" s="36">
        <v>187.83414999999999</v>
      </c>
      <c r="M891" s="393">
        <v>525.74689000000001</v>
      </c>
      <c r="N891" s="399">
        <v>88.707538</v>
      </c>
      <c r="O891" s="36">
        <v>42.212021</v>
      </c>
      <c r="P891" s="36">
        <v>34.400191999999997</v>
      </c>
      <c r="Q891" s="393">
        <v>71.681206000000003</v>
      </c>
      <c r="R891" s="399">
        <v>200.86338000000001</v>
      </c>
      <c r="S891" s="36">
        <v>123.63491999999999</v>
      </c>
      <c r="T891" s="36">
        <v>84.637753000000004</v>
      </c>
      <c r="U891" s="393">
        <v>198.52114</v>
      </c>
    </row>
    <row r="892" spans="3:21" s="9" customFormat="1" ht="0.5" customHeight="1">
      <c r="C892" s="9" t="s">
        <v>52</v>
      </c>
      <c r="D892" s="9" t="str">
        <f t="shared" si="48"/>
        <v>Mexico50</v>
      </c>
      <c r="E892" s="398">
        <v>50</v>
      </c>
      <c r="F892" s="399">
        <v>114.12166999999999</v>
      </c>
      <c r="G892" s="36">
        <v>64.559470000000005</v>
      </c>
      <c r="H892" s="36">
        <v>66.623948999999996</v>
      </c>
      <c r="I892" s="393">
        <v>132.66363000000001</v>
      </c>
      <c r="J892" s="399">
        <v>295.24937999999997</v>
      </c>
      <c r="K892" s="36">
        <v>185.66041000000001</v>
      </c>
      <c r="L892" s="36">
        <v>187.30945</v>
      </c>
      <c r="M892" s="393">
        <v>520.53787999999997</v>
      </c>
      <c r="N892" s="399">
        <v>88.825387000000006</v>
      </c>
      <c r="O892" s="36">
        <v>42.156903999999997</v>
      </c>
      <c r="P892" s="36">
        <v>34.222566</v>
      </c>
      <c r="Q892" s="393">
        <v>71.396628000000007</v>
      </c>
      <c r="R892" s="399">
        <v>201.37844000000001</v>
      </c>
      <c r="S892" s="36">
        <v>124.84301000000001</v>
      </c>
      <c r="T892" s="36">
        <v>85.049707999999995</v>
      </c>
      <c r="U892" s="393">
        <v>199.74852000000001</v>
      </c>
    </row>
    <row r="893" spans="3:21" s="9" customFormat="1" ht="0.5" customHeight="1">
      <c r="C893" s="9" t="s">
        <v>52</v>
      </c>
      <c r="D893" s="9" t="str">
        <f t="shared" si="48"/>
        <v>Mexico50.5</v>
      </c>
      <c r="E893" s="398">
        <v>50.5</v>
      </c>
      <c r="F893" s="399">
        <v>113.72571000000001</v>
      </c>
      <c r="G893" s="36">
        <v>64.181672000000006</v>
      </c>
      <c r="H893" s="36">
        <v>65.855514999999997</v>
      </c>
      <c r="I893" s="393">
        <v>132.17839000000001</v>
      </c>
      <c r="J893" s="399">
        <v>297.09213999999997</v>
      </c>
      <c r="K893" s="36">
        <v>187.49713</v>
      </c>
      <c r="L893" s="36">
        <v>186.72980999999999</v>
      </c>
      <c r="M893" s="393">
        <v>515.35931000000005</v>
      </c>
      <c r="N893" s="399">
        <v>88.912734</v>
      </c>
      <c r="O893" s="36">
        <v>42.100405000000002</v>
      </c>
      <c r="P893" s="36">
        <v>33.998010999999998</v>
      </c>
      <c r="Q893" s="393">
        <v>71.132767000000001</v>
      </c>
      <c r="R893" s="399">
        <v>202.30544</v>
      </c>
      <c r="S893" s="36">
        <v>125.15994000000001</v>
      </c>
      <c r="T893" s="36">
        <v>85.524861000000001</v>
      </c>
      <c r="U893" s="393">
        <v>200.90389999999999</v>
      </c>
    </row>
    <row r="894" spans="3:21" s="9" customFormat="1" ht="0.5" customHeight="1">
      <c r="C894" s="9" t="s">
        <v>52</v>
      </c>
      <c r="D894" s="9" t="str">
        <f t="shared" si="48"/>
        <v>Mexico51</v>
      </c>
      <c r="E894" s="398">
        <v>51</v>
      </c>
      <c r="F894" s="399">
        <v>113.33698</v>
      </c>
      <c r="G894" s="36">
        <v>63.815652999999998</v>
      </c>
      <c r="H894" s="36">
        <v>64.995287000000005</v>
      </c>
      <c r="I894" s="393">
        <v>131.62574000000001</v>
      </c>
      <c r="J894" s="399">
        <v>298.92165999999997</v>
      </c>
      <c r="K894" s="36">
        <v>189.22390999999999</v>
      </c>
      <c r="L894" s="36">
        <v>185.52966000000001</v>
      </c>
      <c r="M894" s="393">
        <v>512.06799000000001</v>
      </c>
      <c r="N894" s="399">
        <v>88.898855999999995</v>
      </c>
      <c r="O894" s="36">
        <v>42.026291999999998</v>
      </c>
      <c r="P894" s="36">
        <v>33.748738000000003</v>
      </c>
      <c r="Q894" s="393">
        <v>70.845951999999997</v>
      </c>
      <c r="R894" s="399">
        <v>203.08243999999999</v>
      </c>
      <c r="S894" s="36">
        <v>125.33806</v>
      </c>
      <c r="T894" s="36">
        <v>86.152096</v>
      </c>
      <c r="U894" s="393">
        <v>201.8347</v>
      </c>
    </row>
    <row r="895" spans="3:21" s="9" customFormat="1" ht="0.5" customHeight="1">
      <c r="C895" s="9" t="s">
        <v>52</v>
      </c>
      <c r="D895" s="9" t="str">
        <f t="shared" si="48"/>
        <v>Mexico51.5</v>
      </c>
      <c r="E895" s="398">
        <v>51.5</v>
      </c>
      <c r="F895" s="399">
        <v>112.84693</v>
      </c>
      <c r="G895" s="36">
        <v>63.609690000000001</v>
      </c>
      <c r="H895" s="36">
        <v>64.134683999999993</v>
      </c>
      <c r="I895" s="393">
        <v>131.00685999999999</v>
      </c>
      <c r="J895" s="399">
        <v>300.72982000000002</v>
      </c>
      <c r="K895" s="36">
        <v>191.18082999999999</v>
      </c>
      <c r="L895" s="36">
        <v>183.70950999999999</v>
      </c>
      <c r="M895" s="393">
        <v>508.30838</v>
      </c>
      <c r="N895" s="399">
        <v>88.915223999999995</v>
      </c>
      <c r="O895" s="36">
        <v>41.949402999999997</v>
      </c>
      <c r="P895" s="36">
        <v>33.465603000000002</v>
      </c>
      <c r="Q895" s="393">
        <v>70.500986999999995</v>
      </c>
      <c r="R895" s="399">
        <v>203.57965999999999</v>
      </c>
      <c r="S895" s="36">
        <v>124.83157</v>
      </c>
      <c r="T895" s="36">
        <v>86.947517000000005</v>
      </c>
      <c r="U895" s="393">
        <v>202.47185999999999</v>
      </c>
    </row>
    <row r="896" spans="3:21" s="9" customFormat="1" ht="0.5" customHeight="1">
      <c r="C896" s="9" t="s">
        <v>52</v>
      </c>
      <c r="D896" s="9" t="str">
        <f t="shared" si="48"/>
        <v>Mexico52</v>
      </c>
      <c r="E896" s="398">
        <v>52</v>
      </c>
      <c r="F896" s="399">
        <v>112.36658</v>
      </c>
      <c r="G896" s="36">
        <v>63.438420000000001</v>
      </c>
      <c r="H896" s="36">
        <v>63.290500000000002</v>
      </c>
      <c r="I896" s="393">
        <v>130.43467000000001</v>
      </c>
      <c r="J896" s="399">
        <v>302.49085000000002</v>
      </c>
      <c r="K896" s="36">
        <v>193.28921</v>
      </c>
      <c r="L896" s="36">
        <v>181.50716</v>
      </c>
      <c r="M896" s="393">
        <v>507.76677000000001</v>
      </c>
      <c r="N896" s="399">
        <v>88.967417999999995</v>
      </c>
      <c r="O896" s="36">
        <v>41.875647999999998</v>
      </c>
      <c r="P896" s="36">
        <v>33.182938999999998</v>
      </c>
      <c r="Q896" s="393">
        <v>70.037870999999996</v>
      </c>
      <c r="R896" s="399">
        <v>203.97742</v>
      </c>
      <c r="S896" s="36">
        <v>123.55669</v>
      </c>
      <c r="T896" s="36">
        <v>87.84393</v>
      </c>
      <c r="U896" s="393">
        <v>203.40790999999999</v>
      </c>
    </row>
    <row r="897" spans="3:21" s="9" customFormat="1" ht="0.5" customHeight="1">
      <c r="C897" s="9" t="s">
        <v>52</v>
      </c>
      <c r="D897" s="9" t="str">
        <f t="shared" si="48"/>
        <v>Mexico52.5</v>
      </c>
      <c r="E897" s="398">
        <v>52.5</v>
      </c>
      <c r="F897" s="399">
        <v>111.95989</v>
      </c>
      <c r="G897" s="36">
        <v>63.033532000000001</v>
      </c>
      <c r="H897" s="36">
        <v>62.511274999999998</v>
      </c>
      <c r="I897" s="393">
        <v>129.89256</v>
      </c>
      <c r="J897" s="399">
        <v>304.58301</v>
      </c>
      <c r="K897" s="36">
        <v>195.27925999999999</v>
      </c>
      <c r="L897" s="36">
        <v>178.71023</v>
      </c>
      <c r="M897" s="393">
        <v>507.56081999999998</v>
      </c>
      <c r="N897" s="399">
        <v>88.978382999999994</v>
      </c>
      <c r="O897" s="36">
        <v>41.805942000000002</v>
      </c>
      <c r="P897" s="36">
        <v>32.898353999999998</v>
      </c>
      <c r="Q897" s="393">
        <v>69.352368999999996</v>
      </c>
      <c r="R897" s="399">
        <v>203.97774000000001</v>
      </c>
      <c r="S897" s="36">
        <v>121.44005</v>
      </c>
      <c r="T897" s="36">
        <v>88.748678999999996</v>
      </c>
      <c r="U897" s="393">
        <v>204.34256999999999</v>
      </c>
    </row>
    <row r="898" spans="3:21" s="9" customFormat="1" ht="0.5" customHeight="1">
      <c r="C898" s="9" t="s">
        <v>52</v>
      </c>
      <c r="D898" s="9" t="str">
        <f t="shared" si="48"/>
        <v>Mexico53</v>
      </c>
      <c r="E898" s="398">
        <v>53</v>
      </c>
      <c r="F898" s="399">
        <v>111.492</v>
      </c>
      <c r="G898" s="36">
        <v>62.579186999999997</v>
      </c>
      <c r="H898" s="36">
        <v>61.792985000000002</v>
      </c>
      <c r="I898" s="393">
        <v>129.35504</v>
      </c>
      <c r="J898" s="399">
        <v>307.0566</v>
      </c>
      <c r="K898" s="36">
        <v>196.56493</v>
      </c>
      <c r="L898" s="36">
        <v>174.82419999999999</v>
      </c>
      <c r="M898" s="393">
        <v>507.88760000000002</v>
      </c>
      <c r="N898" s="399">
        <v>88.927852000000001</v>
      </c>
      <c r="O898" s="36">
        <v>41.736660999999998</v>
      </c>
      <c r="P898" s="36">
        <v>32.611542999999998</v>
      </c>
      <c r="Q898" s="393">
        <v>68.352587999999997</v>
      </c>
      <c r="R898" s="399">
        <v>203.99596</v>
      </c>
      <c r="S898" s="36">
        <v>118.84511999999999</v>
      </c>
      <c r="T898" s="36">
        <v>89.623591000000005</v>
      </c>
      <c r="U898" s="393">
        <v>205.47815</v>
      </c>
    </row>
    <row r="899" spans="3:21" s="9" customFormat="1" ht="0.5" customHeight="1">
      <c r="C899" s="9" t="s">
        <v>52</v>
      </c>
      <c r="D899" s="9" t="str">
        <f t="shared" si="48"/>
        <v>Mexico53.5</v>
      </c>
      <c r="E899" s="398">
        <v>53.5</v>
      </c>
      <c r="F899" s="399">
        <v>110.82733</v>
      </c>
      <c r="G899" s="36">
        <v>61.944985000000003</v>
      </c>
      <c r="H899" s="36">
        <v>61.122314000000003</v>
      </c>
      <c r="I899" s="393">
        <v>128.82784000000001</v>
      </c>
      <c r="J899" s="399">
        <v>310.02406999999999</v>
      </c>
      <c r="K899" s="36">
        <v>197.12994</v>
      </c>
      <c r="L899" s="36">
        <v>170.30464000000001</v>
      </c>
      <c r="M899" s="393">
        <v>509.44778000000002</v>
      </c>
      <c r="N899" s="399">
        <v>88.785953000000006</v>
      </c>
      <c r="O899" s="36">
        <v>41.662396000000001</v>
      </c>
      <c r="P899" s="36">
        <v>32.366700000000002</v>
      </c>
      <c r="Q899" s="393">
        <v>66.943612999999999</v>
      </c>
      <c r="R899" s="399">
        <v>203.60941</v>
      </c>
      <c r="S899" s="36">
        <v>115.09353</v>
      </c>
      <c r="T899" s="36">
        <v>90.379650999999996</v>
      </c>
      <c r="U899" s="393">
        <v>206.78598</v>
      </c>
    </row>
    <row r="900" spans="3:21" s="9" customFormat="1" ht="0.5" customHeight="1">
      <c r="C900" s="9" t="s">
        <v>52</v>
      </c>
      <c r="D900" s="9" t="str">
        <f t="shared" si="48"/>
        <v>Mexico54</v>
      </c>
      <c r="E900" s="398">
        <v>54</v>
      </c>
      <c r="F900" s="399">
        <v>109.85574</v>
      </c>
      <c r="G900" s="36">
        <v>61.148628000000002</v>
      </c>
      <c r="H900" s="36">
        <v>60.496822000000002</v>
      </c>
      <c r="I900" s="393">
        <v>128.26624000000001</v>
      </c>
      <c r="J900" s="399">
        <v>312.60998999999998</v>
      </c>
      <c r="K900" s="36">
        <v>196.50393</v>
      </c>
      <c r="L900" s="36">
        <v>165.27995000000001</v>
      </c>
      <c r="M900" s="393">
        <v>512.36472000000003</v>
      </c>
      <c r="N900" s="399">
        <v>88.662254000000004</v>
      </c>
      <c r="O900" s="36">
        <v>41.522965999999997</v>
      </c>
      <c r="P900" s="36">
        <v>32.182696999999997</v>
      </c>
      <c r="Q900" s="393">
        <v>64.974421000000007</v>
      </c>
      <c r="R900" s="399">
        <v>202.63013000000001</v>
      </c>
      <c r="S900" s="36">
        <v>108.66562</v>
      </c>
      <c r="T900" s="36">
        <v>91.050899999999999</v>
      </c>
      <c r="U900" s="393">
        <v>208.93884</v>
      </c>
    </row>
    <row r="901" spans="3:21" s="9" customFormat="1" ht="0.5" customHeight="1">
      <c r="C901" s="9" t="s">
        <v>52</v>
      </c>
      <c r="D901" s="9" t="str">
        <f t="shared" si="48"/>
        <v>Mexico54.5</v>
      </c>
      <c r="E901" s="398">
        <v>54.5</v>
      </c>
      <c r="F901" s="399">
        <v>108.86518</v>
      </c>
      <c r="G901" s="36">
        <v>60.402847999999999</v>
      </c>
      <c r="H901" s="36">
        <v>59.874842999999998</v>
      </c>
      <c r="I901" s="393">
        <v>127.46599999999999</v>
      </c>
      <c r="J901" s="399">
        <v>315.07364000000001</v>
      </c>
      <c r="K901" s="36">
        <v>193.34732</v>
      </c>
      <c r="L901" s="36">
        <v>159.45438999999999</v>
      </c>
      <c r="M901" s="393">
        <v>517.32835999999998</v>
      </c>
      <c r="N901" s="399">
        <v>88.536507</v>
      </c>
      <c r="O901" s="36">
        <v>41.239915000000003</v>
      </c>
      <c r="P901" s="36">
        <v>31.957695999999999</v>
      </c>
      <c r="Q901" s="393">
        <v>62.622523000000001</v>
      </c>
      <c r="R901" s="399">
        <v>200.81523999999999</v>
      </c>
      <c r="S901" s="36">
        <v>101.28198999999999</v>
      </c>
      <c r="T901" s="36">
        <v>92.183453</v>
      </c>
      <c r="U901" s="393">
        <v>212.14661000000001</v>
      </c>
    </row>
    <row r="902" spans="3:21" s="9" customFormat="1" ht="0.5" customHeight="1">
      <c r="C902" s="9" t="s">
        <v>52</v>
      </c>
      <c r="D902" s="9" t="str">
        <f t="shared" si="48"/>
        <v>Mexico55</v>
      </c>
      <c r="E902" s="398">
        <v>55</v>
      </c>
      <c r="F902" s="400">
        <v>108.10906</v>
      </c>
      <c r="G902" s="394">
        <v>60.065314999999998</v>
      </c>
      <c r="H902" s="394">
        <v>59.039549999999998</v>
      </c>
      <c r="I902" s="395">
        <v>126.3355</v>
      </c>
      <c r="J902" s="400">
        <v>318.23680999999999</v>
      </c>
      <c r="K902" s="394">
        <v>187.12044</v>
      </c>
      <c r="L902" s="394">
        <v>153.67493999999999</v>
      </c>
      <c r="M902" s="395">
        <v>527.69674999999995</v>
      </c>
      <c r="N902" s="400">
        <v>88.451682000000005</v>
      </c>
      <c r="O902" s="394">
        <v>40.922561999999999</v>
      </c>
      <c r="P902" s="394">
        <v>31.696082000000001</v>
      </c>
      <c r="Q902" s="395">
        <v>59.74362</v>
      </c>
      <c r="R902" s="400">
        <v>197.74786</v>
      </c>
      <c r="S902" s="394">
        <v>92.402494000000004</v>
      </c>
      <c r="T902" s="394">
        <v>93.563457</v>
      </c>
      <c r="U902" s="395">
        <v>214.93886000000001</v>
      </c>
    </row>
    <row r="903" spans="3:21" s="9" customFormat="1"/>
    <row r="904" spans="3:21" s="9" customFormat="1"/>
    <row r="905" spans="3:21" s="9" customFormat="1"/>
  </sheetData>
  <mergeCells count="3">
    <mergeCell ref="B35:L35"/>
    <mergeCell ref="B38:D38"/>
    <mergeCell ref="E38:H38"/>
  </mergeCells>
  <pageMargins left="0.7" right="0.7" top="0.75" bottom="0.75" header="0.3" footer="0.3"/>
  <pageSetup scale="6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9"/>
  <sheetViews>
    <sheetView view="pageBreakPreview" zoomScaleNormal="100" zoomScaleSheetLayoutView="100" workbookViewId="0">
      <selection activeCell="P12" sqref="P12"/>
    </sheetView>
  </sheetViews>
  <sheetFormatPr defaultColWidth="9.1796875" defaultRowHeight="14.5"/>
  <cols>
    <col min="1" max="1" width="3.81640625" style="2" customWidth="1"/>
    <col min="2" max="2" width="20" style="2" bestFit="1" customWidth="1"/>
    <col min="3" max="3" width="16.26953125" style="2" bestFit="1" customWidth="1"/>
    <col min="4" max="4" width="11.81640625" style="2" bestFit="1" customWidth="1"/>
    <col min="5" max="13" width="9.1796875" style="2"/>
    <col min="14" max="14" width="3.81640625" style="2" customWidth="1"/>
    <col min="15" max="16384" width="9.1796875" style="2"/>
  </cols>
  <sheetData>
    <row r="1" spans="1:14" ht="10.5" customHeight="1">
      <c r="A1" s="1"/>
      <c r="B1" s="1"/>
      <c r="C1" s="1"/>
      <c r="D1" s="1"/>
      <c r="E1" s="1"/>
      <c r="F1" s="1"/>
      <c r="G1" s="1"/>
      <c r="H1" s="1"/>
      <c r="I1" s="1"/>
      <c r="J1" s="1"/>
      <c r="K1" s="1"/>
      <c r="L1" s="1"/>
      <c r="M1" s="1"/>
      <c r="N1" s="1"/>
    </row>
    <row r="2" spans="1:14" ht="17.5">
      <c r="A2" s="1"/>
      <c r="B2" s="318" t="s">
        <v>1007</v>
      </c>
      <c r="C2" s="1"/>
      <c r="D2" s="1"/>
      <c r="E2" s="1"/>
      <c r="F2" s="1"/>
      <c r="G2" s="1"/>
      <c r="H2" s="1"/>
      <c r="I2" s="1"/>
      <c r="J2" s="1"/>
      <c r="K2" s="1"/>
      <c r="L2" s="1"/>
      <c r="M2" s="1"/>
      <c r="N2" s="1"/>
    </row>
    <row r="3" spans="1:14">
      <c r="A3" s="1"/>
      <c r="B3" s="362"/>
      <c r="C3" s="1"/>
      <c r="D3" s="1"/>
      <c r="E3" s="1"/>
      <c r="F3" s="1"/>
      <c r="G3" s="1"/>
      <c r="H3" s="1"/>
      <c r="I3" s="1"/>
      <c r="J3" s="1"/>
      <c r="K3" s="1"/>
      <c r="L3" s="1"/>
      <c r="M3" s="1"/>
      <c r="N3" s="1"/>
    </row>
    <row r="4" spans="1:14">
      <c r="A4" s="1"/>
      <c r="B4" s="1"/>
      <c r="C4" s="1"/>
      <c r="D4" s="1"/>
      <c r="E4" s="1"/>
      <c r="F4" s="1"/>
      <c r="G4" s="1"/>
      <c r="H4" s="1"/>
      <c r="I4" s="1"/>
      <c r="J4" s="1"/>
      <c r="K4" s="1"/>
      <c r="L4" s="1"/>
      <c r="M4" s="1"/>
      <c r="N4" s="1"/>
    </row>
    <row r="5" spans="1:14">
      <c r="A5" s="1"/>
      <c r="B5" s="1"/>
      <c r="C5" s="1"/>
      <c r="D5" s="1"/>
      <c r="E5" s="1"/>
      <c r="F5" s="1"/>
      <c r="G5" s="1"/>
      <c r="H5" s="1"/>
      <c r="I5" s="1"/>
      <c r="J5" s="1"/>
      <c r="K5" s="1"/>
      <c r="L5" s="1"/>
      <c r="M5" s="1"/>
      <c r="N5" s="1"/>
    </row>
    <row r="6" spans="1:14">
      <c r="A6" s="1"/>
      <c r="B6" s="1"/>
      <c r="C6" s="1"/>
      <c r="D6" s="1"/>
      <c r="E6" s="1"/>
      <c r="F6" s="1"/>
      <c r="G6" s="1"/>
      <c r="H6" s="1"/>
      <c r="I6" s="1"/>
      <c r="J6" s="1"/>
      <c r="K6" s="1"/>
      <c r="L6" s="1"/>
      <c r="M6" s="1"/>
      <c r="N6" s="1"/>
    </row>
    <row r="7" spans="1:14">
      <c r="A7" s="1"/>
      <c r="B7" s="1"/>
      <c r="C7" s="1"/>
      <c r="D7" s="1"/>
      <c r="E7" s="1"/>
      <c r="F7" s="1"/>
      <c r="G7" s="1"/>
      <c r="H7" s="1"/>
      <c r="I7" s="1"/>
      <c r="J7" s="1"/>
      <c r="K7" s="1"/>
      <c r="L7" s="1"/>
      <c r="M7" s="1"/>
      <c r="N7" s="1"/>
    </row>
    <row r="8" spans="1:14">
      <c r="A8" s="1"/>
      <c r="B8" s="1"/>
      <c r="C8" s="1"/>
      <c r="D8" s="1"/>
      <c r="E8" s="1"/>
      <c r="F8" s="1"/>
      <c r="G8" s="1"/>
      <c r="H8" s="1"/>
      <c r="I8" s="1"/>
      <c r="J8" s="1"/>
      <c r="K8" s="1"/>
      <c r="L8" s="1"/>
      <c r="M8" s="1"/>
      <c r="N8" s="1"/>
    </row>
    <row r="9" spans="1:14">
      <c r="A9" s="1"/>
      <c r="B9" s="1"/>
      <c r="C9" s="1"/>
      <c r="D9" s="1"/>
      <c r="E9" s="1"/>
      <c r="F9" s="1"/>
      <c r="G9" s="1"/>
      <c r="H9" s="1"/>
      <c r="I9" s="1"/>
      <c r="J9" s="1"/>
      <c r="K9" s="1"/>
      <c r="L9" s="1"/>
      <c r="M9" s="1"/>
      <c r="N9" s="1"/>
    </row>
    <row r="10" spans="1:14">
      <c r="A10" s="1"/>
      <c r="B10" s="1"/>
      <c r="C10" s="1"/>
      <c r="D10" s="1"/>
      <c r="E10" s="1"/>
      <c r="F10" s="1"/>
      <c r="G10" s="1"/>
      <c r="H10" s="1"/>
      <c r="I10" s="1"/>
      <c r="J10" s="1"/>
      <c r="K10" s="1"/>
      <c r="L10" s="1"/>
      <c r="M10" s="1"/>
      <c r="N10" s="1"/>
    </row>
    <row r="11" spans="1:14">
      <c r="A11" s="1"/>
      <c r="B11" s="1"/>
      <c r="C11" s="1"/>
      <c r="D11" s="1"/>
      <c r="E11" s="1"/>
      <c r="F11" s="1"/>
      <c r="G11" s="1"/>
      <c r="H11" s="1"/>
      <c r="I11" s="1"/>
      <c r="J11" s="1"/>
      <c r="K11" s="1"/>
      <c r="L11" s="1"/>
      <c r="M11" s="1"/>
      <c r="N11" s="1"/>
    </row>
    <row r="12" spans="1:14">
      <c r="A12" s="1"/>
      <c r="B12" s="1"/>
      <c r="C12" s="1"/>
      <c r="D12" s="1"/>
      <c r="E12" s="1"/>
      <c r="F12" s="1"/>
      <c r="G12" s="1"/>
      <c r="H12" s="1"/>
      <c r="I12" s="1"/>
      <c r="J12" s="1"/>
      <c r="K12" s="1"/>
      <c r="L12" s="1"/>
      <c r="M12" s="1"/>
      <c r="N12" s="1"/>
    </row>
    <row r="13" spans="1:14">
      <c r="A13" s="1"/>
      <c r="B13" s="1"/>
      <c r="C13" s="1"/>
      <c r="D13" s="1"/>
      <c r="E13" s="1"/>
      <c r="F13" s="1"/>
      <c r="G13" s="1"/>
      <c r="H13" s="1"/>
      <c r="I13" s="1"/>
      <c r="J13" s="1"/>
      <c r="K13" s="1"/>
      <c r="L13" s="1"/>
      <c r="M13" s="1"/>
      <c r="N13" s="1"/>
    </row>
    <row r="14" spans="1:14">
      <c r="A14" s="1"/>
      <c r="B14" s="1"/>
      <c r="C14" s="1"/>
      <c r="D14" s="1"/>
      <c r="E14" s="1"/>
      <c r="F14" s="1"/>
      <c r="G14" s="1"/>
      <c r="H14" s="1"/>
      <c r="I14" s="1"/>
      <c r="J14" s="1"/>
      <c r="K14" s="1"/>
      <c r="L14" s="1"/>
      <c r="M14" s="1"/>
      <c r="N14" s="1"/>
    </row>
    <row r="15" spans="1:14">
      <c r="A15" s="1"/>
      <c r="B15" s="1"/>
      <c r="C15" s="1"/>
      <c r="D15" s="1"/>
      <c r="E15" s="1"/>
      <c r="F15" s="1"/>
      <c r="G15" s="1"/>
      <c r="H15" s="1"/>
      <c r="I15" s="1"/>
      <c r="J15" s="1"/>
      <c r="K15" s="1"/>
      <c r="L15" s="1"/>
      <c r="M15" s="1"/>
      <c r="N15" s="1"/>
    </row>
    <row r="16" spans="1:14">
      <c r="A16" s="1"/>
      <c r="B16" s="1"/>
      <c r="C16" s="1"/>
      <c r="D16" s="1"/>
      <c r="E16" s="1"/>
      <c r="F16" s="1"/>
      <c r="G16" s="1"/>
      <c r="H16" s="1"/>
      <c r="I16" s="1"/>
      <c r="J16" s="1"/>
      <c r="K16" s="1"/>
      <c r="L16" s="1"/>
      <c r="M16" s="1"/>
      <c r="N16" s="1"/>
    </row>
    <row r="17" spans="1:14">
      <c r="A17" s="1"/>
      <c r="B17" s="1"/>
      <c r="C17" s="1"/>
      <c r="D17" s="1"/>
      <c r="E17" s="1"/>
      <c r="F17" s="1"/>
      <c r="G17" s="1"/>
      <c r="H17" s="1"/>
      <c r="I17" s="1"/>
      <c r="J17" s="1"/>
      <c r="K17" s="1"/>
      <c r="L17" s="1"/>
      <c r="M17" s="1"/>
      <c r="N17" s="1"/>
    </row>
    <row r="18" spans="1:14">
      <c r="A18" s="1"/>
      <c r="B18" s="1"/>
      <c r="C18" s="1"/>
      <c r="D18" s="1"/>
      <c r="E18" s="1"/>
      <c r="F18" s="1"/>
      <c r="G18" s="1"/>
      <c r="H18" s="1"/>
      <c r="I18" s="1"/>
      <c r="J18" s="1"/>
      <c r="K18" s="1"/>
      <c r="L18" s="1"/>
      <c r="M18" s="1"/>
      <c r="N18" s="1"/>
    </row>
    <row r="19" spans="1:14">
      <c r="A19" s="1"/>
      <c r="B19" s="1"/>
      <c r="C19" s="1"/>
      <c r="D19" s="1"/>
      <c r="E19" s="1"/>
      <c r="F19" s="1"/>
      <c r="G19" s="1"/>
      <c r="H19" s="1"/>
      <c r="I19" s="1"/>
      <c r="J19" s="1"/>
      <c r="K19" s="1"/>
      <c r="L19" s="1"/>
      <c r="M19" s="1"/>
      <c r="N19" s="1"/>
    </row>
    <row r="20" spans="1:14">
      <c r="A20" s="1"/>
      <c r="B20" s="1"/>
      <c r="C20" s="1"/>
      <c r="D20" s="1"/>
      <c r="E20" s="1"/>
      <c r="F20" s="1"/>
      <c r="G20" s="1"/>
      <c r="H20" s="1"/>
      <c r="I20" s="1"/>
      <c r="J20" s="1"/>
      <c r="K20" s="1"/>
      <c r="L20" s="1"/>
      <c r="M20" s="1"/>
      <c r="N20" s="1"/>
    </row>
    <row r="21" spans="1:14">
      <c r="A21" s="1"/>
      <c r="B21" s="1"/>
      <c r="C21" s="1"/>
      <c r="D21" s="1"/>
      <c r="E21" s="1"/>
      <c r="F21" s="1"/>
      <c r="G21" s="1"/>
      <c r="H21" s="1"/>
      <c r="I21" s="1"/>
      <c r="J21" s="1"/>
      <c r="K21" s="1"/>
      <c r="L21" s="1"/>
      <c r="M21" s="1"/>
      <c r="N21" s="1"/>
    </row>
    <row r="22" spans="1:14">
      <c r="A22" s="1"/>
      <c r="B22" s="1"/>
      <c r="C22" s="1"/>
      <c r="D22" s="1"/>
      <c r="E22" s="1"/>
      <c r="F22" s="1"/>
      <c r="G22" s="1"/>
      <c r="H22" s="1"/>
      <c r="I22" s="1"/>
      <c r="J22" s="1"/>
      <c r="K22" s="1"/>
      <c r="L22" s="1"/>
      <c r="M22" s="1"/>
      <c r="N22" s="1"/>
    </row>
    <row r="23" spans="1:14">
      <c r="A23" s="1"/>
      <c r="B23" s="1"/>
      <c r="C23" s="1"/>
      <c r="D23" s="1"/>
      <c r="E23" s="1"/>
      <c r="F23" s="1"/>
      <c r="G23" s="1"/>
      <c r="H23" s="1"/>
      <c r="I23" s="1"/>
      <c r="J23" s="1"/>
      <c r="K23" s="1"/>
      <c r="L23" s="1"/>
      <c r="M23" s="1"/>
      <c r="N23" s="1"/>
    </row>
    <row r="24" spans="1:14">
      <c r="A24" s="1"/>
      <c r="B24" s="1"/>
      <c r="C24" s="1"/>
      <c r="D24" s="1"/>
      <c r="E24" s="1"/>
      <c r="F24" s="1"/>
      <c r="G24" s="1"/>
      <c r="H24" s="1"/>
      <c r="I24" s="1"/>
      <c r="J24" s="1"/>
      <c r="K24" s="1"/>
      <c r="L24" s="1"/>
      <c r="M24" s="1"/>
      <c r="N24" s="1"/>
    </row>
    <row r="25" spans="1:14">
      <c r="A25" s="1"/>
      <c r="B25" s="1"/>
      <c r="C25" s="1"/>
      <c r="D25" s="1"/>
      <c r="E25" s="1"/>
      <c r="F25" s="1"/>
      <c r="G25" s="1"/>
      <c r="H25" s="1"/>
      <c r="I25" s="1"/>
      <c r="J25" s="1"/>
      <c r="K25" s="1"/>
      <c r="L25" s="1"/>
      <c r="M25" s="1"/>
      <c r="N25" s="1"/>
    </row>
    <row r="26" spans="1:14">
      <c r="A26" s="1"/>
      <c r="B26" s="1"/>
      <c r="C26" s="1"/>
      <c r="D26" s="1"/>
      <c r="E26" s="1"/>
      <c r="F26" s="1"/>
      <c r="G26" s="1"/>
      <c r="H26" s="1"/>
      <c r="I26" s="1"/>
      <c r="J26" s="1"/>
      <c r="K26" s="1"/>
      <c r="L26" s="1"/>
      <c r="M26" s="1"/>
      <c r="N26" s="1"/>
    </row>
    <row r="27" spans="1:14">
      <c r="A27" s="1"/>
      <c r="B27" s="1"/>
      <c r="C27" s="1"/>
      <c r="D27" s="1"/>
      <c r="E27" s="1"/>
      <c r="F27" s="1"/>
      <c r="G27" s="1"/>
      <c r="H27" s="1"/>
      <c r="I27" s="1"/>
      <c r="J27" s="1"/>
      <c r="K27" s="1"/>
      <c r="L27" s="1"/>
      <c r="M27" s="1"/>
      <c r="N27" s="1"/>
    </row>
    <row r="28" spans="1:14">
      <c r="A28" s="1"/>
      <c r="B28" s="1"/>
      <c r="C28" s="1"/>
      <c r="D28" s="1"/>
      <c r="E28" s="1"/>
      <c r="F28" s="1"/>
      <c r="G28" s="1"/>
      <c r="H28" s="1"/>
      <c r="I28" s="1"/>
      <c r="J28" s="1"/>
      <c r="K28" s="1"/>
      <c r="L28" s="1"/>
      <c r="M28" s="1"/>
      <c r="N28" s="1"/>
    </row>
    <row r="29" spans="1:14" ht="27" customHeight="1">
      <c r="A29" s="1"/>
      <c r="B29" s="1"/>
      <c r="C29" s="1"/>
      <c r="D29" s="1"/>
      <c r="E29" s="1"/>
      <c r="F29" s="1"/>
      <c r="G29" s="1"/>
      <c r="H29" s="1"/>
      <c r="I29" s="1"/>
      <c r="J29" s="1"/>
      <c r="K29" s="1"/>
      <c r="L29" s="1"/>
      <c r="M29" s="1"/>
      <c r="N29" s="1"/>
    </row>
    <row r="30" spans="1:14" ht="27" customHeight="1">
      <c r="A30" s="1"/>
      <c r="B30" s="1"/>
      <c r="C30" s="1"/>
      <c r="D30" s="1"/>
      <c r="E30" s="1"/>
      <c r="F30" s="1"/>
      <c r="G30" s="1"/>
      <c r="H30" s="1"/>
      <c r="I30" s="1"/>
      <c r="J30" s="1"/>
      <c r="K30" s="1"/>
      <c r="L30" s="1"/>
      <c r="M30" s="1"/>
      <c r="N30" s="1"/>
    </row>
    <row r="31" spans="1:14" ht="27" customHeight="1">
      <c r="A31" s="1"/>
      <c r="B31" s="1"/>
      <c r="C31" s="1"/>
      <c r="D31" s="1"/>
      <c r="E31" s="1"/>
      <c r="F31" s="1"/>
      <c r="G31" s="1"/>
      <c r="H31" s="1"/>
      <c r="I31" s="1"/>
      <c r="J31" s="1"/>
      <c r="K31" s="1"/>
      <c r="L31" s="1"/>
      <c r="M31" s="1"/>
      <c r="N31" s="1"/>
    </row>
    <row r="32" spans="1:14" ht="48" customHeight="1">
      <c r="A32" s="1"/>
      <c r="B32" s="436" t="s">
        <v>1006</v>
      </c>
      <c r="C32" s="436"/>
      <c r="D32" s="436"/>
      <c r="E32" s="436"/>
      <c r="F32" s="436"/>
      <c r="G32" s="436"/>
      <c r="H32" s="436"/>
      <c r="I32" s="436"/>
      <c r="J32" s="436"/>
      <c r="K32" s="436"/>
      <c r="L32" s="436"/>
      <c r="M32" s="436"/>
      <c r="N32" s="1"/>
    </row>
    <row r="36" spans="2:6" ht="0.5" customHeight="1">
      <c r="B36" s="363" t="s">
        <v>976</v>
      </c>
    </row>
    <row r="37" spans="2:6" ht="0.5" customHeight="1"/>
    <row r="38" spans="2:6" ht="0.5" customHeight="1">
      <c r="B38" s="369" t="s">
        <v>1005</v>
      </c>
      <c r="C38" s="369"/>
      <c r="D38" s="369"/>
      <c r="E38" s="369"/>
    </row>
    <row r="39" spans="2:6" ht="0.5" customHeight="1">
      <c r="B39" s="2" t="s">
        <v>1003</v>
      </c>
      <c r="C39" s="369"/>
      <c r="D39" s="369"/>
      <c r="E39" s="369"/>
    </row>
    <row r="40" spans="2:6" ht="0.5" customHeight="1">
      <c r="C40" s="478" t="s">
        <v>1001</v>
      </c>
      <c r="D40" s="478"/>
      <c r="E40" s="478"/>
      <c r="F40" s="478"/>
    </row>
    <row r="41" spans="2:6" ht="0.5" customHeight="1">
      <c r="B41" s="2" t="s">
        <v>1000</v>
      </c>
      <c r="C41" s="2" t="s">
        <v>993</v>
      </c>
      <c r="D41" s="2" t="s">
        <v>994</v>
      </c>
      <c r="E41" s="2" t="s">
        <v>990</v>
      </c>
      <c r="F41" s="2" t="s">
        <v>991</v>
      </c>
    </row>
    <row r="42" spans="2:6" ht="0.5" customHeight="1">
      <c r="B42" s="2" t="s">
        <v>999</v>
      </c>
      <c r="C42" s="2">
        <v>92.734819650649996</v>
      </c>
      <c r="D42" s="2">
        <v>87.452787160873399</v>
      </c>
      <c r="E42" s="2">
        <v>97.732847929000798</v>
      </c>
      <c r="F42" s="2">
        <v>97.313594818115206</v>
      </c>
    </row>
    <row r="43" spans="2:6" ht="0.5" customHeight="1">
      <c r="B43" s="2" t="s">
        <v>998</v>
      </c>
      <c r="C43" s="2">
        <v>2.9959665611386197</v>
      </c>
      <c r="D43" s="2">
        <v>5.1699716597795407</v>
      </c>
      <c r="E43" s="2">
        <v>0.74550653807818801</v>
      </c>
      <c r="F43" s="2">
        <v>0.90460525825619598</v>
      </c>
    </row>
    <row r="44" spans="2:6" ht="0.5" customHeight="1">
      <c r="B44" s="2" t="s">
        <v>997</v>
      </c>
      <c r="C44" s="2">
        <v>4.2692095041274998</v>
      </c>
      <c r="D44" s="2">
        <v>7.3772422969341198</v>
      </c>
      <c r="E44" s="2">
        <v>1.5216503292322099</v>
      </c>
      <c r="F44" s="2">
        <v>1.78179834038019</v>
      </c>
    </row>
    <row r="45" spans="2:6" ht="0.5" customHeight="1"/>
    <row r="46" spans="2:6" ht="0.5" customHeight="1">
      <c r="B46" s="2" t="s">
        <v>1002</v>
      </c>
    </row>
    <row r="47" spans="2:6" ht="0.5" customHeight="1">
      <c r="C47" s="478" t="s">
        <v>1001</v>
      </c>
      <c r="D47" s="478"/>
      <c r="E47" s="478"/>
      <c r="F47" s="478"/>
    </row>
    <row r="48" spans="2:6" ht="0.5" customHeight="1">
      <c r="B48" s="2" t="s">
        <v>1000</v>
      </c>
      <c r="C48" s="2" t="s">
        <v>988</v>
      </c>
      <c r="D48" s="2" t="s">
        <v>989</v>
      </c>
      <c r="E48" s="2" t="s">
        <v>990</v>
      </c>
      <c r="F48" s="2" t="s">
        <v>991</v>
      </c>
    </row>
    <row r="49" spans="2:6" ht="0.5" customHeight="1">
      <c r="B49" s="2" t="s">
        <v>999</v>
      </c>
      <c r="C49" s="2">
        <v>69.802779999999998</v>
      </c>
      <c r="D49" s="2">
        <v>61.356230000000004</v>
      </c>
      <c r="E49" s="2">
        <v>73.446359999999999</v>
      </c>
      <c r="F49" s="2">
        <v>72.090879999999999</v>
      </c>
    </row>
    <row r="50" spans="2:6" ht="0.5" customHeight="1">
      <c r="B50" s="2" t="s">
        <v>998</v>
      </c>
      <c r="C50" s="2">
        <v>24.594390000000001</v>
      </c>
      <c r="D50" s="2">
        <v>26.31983</v>
      </c>
      <c r="E50" s="2">
        <v>16.863299999999999</v>
      </c>
      <c r="F50" s="2">
        <v>24.73207</v>
      </c>
    </row>
    <row r="51" spans="2:6" ht="0.5" customHeight="1">
      <c r="B51" s="2" t="s">
        <v>997</v>
      </c>
      <c r="C51" s="2">
        <v>5.60283</v>
      </c>
      <c r="D51" s="2">
        <v>12.32394</v>
      </c>
      <c r="E51" s="2">
        <v>9.6903400000000008</v>
      </c>
      <c r="F51" s="2">
        <v>3.1770399999999999</v>
      </c>
    </row>
    <row r="52" spans="2:6" ht="0.5" customHeight="1"/>
    <row r="53" spans="2:6" ht="0.5" customHeight="1"/>
    <row r="54" spans="2:6" ht="0.5" customHeight="1"/>
    <row r="55" spans="2:6" ht="0.5" customHeight="1">
      <c r="B55" s="369" t="s">
        <v>1004</v>
      </c>
    </row>
    <row r="56" spans="2:6" ht="0.5" customHeight="1">
      <c r="B56" s="2" t="s">
        <v>1003</v>
      </c>
      <c r="C56" s="369"/>
      <c r="D56" s="369"/>
      <c r="E56" s="369"/>
    </row>
    <row r="57" spans="2:6" ht="0.5" customHeight="1">
      <c r="C57" s="478" t="s">
        <v>1001</v>
      </c>
      <c r="D57" s="478"/>
      <c r="E57" s="478"/>
      <c r="F57" s="478"/>
    </row>
    <row r="58" spans="2:6" ht="0.5" customHeight="1">
      <c r="B58" s="2" t="s">
        <v>1000</v>
      </c>
      <c r="C58" s="2" t="s">
        <v>993</v>
      </c>
      <c r="D58" s="2" t="s">
        <v>994</v>
      </c>
      <c r="E58" s="2" t="s">
        <v>990</v>
      </c>
      <c r="F58" s="2" t="s">
        <v>991</v>
      </c>
    </row>
    <row r="59" spans="2:6" ht="0.5" customHeight="1">
      <c r="B59" s="2" t="s">
        <v>999</v>
      </c>
      <c r="C59" s="2">
        <v>91.268270000000001</v>
      </c>
      <c r="D59" s="2">
        <v>83.223039999999997</v>
      </c>
      <c r="E59" s="2">
        <v>96.197549999999993</v>
      </c>
      <c r="F59" s="2">
        <v>89.814809999999994</v>
      </c>
    </row>
    <row r="60" spans="2:6" ht="0.5" customHeight="1">
      <c r="B60" s="2" t="s">
        <v>998</v>
      </c>
      <c r="C60" s="2">
        <v>1.3728199999999999</v>
      </c>
      <c r="D60" s="2">
        <v>2.4387300000000001</v>
      </c>
      <c r="E60" s="2">
        <v>1.04895</v>
      </c>
      <c r="F60" s="2">
        <v>0.27777999999999997</v>
      </c>
    </row>
    <row r="61" spans="2:6" ht="0.5" customHeight="1">
      <c r="B61" s="2" t="s">
        <v>997</v>
      </c>
      <c r="C61" s="2">
        <v>7.3589100000000007</v>
      </c>
      <c r="D61" s="2">
        <v>14.338239999999999</v>
      </c>
      <c r="E61" s="2">
        <v>2.7534999999999998</v>
      </c>
      <c r="F61" s="2">
        <v>9.9074100000000005</v>
      </c>
    </row>
    <row r="62" spans="2:6" ht="0.5" customHeight="1"/>
    <row r="63" spans="2:6" ht="0.5" customHeight="1">
      <c r="B63" s="2" t="s">
        <v>1002</v>
      </c>
    </row>
    <row r="64" spans="2:6" ht="0.5" customHeight="1">
      <c r="C64" s="478" t="s">
        <v>1001</v>
      </c>
      <c r="D64" s="478"/>
      <c r="E64" s="478"/>
      <c r="F64" s="478"/>
    </row>
    <row r="65" spans="2:6" ht="0.5" customHeight="1">
      <c r="B65" s="2" t="s">
        <v>1000</v>
      </c>
      <c r="C65" s="2" t="s">
        <v>988</v>
      </c>
      <c r="D65" s="2" t="s">
        <v>989</v>
      </c>
      <c r="E65" s="2" t="s">
        <v>990</v>
      </c>
      <c r="F65" s="2" t="s">
        <v>991</v>
      </c>
    </row>
    <row r="66" spans="2:6" ht="0.5" customHeight="1">
      <c r="B66" s="2" t="s">
        <v>999</v>
      </c>
      <c r="C66" s="2">
        <v>70.77252</v>
      </c>
      <c r="D66" s="2">
        <v>61.005379999999995</v>
      </c>
      <c r="E66" s="2">
        <v>68.098320000000001</v>
      </c>
      <c r="F66" s="2">
        <v>65.809479999999994</v>
      </c>
    </row>
    <row r="67" spans="2:6" ht="0.5" customHeight="1">
      <c r="B67" s="2" t="s">
        <v>998</v>
      </c>
      <c r="C67" s="2">
        <v>15.025540000000001</v>
      </c>
      <c r="D67" s="2">
        <v>12.322990000000001</v>
      </c>
      <c r="E67" s="2">
        <v>10.31001</v>
      </c>
      <c r="F67" s="2">
        <v>8.2401600000000013</v>
      </c>
    </row>
    <row r="68" spans="2:6" ht="0.5" customHeight="1">
      <c r="B68" s="2" t="s">
        <v>997</v>
      </c>
      <c r="C68" s="2">
        <v>14.201939999999999</v>
      </c>
      <c r="D68" s="2">
        <v>26.67163</v>
      </c>
      <c r="E68" s="2">
        <v>21.591670000000001</v>
      </c>
      <c r="F68" s="2">
        <v>25.95036</v>
      </c>
    </row>
    <row r="69" spans="2:6">
      <c r="B69" s="369"/>
      <c r="C69" s="369"/>
      <c r="D69" s="369"/>
      <c r="E69" s="369"/>
    </row>
  </sheetData>
  <mergeCells count="5">
    <mergeCell ref="B32:M32"/>
    <mergeCell ref="C40:F40"/>
    <mergeCell ref="C47:F47"/>
    <mergeCell ref="C57:F57"/>
    <mergeCell ref="C64:F64"/>
  </mergeCells>
  <pageMargins left="0.7" right="0.7" top="0.75" bottom="0.75" header="0.3" footer="0.3"/>
  <pageSetup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1"/>
  <sheetViews>
    <sheetView zoomScaleNormal="100" zoomScaleSheetLayoutView="100" workbookViewId="0"/>
  </sheetViews>
  <sheetFormatPr defaultColWidth="8.81640625" defaultRowHeight="14.5"/>
  <cols>
    <col min="1" max="1" width="2.81640625" style="2" customWidth="1"/>
    <col min="2" max="4" width="8.81640625" style="2"/>
    <col min="5" max="11" width="9.54296875" style="2" bestFit="1" customWidth="1"/>
    <col min="12" max="16384" width="8.81640625" style="2"/>
  </cols>
  <sheetData>
    <row r="1" spans="1:17">
      <c r="A1" s="1"/>
      <c r="B1" s="1"/>
      <c r="C1" s="1"/>
      <c r="D1" s="1"/>
      <c r="E1" s="1"/>
      <c r="F1" s="1"/>
      <c r="G1" s="1"/>
      <c r="H1" s="1"/>
      <c r="I1" s="1"/>
      <c r="J1" s="1"/>
      <c r="K1" s="1"/>
      <c r="L1" s="1"/>
      <c r="M1" s="1"/>
      <c r="N1" s="1"/>
      <c r="O1" s="1"/>
      <c r="P1" s="1"/>
      <c r="Q1" s="1"/>
    </row>
    <row r="2" spans="1:17" ht="17.5">
      <c r="A2" s="1"/>
      <c r="B2" s="3" t="s">
        <v>0</v>
      </c>
      <c r="C2" s="1"/>
      <c r="D2" s="1"/>
      <c r="E2" s="1"/>
      <c r="F2" s="1"/>
      <c r="G2" s="1"/>
      <c r="H2" s="1"/>
      <c r="I2" s="1"/>
      <c r="J2" s="1"/>
      <c r="K2" s="1"/>
      <c r="L2" s="1"/>
      <c r="M2" s="1"/>
      <c r="N2" s="1"/>
      <c r="O2" s="1"/>
      <c r="P2" s="1"/>
      <c r="Q2" s="1"/>
    </row>
    <row r="3" spans="1:17" ht="15.5">
      <c r="A3" s="1"/>
      <c r="B3" s="4" t="s">
        <v>237</v>
      </c>
      <c r="C3" s="1"/>
      <c r="D3" s="1"/>
      <c r="E3" s="1"/>
      <c r="F3" s="86" t="str">
        <f>E22</f>
        <v>Panama</v>
      </c>
      <c r="G3" s="83"/>
      <c r="H3" s="1"/>
      <c r="I3" s="1"/>
      <c r="J3" s="1"/>
      <c r="K3" s="1"/>
      <c r="L3" s="1"/>
      <c r="M3" s="1"/>
      <c r="N3" s="1"/>
      <c r="O3" s="1"/>
      <c r="P3" s="1"/>
      <c r="Q3" s="1"/>
    </row>
    <row r="4" spans="1:17">
      <c r="A4" s="1"/>
      <c r="B4" s="1"/>
      <c r="C4" s="1"/>
      <c r="D4" s="1"/>
      <c r="E4" s="1"/>
      <c r="F4" s="5"/>
      <c r="G4" s="1"/>
      <c r="H4" s="1"/>
      <c r="I4" s="1"/>
      <c r="J4" s="1"/>
      <c r="K4" s="1"/>
      <c r="L4" s="1"/>
      <c r="M4" s="1"/>
      <c r="N4" s="1"/>
      <c r="O4" s="1"/>
      <c r="P4" s="1"/>
      <c r="Q4" s="1"/>
    </row>
    <row r="5" spans="1:17">
      <c r="A5" s="1"/>
      <c r="B5" s="1"/>
      <c r="C5" s="1"/>
      <c r="D5" s="1"/>
      <c r="E5" s="1"/>
      <c r="F5" s="1"/>
      <c r="G5" s="1"/>
      <c r="H5" s="1"/>
      <c r="I5" s="1"/>
      <c r="J5" s="1"/>
      <c r="K5" s="1"/>
      <c r="L5" s="1"/>
      <c r="M5" s="1"/>
      <c r="N5" s="1"/>
      <c r="O5" s="1"/>
      <c r="P5" s="1"/>
      <c r="Q5" s="1"/>
    </row>
    <row r="6" spans="1:17">
      <c r="A6" s="1"/>
      <c r="B6" s="1"/>
      <c r="C6" s="1"/>
      <c r="D6" s="1"/>
      <c r="E6" s="1"/>
      <c r="F6" s="1"/>
      <c r="G6" s="1"/>
      <c r="H6" s="1"/>
      <c r="I6" s="1"/>
      <c r="J6" s="1"/>
      <c r="K6" s="1"/>
      <c r="L6" s="1"/>
      <c r="M6" s="1"/>
      <c r="N6" s="1"/>
      <c r="O6" s="1"/>
      <c r="P6" s="1"/>
      <c r="Q6" s="1"/>
    </row>
    <row r="7" spans="1:17">
      <c r="A7" s="1"/>
      <c r="B7" s="1"/>
      <c r="C7" s="1"/>
      <c r="D7" s="1"/>
      <c r="E7" s="1"/>
      <c r="F7" s="1"/>
      <c r="G7" s="1"/>
      <c r="H7" s="1"/>
      <c r="I7" s="1"/>
      <c r="J7" s="1"/>
      <c r="K7" s="1"/>
      <c r="L7" s="1"/>
      <c r="M7" s="1"/>
      <c r="N7" s="1"/>
      <c r="O7" s="1"/>
      <c r="P7" s="1"/>
      <c r="Q7" s="1"/>
    </row>
    <row r="8" spans="1:17">
      <c r="A8" s="1"/>
      <c r="B8" s="1"/>
      <c r="C8" s="1"/>
      <c r="D8" s="1"/>
      <c r="E8" s="1"/>
      <c r="F8" s="1"/>
      <c r="G8" s="1"/>
      <c r="H8" s="1"/>
      <c r="I8" s="1"/>
      <c r="J8" s="1"/>
      <c r="K8" s="1"/>
      <c r="L8" s="1"/>
      <c r="M8" s="1"/>
      <c r="N8" s="1"/>
      <c r="O8" s="1"/>
      <c r="P8" s="1"/>
      <c r="Q8" s="1"/>
    </row>
    <row r="9" spans="1:17">
      <c r="A9" s="1"/>
      <c r="B9" s="1"/>
      <c r="C9" s="1"/>
      <c r="D9" s="1"/>
      <c r="E9" s="1"/>
      <c r="F9" s="1"/>
      <c r="G9" s="1"/>
      <c r="H9" s="1"/>
      <c r="I9" s="1"/>
      <c r="J9" s="1"/>
      <c r="K9" s="1"/>
      <c r="L9" s="1"/>
      <c r="M9" s="1"/>
      <c r="N9" s="1"/>
      <c r="O9" s="1"/>
      <c r="P9" s="1"/>
      <c r="Q9" s="1"/>
    </row>
    <row r="10" spans="1:17">
      <c r="A10" s="1"/>
      <c r="B10" s="1"/>
      <c r="C10" s="1"/>
      <c r="D10" s="1"/>
      <c r="E10" s="1"/>
      <c r="F10" s="1"/>
      <c r="G10" s="1"/>
      <c r="H10" s="1"/>
      <c r="I10" s="1"/>
      <c r="J10" s="1"/>
      <c r="K10" s="1"/>
      <c r="L10" s="1"/>
      <c r="M10" s="1"/>
      <c r="N10" s="1"/>
      <c r="O10" s="1"/>
      <c r="P10" s="1"/>
      <c r="Q10" s="1"/>
    </row>
    <row r="11" spans="1:17">
      <c r="A11" s="1"/>
      <c r="B11" s="1"/>
      <c r="C11" s="1"/>
      <c r="D11" s="1"/>
      <c r="E11" s="1"/>
      <c r="F11" s="1"/>
      <c r="G11" s="1"/>
      <c r="H11" s="1"/>
      <c r="I11" s="1"/>
      <c r="J11" s="1"/>
      <c r="K11" s="1"/>
      <c r="L11" s="1"/>
      <c r="M11" s="1"/>
      <c r="N11" s="1"/>
      <c r="O11" s="1"/>
      <c r="P11" s="1"/>
      <c r="Q11" s="1"/>
    </row>
    <row r="12" spans="1:17">
      <c r="A12" s="1"/>
      <c r="B12" s="1"/>
      <c r="C12" s="1"/>
      <c r="D12" s="1"/>
      <c r="E12" s="1"/>
      <c r="F12" s="1"/>
      <c r="G12" s="1"/>
      <c r="H12" s="1"/>
      <c r="I12" s="1"/>
      <c r="J12" s="1"/>
      <c r="K12" s="1"/>
      <c r="L12" s="1"/>
      <c r="M12" s="1"/>
      <c r="N12" s="1"/>
      <c r="O12" s="1"/>
      <c r="P12" s="1"/>
      <c r="Q12" s="1"/>
    </row>
    <row r="13" spans="1:17">
      <c r="A13" s="1"/>
      <c r="B13" s="1"/>
      <c r="C13" s="1"/>
      <c r="D13" s="1"/>
      <c r="E13" s="1"/>
      <c r="F13" s="1"/>
      <c r="G13" s="1"/>
      <c r="H13" s="1"/>
      <c r="I13" s="1"/>
      <c r="J13" s="1"/>
      <c r="K13" s="1"/>
      <c r="L13" s="1"/>
      <c r="M13" s="1"/>
      <c r="N13" s="1"/>
      <c r="O13" s="1"/>
      <c r="P13" s="1"/>
      <c r="Q13" s="1"/>
    </row>
    <row r="14" spans="1:17">
      <c r="A14" s="1"/>
      <c r="B14" s="1"/>
      <c r="C14" s="1"/>
      <c r="D14" s="1"/>
      <c r="E14" s="1"/>
      <c r="F14" s="1"/>
      <c r="G14" s="1"/>
      <c r="H14" s="1"/>
      <c r="I14" s="1"/>
      <c r="J14" s="1"/>
      <c r="K14" s="1"/>
      <c r="L14" s="1"/>
      <c r="M14" s="1"/>
      <c r="N14" s="1"/>
      <c r="O14" s="1"/>
      <c r="P14" s="1"/>
      <c r="Q14" s="1"/>
    </row>
    <row r="15" spans="1:17">
      <c r="A15" s="1"/>
      <c r="B15" s="1"/>
      <c r="C15" s="1"/>
      <c r="D15" s="1"/>
      <c r="E15" s="1"/>
      <c r="F15" s="1"/>
      <c r="G15" s="1"/>
      <c r="H15" s="1"/>
      <c r="I15" s="1"/>
      <c r="J15" s="1"/>
      <c r="K15" s="1"/>
      <c r="L15" s="1"/>
      <c r="M15" s="1"/>
      <c r="N15" s="1"/>
      <c r="O15" s="1"/>
      <c r="P15" s="1"/>
      <c r="Q15" s="1"/>
    </row>
    <row r="16" spans="1:17">
      <c r="A16" s="1"/>
      <c r="B16" s="1"/>
      <c r="C16" s="1"/>
      <c r="D16" s="1"/>
      <c r="E16" s="1"/>
      <c r="F16" s="1"/>
      <c r="G16" s="1"/>
      <c r="H16" s="1"/>
      <c r="I16" s="1"/>
      <c r="J16" s="1"/>
      <c r="K16" s="1"/>
      <c r="L16" s="1"/>
      <c r="M16" s="1"/>
      <c r="N16" s="1"/>
      <c r="O16" s="1"/>
      <c r="P16" s="1"/>
      <c r="Q16" s="1"/>
    </row>
    <row r="17" spans="1:18">
      <c r="A17" s="1"/>
      <c r="B17" s="1"/>
      <c r="C17" s="1"/>
      <c r="D17" s="1"/>
      <c r="E17" s="1"/>
      <c r="F17" s="1"/>
      <c r="G17" s="1"/>
      <c r="H17" s="1"/>
      <c r="I17" s="1"/>
      <c r="J17" s="1"/>
      <c r="K17" s="1"/>
      <c r="L17" s="1"/>
      <c r="M17" s="1"/>
      <c r="N17" s="1"/>
      <c r="O17" s="1"/>
      <c r="P17" s="1"/>
      <c r="Q17" s="1"/>
    </row>
    <row r="18" spans="1:18">
      <c r="A18" s="1"/>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c r="R19" s="2" t="s">
        <v>1</v>
      </c>
    </row>
    <row r="20" spans="1:18" ht="90" customHeight="1" thickBot="1">
      <c r="A20" s="84"/>
      <c r="B20" s="409" t="s">
        <v>2</v>
      </c>
      <c r="C20" s="409"/>
      <c r="D20" s="409"/>
      <c r="E20" s="409"/>
      <c r="F20" s="409"/>
      <c r="G20" s="409"/>
      <c r="H20" s="409"/>
      <c r="I20" s="409"/>
      <c r="J20" s="409"/>
      <c r="K20" s="409"/>
      <c r="L20" s="409"/>
      <c r="M20" s="409"/>
      <c r="N20" s="409"/>
      <c r="O20" s="409"/>
      <c r="P20" s="409"/>
      <c r="Q20" s="85"/>
    </row>
    <row r="21" spans="1:18" ht="5.25" customHeight="1" thickTop="1">
      <c r="A21" s="87"/>
      <c r="B21" s="87"/>
      <c r="C21" s="87"/>
      <c r="D21" s="87"/>
      <c r="E21" s="87"/>
      <c r="F21" s="87"/>
      <c r="G21" s="87"/>
      <c r="H21" s="87"/>
      <c r="I21" s="87"/>
      <c r="J21" s="87"/>
      <c r="K21" s="87"/>
      <c r="L21" s="87"/>
      <c r="M21" s="87"/>
      <c r="N21" s="87"/>
      <c r="O21" s="87"/>
      <c r="P21" s="87"/>
      <c r="Q21" s="87"/>
    </row>
    <row r="22" spans="1:18" ht="17.25" customHeight="1">
      <c r="A22" s="87"/>
      <c r="B22" s="87"/>
      <c r="C22" s="87"/>
      <c r="D22" s="87"/>
      <c r="E22" s="405" t="str">
        <f>'Country Selection'!C5</f>
        <v>Panama</v>
      </c>
      <c r="F22" s="405"/>
      <c r="G22" s="405"/>
      <c r="H22" s="405"/>
      <c r="I22" s="405"/>
      <c r="J22" s="405"/>
      <c r="K22" s="405"/>
      <c r="L22" s="405"/>
      <c r="M22" s="405"/>
      <c r="N22" s="405"/>
      <c r="O22" s="405"/>
      <c r="P22" s="405"/>
      <c r="Q22" s="87"/>
    </row>
    <row r="23" spans="1:18" ht="17.25" customHeight="1">
      <c r="A23" s="87"/>
      <c r="B23" s="87"/>
      <c r="C23" s="87"/>
      <c r="D23" s="87"/>
      <c r="E23" s="405" t="s">
        <v>228</v>
      </c>
      <c r="F23" s="405"/>
      <c r="G23" s="405" t="s">
        <v>229</v>
      </c>
      <c r="H23" s="405"/>
      <c r="I23" s="405" t="s">
        <v>230</v>
      </c>
      <c r="J23" s="405"/>
      <c r="K23" s="405" t="s">
        <v>231</v>
      </c>
      <c r="L23" s="405"/>
      <c r="M23" s="405" t="s">
        <v>232</v>
      </c>
      <c r="N23" s="405"/>
      <c r="O23" s="405" t="s">
        <v>233</v>
      </c>
      <c r="P23" s="405"/>
      <c r="Q23" s="87"/>
    </row>
    <row r="24" spans="1:18" ht="17.25" customHeight="1">
      <c r="A24" s="87"/>
      <c r="B24" s="87"/>
      <c r="C24" s="1"/>
      <c r="D24" s="1"/>
      <c r="E24" s="98" t="s">
        <v>234</v>
      </c>
      <c r="F24" s="99" t="s">
        <v>235</v>
      </c>
      <c r="G24" s="100" t="s">
        <v>234</v>
      </c>
      <c r="H24" s="99" t="s">
        <v>235</v>
      </c>
      <c r="I24" s="100" t="s">
        <v>234</v>
      </c>
      <c r="J24" s="99" t="s">
        <v>235</v>
      </c>
      <c r="K24" s="100" t="s">
        <v>234</v>
      </c>
      <c r="L24" s="99" t="s">
        <v>235</v>
      </c>
      <c r="M24" s="100" t="s">
        <v>234</v>
      </c>
      <c r="N24" s="99" t="s">
        <v>235</v>
      </c>
      <c r="O24" s="101" t="s">
        <v>234</v>
      </c>
      <c r="P24" s="101" t="s">
        <v>235</v>
      </c>
      <c r="Q24" s="87"/>
    </row>
    <row r="25" spans="1:18" ht="17.25" customHeight="1">
      <c r="A25" s="87"/>
      <c r="B25" s="87" t="s">
        <v>5</v>
      </c>
      <c r="C25" s="1"/>
      <c r="D25" s="1"/>
      <c r="E25" s="94" t="str">
        <f>IFERROR(E48-F48,"N/A")</f>
        <v>N/A</v>
      </c>
      <c r="F25" s="96" t="str">
        <f>IFERROR(N48-O48,"N/A")</f>
        <v>N/A</v>
      </c>
      <c r="G25" s="97" t="str">
        <f>IFERROR(E53-F53,"N/A")</f>
        <v>N/A</v>
      </c>
      <c r="H25" s="96" t="str">
        <f>IFERROR(N53-O53,"N/A")</f>
        <v>N/A</v>
      </c>
      <c r="I25" s="97" t="str">
        <f>IFERROR(E58-F58,"N/A")</f>
        <v>N/A</v>
      </c>
      <c r="J25" s="96" t="str">
        <f>IFERROR(N58-O58,"N/A")</f>
        <v>N/A</v>
      </c>
      <c r="K25" s="97" t="str">
        <f>IFERROR(E63-F63,"N/A")</f>
        <v>N/A</v>
      </c>
      <c r="L25" s="96" t="str">
        <f>IFERROR(N63-O63,"N/A")</f>
        <v>N/A</v>
      </c>
      <c r="M25" s="97" t="str">
        <f>IFERROR(E69-F69,"N/A")</f>
        <v>N/A</v>
      </c>
      <c r="N25" s="96" t="str">
        <f>IFERROR(N69-O69,"N/A")</f>
        <v>N/A</v>
      </c>
      <c r="O25" s="91" t="str">
        <f>IFERROR(E81-F81,"N/A")</f>
        <v>N/A</v>
      </c>
      <c r="P25" s="91" t="str">
        <f>IFERROR(N81-O81,"N/A")</f>
        <v>N/A</v>
      </c>
      <c r="Q25" s="87"/>
    </row>
    <row r="26" spans="1:18" ht="17.25" customHeight="1">
      <c r="A26" s="87"/>
      <c r="B26" s="88" t="s">
        <v>6</v>
      </c>
      <c r="C26" s="87"/>
      <c r="D26" s="87"/>
      <c r="E26" s="95" t="str">
        <f>IFERROR(F48-G48,"N/A")</f>
        <v>N/A</v>
      </c>
      <c r="F26" s="96" t="str">
        <f>IFERROR(O48-P48,"N/A")</f>
        <v>N/A</v>
      </c>
      <c r="G26" s="97" t="str">
        <f>IFERROR(F53-G53,"N/A")</f>
        <v>N/A</v>
      </c>
      <c r="H26" s="96" t="str">
        <f>IFERROR(O53-P53,"N/A")</f>
        <v>N/A</v>
      </c>
      <c r="I26" s="97" t="str">
        <f>IFERROR(F58-G58,"N/A")</f>
        <v>N/A</v>
      </c>
      <c r="J26" s="96" t="str">
        <f>IFERROR(O58-P58,"N/A")</f>
        <v>N/A</v>
      </c>
      <c r="K26" s="97" t="str">
        <f>IFERROR(F63-G63,"N/A")</f>
        <v>N/A</v>
      </c>
      <c r="L26" s="96" t="str">
        <f>IFERROR(O63-P63,"N/A")</f>
        <v>N/A</v>
      </c>
      <c r="M26" s="97" t="str">
        <f>IFERROR(F69-G69,"N/A")</f>
        <v>N/A</v>
      </c>
      <c r="N26" s="96" t="str">
        <f>IFERROR(O69-P69,"N/A")</f>
        <v>N/A</v>
      </c>
      <c r="O26" s="91" t="str">
        <f>IFERROR(F81-G81,"N/A")</f>
        <v>N/A</v>
      </c>
      <c r="P26" s="91" t="str">
        <f>IFERROR(O81-P81,"N/A")</f>
        <v>N/A</v>
      </c>
      <c r="Q26" s="87"/>
    </row>
    <row r="27" spans="1:18" ht="17.25" customHeight="1">
      <c r="A27" s="87"/>
      <c r="B27" s="87" t="s">
        <v>7</v>
      </c>
      <c r="C27" s="87"/>
      <c r="D27" s="87"/>
      <c r="E27" s="95" t="str">
        <f>IFERROR(G48-H48,"N/A")</f>
        <v>N/A</v>
      </c>
      <c r="F27" s="96" t="str">
        <f>IFERROR(P48-Q48,"N/A")</f>
        <v>N/A</v>
      </c>
      <c r="G27" s="97" t="str">
        <f>IFERROR(G53-H53,"N/A")</f>
        <v>N/A</v>
      </c>
      <c r="H27" s="96" t="str">
        <f>IFERROR(P53-Q53,"N/A")</f>
        <v>N/A</v>
      </c>
      <c r="I27" s="97" t="str">
        <f>IFERROR(G58-H58,"N/A")</f>
        <v>N/A</v>
      </c>
      <c r="J27" s="96" t="str">
        <f>IFERROR(P58-Q58,"N/A")</f>
        <v>N/A</v>
      </c>
      <c r="K27" s="97" t="str">
        <f>IFERROR(G63-H63,"N/A")</f>
        <v>N/A</v>
      </c>
      <c r="L27" s="96" t="str">
        <f>IFERROR(P63-Q63,"N/A")</f>
        <v>N/A</v>
      </c>
      <c r="M27" s="97" t="str">
        <f>IFERROR(G69-H69,"N/A")</f>
        <v>N/A</v>
      </c>
      <c r="N27" s="96" t="str">
        <f>IFERROR(P69-Q69,"N/A")</f>
        <v>N/A</v>
      </c>
      <c r="O27" s="91" t="str">
        <f>IFERROR(G81-H81,"N/A")</f>
        <v>N/A</v>
      </c>
      <c r="P27" s="91" t="str">
        <f>IFERROR(P81-Q81,"N/A")</f>
        <v>N/A</v>
      </c>
      <c r="Q27" s="87"/>
    </row>
    <row r="28" spans="1:18" ht="17.25" customHeight="1">
      <c r="A28" s="87"/>
      <c r="B28" s="89" t="s">
        <v>226</v>
      </c>
      <c r="C28" s="87"/>
      <c r="D28" s="87"/>
      <c r="E28" s="95" t="str">
        <f>IFERROR(H48-I48,"N/A")</f>
        <v>N/A</v>
      </c>
      <c r="F28" s="96" t="str">
        <f>IFERROR(Q48-R48,"N/A")</f>
        <v>N/A</v>
      </c>
      <c r="G28" s="97" t="str">
        <f>IFERROR(H53-I53,"N/A")</f>
        <v>N/A</v>
      </c>
      <c r="H28" s="96" t="str">
        <f>IFERROR(Q53-R53,"N/A")</f>
        <v>N/A</v>
      </c>
      <c r="I28" s="97" t="str">
        <f>IFERROR(-I58,"N/A")</f>
        <v>N/A</v>
      </c>
      <c r="J28" s="96" t="str">
        <f>IFERROR(Q58-R58,"N/A")</f>
        <v>N/A</v>
      </c>
      <c r="K28" s="97" t="str">
        <f>IFERROR(H63-I63,"N/A")</f>
        <v>N/A</v>
      </c>
      <c r="L28" s="96" t="str">
        <f>IFERROR(Q63-R63,"N/A")</f>
        <v>N/A</v>
      </c>
      <c r="M28" s="97" t="str">
        <f>IFERROR(H69-I69,"N/A")</f>
        <v>N/A</v>
      </c>
      <c r="N28" s="96" t="str">
        <f>IFERROR(Q69-R69,"N/A")</f>
        <v>N/A</v>
      </c>
      <c r="O28" s="91" t="str">
        <f>IFERROR(H81-I81,"N/A")</f>
        <v>N/A</v>
      </c>
      <c r="P28" s="91" t="str">
        <f>IFERROR(Q81-R81,"N/A")</f>
        <v>N/A</v>
      </c>
      <c r="Q28" s="87"/>
    </row>
    <row r="29" spans="1:18" ht="17.25" customHeight="1">
      <c r="A29" s="87"/>
      <c r="B29" s="89" t="s">
        <v>227</v>
      </c>
      <c r="C29" s="87"/>
      <c r="D29" s="87"/>
      <c r="E29" s="95" t="str">
        <f>I48</f>
        <v/>
      </c>
      <c r="F29" s="96" t="str">
        <f>R48</f>
        <v/>
      </c>
      <c r="G29" s="97" t="str">
        <f>I53</f>
        <v/>
      </c>
      <c r="H29" s="96" t="str">
        <f>R53</f>
        <v/>
      </c>
      <c r="I29" s="97" t="str">
        <f>I58</f>
        <v/>
      </c>
      <c r="J29" s="96" t="str">
        <f>R58</f>
        <v/>
      </c>
      <c r="K29" s="97" t="str">
        <f>I63</f>
        <v/>
      </c>
      <c r="L29" s="96" t="str">
        <f>R63</f>
        <v/>
      </c>
      <c r="M29" s="97" t="str">
        <f>I69</f>
        <v/>
      </c>
      <c r="N29" s="96" t="str">
        <f>R69</f>
        <v/>
      </c>
      <c r="O29" s="91" t="str">
        <f>I81</f>
        <v/>
      </c>
      <c r="P29" s="91" t="str">
        <f>R81</f>
        <v/>
      </c>
      <c r="Q29" s="87"/>
    </row>
    <row r="30" spans="1:18" ht="7.5" customHeight="1" thickBot="1">
      <c r="A30" s="90"/>
      <c r="B30" s="90"/>
      <c r="C30" s="90"/>
      <c r="D30" s="90"/>
      <c r="E30" s="90"/>
      <c r="F30" s="90"/>
      <c r="G30" s="90"/>
      <c r="H30" s="90"/>
      <c r="I30" s="90"/>
      <c r="J30" s="90"/>
      <c r="K30" s="90"/>
      <c r="L30" s="90"/>
      <c r="M30" s="90"/>
      <c r="N30" s="90"/>
      <c r="O30" s="90"/>
      <c r="P30" s="90"/>
      <c r="Q30" s="90"/>
    </row>
    <row r="31" spans="1:18" ht="7.5" customHeight="1">
      <c r="A31" s="87"/>
      <c r="B31" s="87"/>
      <c r="C31" s="87"/>
      <c r="D31" s="87"/>
      <c r="E31" s="87"/>
      <c r="F31" s="87"/>
      <c r="G31" s="87"/>
      <c r="H31" s="87"/>
      <c r="I31" s="87"/>
      <c r="J31" s="87"/>
      <c r="K31" s="87"/>
      <c r="L31" s="87"/>
      <c r="M31" s="87"/>
      <c r="N31" s="87"/>
      <c r="O31" s="87"/>
      <c r="P31" s="87"/>
      <c r="Q31" s="87"/>
    </row>
    <row r="32" spans="1:18" ht="17.25" customHeight="1">
      <c r="A32" s="87"/>
      <c r="B32" s="87"/>
      <c r="C32" s="87"/>
      <c r="D32" s="87"/>
      <c r="E32" s="405" t="s">
        <v>20</v>
      </c>
      <c r="F32" s="405"/>
      <c r="G32" s="405"/>
      <c r="H32" s="405"/>
      <c r="I32" s="405"/>
      <c r="J32" s="405"/>
      <c r="K32" s="405"/>
      <c r="L32" s="405"/>
      <c r="M32" s="405"/>
      <c r="N32" s="405"/>
      <c r="O32" s="405"/>
      <c r="P32" s="405"/>
      <c r="Q32" s="87"/>
    </row>
    <row r="33" spans="1:18" ht="17.25" customHeight="1">
      <c r="A33" s="87"/>
      <c r="B33" s="87"/>
      <c r="C33" s="87"/>
      <c r="D33" s="87"/>
      <c r="E33" s="406" t="s">
        <v>228</v>
      </c>
      <c r="F33" s="407"/>
      <c r="G33" s="408" t="s">
        <v>229</v>
      </c>
      <c r="H33" s="407"/>
      <c r="I33" s="408" t="s">
        <v>230</v>
      </c>
      <c r="J33" s="407"/>
      <c r="K33" s="408" t="s">
        <v>231</v>
      </c>
      <c r="L33" s="407"/>
      <c r="M33" s="408" t="s">
        <v>232</v>
      </c>
      <c r="N33" s="407"/>
      <c r="O33" s="405" t="s">
        <v>233</v>
      </c>
      <c r="P33" s="405"/>
      <c r="Q33" s="87"/>
    </row>
    <row r="34" spans="1:18" ht="17.25" customHeight="1">
      <c r="A34" s="87"/>
      <c r="B34" s="87"/>
      <c r="C34" s="1"/>
      <c r="D34" s="1"/>
      <c r="E34" s="98" t="s">
        <v>234</v>
      </c>
      <c r="F34" s="99" t="s">
        <v>235</v>
      </c>
      <c r="G34" s="100" t="s">
        <v>234</v>
      </c>
      <c r="H34" s="99" t="s">
        <v>235</v>
      </c>
      <c r="I34" s="100" t="s">
        <v>234</v>
      </c>
      <c r="J34" s="99" t="s">
        <v>235</v>
      </c>
      <c r="K34" s="100" t="s">
        <v>234</v>
      </c>
      <c r="L34" s="99" t="s">
        <v>235</v>
      </c>
      <c r="M34" s="100" t="s">
        <v>234</v>
      </c>
      <c r="N34" s="99" t="s">
        <v>235</v>
      </c>
      <c r="O34" s="101" t="s">
        <v>234</v>
      </c>
      <c r="P34" s="101" t="s">
        <v>235</v>
      </c>
      <c r="Q34" s="87"/>
    </row>
    <row r="35" spans="1:18" ht="17.25" customHeight="1">
      <c r="A35" s="87"/>
      <c r="B35" s="87" t="s">
        <v>5</v>
      </c>
      <c r="C35" s="1"/>
      <c r="D35" s="1"/>
      <c r="E35" s="94">
        <f>E95-F95</f>
        <v>0.80415950000000003</v>
      </c>
      <c r="F35" s="96">
        <f>N95-O95</f>
        <v>0.70526500000000003</v>
      </c>
      <c r="G35" s="97">
        <f>E100-F100</f>
        <v>5.6656099999999987E-2</v>
      </c>
      <c r="H35" s="96">
        <f>N100-O100</f>
        <v>1.8505800000000017E-2</v>
      </c>
      <c r="I35" s="97">
        <f>E105-F105</f>
        <v>2.9549999999999965E-2</v>
      </c>
      <c r="J35" s="96">
        <f>N105-O105</f>
        <v>1.4339400000000002E-2</v>
      </c>
      <c r="K35" s="97">
        <f>E110-F110</f>
        <v>0.15498120000000004</v>
      </c>
      <c r="L35" s="96">
        <f>N110-O110</f>
        <v>7.4811399999999972E-2</v>
      </c>
      <c r="M35" s="97">
        <f>E116-F116</f>
        <v>0.24916260000000001</v>
      </c>
      <c r="N35" s="96">
        <f>N116-O116</f>
        <v>7.1713600000000044E-2</v>
      </c>
      <c r="O35" s="91">
        <f>E128-F128</f>
        <v>0.21994069999999999</v>
      </c>
      <c r="P35" s="91">
        <f>N128-O128</f>
        <v>6.8415800000000027E-2</v>
      </c>
      <c r="Q35" s="87"/>
    </row>
    <row r="36" spans="1:18" ht="17.25" customHeight="1">
      <c r="A36" s="87"/>
      <c r="B36" s="88" t="s">
        <v>6</v>
      </c>
      <c r="C36" s="87"/>
      <c r="D36" s="87"/>
      <c r="E36" s="95">
        <f>F95-G95</f>
        <v>0</v>
      </c>
      <c r="F36" s="96">
        <f>O95-P95</f>
        <v>0</v>
      </c>
      <c r="G36" s="97">
        <f>F100-G100</f>
        <v>0</v>
      </c>
      <c r="H36" s="96">
        <f>O100-P100</f>
        <v>0</v>
      </c>
      <c r="I36" s="97">
        <f>F105-G105</f>
        <v>2.0104000000000788E-3</v>
      </c>
      <c r="J36" s="96">
        <f>O105-P105</f>
        <v>2.5079999999999547E-4</v>
      </c>
      <c r="K36" s="97">
        <f>F110-G110</f>
        <v>3.2413099999999972E-2</v>
      </c>
      <c r="L36" s="96">
        <f>O110-P110</f>
        <v>1.6597199999999979E-2</v>
      </c>
      <c r="M36" s="97">
        <f>F116-G116</f>
        <v>8.1473099999999965E-2</v>
      </c>
      <c r="N36" s="96">
        <f>O116-P116</f>
        <v>2.8413899999999992E-2</v>
      </c>
      <c r="O36" s="91">
        <f>F128-G128</f>
        <v>3.8197800000000059E-2</v>
      </c>
      <c r="P36" s="91">
        <f>O128-P128</f>
        <v>1.0870099999999994E-2</v>
      </c>
      <c r="Q36" s="87"/>
    </row>
    <row r="37" spans="1:18" ht="17.25" customHeight="1">
      <c r="A37" s="87"/>
      <c r="B37" s="87" t="s">
        <v>7</v>
      </c>
      <c r="C37" s="87"/>
      <c r="D37" s="87"/>
      <c r="E37" s="95">
        <f>G95-H95</f>
        <v>1.7469999999999986E-4</v>
      </c>
      <c r="F37" s="96">
        <f>P95-Q95</f>
        <v>0</v>
      </c>
      <c r="G37" s="97">
        <f>G100-H100</f>
        <v>1.2124000000000024E-3</v>
      </c>
      <c r="H37" s="96">
        <f>P100-Q100</f>
        <v>5.4710000000002257E-4</v>
      </c>
      <c r="I37" s="97">
        <f>G105-H105</f>
        <v>1.9006199999999973E-2</v>
      </c>
      <c r="J37" s="96">
        <f>P105-Q105</f>
        <v>6.513800000000014E-3</v>
      </c>
      <c r="K37" s="97">
        <f>G110-H110</f>
        <v>0.1659718</v>
      </c>
      <c r="L37" s="96">
        <f>P110-Q110</f>
        <v>0.12209080000000005</v>
      </c>
      <c r="M37" s="97">
        <f>G116-H116</f>
        <v>0.48270489999999999</v>
      </c>
      <c r="N37" s="96">
        <f>P115-Q115</f>
        <v>0.45019369999999997</v>
      </c>
      <c r="O37" s="91">
        <f>G128-H128</f>
        <v>0.7092811</v>
      </c>
      <c r="P37" s="91">
        <f>P128-Q128</f>
        <v>0.83424449999999994</v>
      </c>
      <c r="Q37" s="87"/>
    </row>
    <row r="38" spans="1:18" ht="17.25" customHeight="1">
      <c r="A38" s="87"/>
      <c r="B38" s="89" t="s">
        <v>226</v>
      </c>
      <c r="C38" s="87"/>
      <c r="D38" s="87"/>
      <c r="E38" s="95">
        <f>H95-I95</f>
        <v>9.4738100000000006E-2</v>
      </c>
      <c r="F38" s="96">
        <f>Q95-R95</f>
        <v>0.23440710000000003</v>
      </c>
      <c r="G38" s="97">
        <f>H100-I100</f>
        <v>5.365030000000004E-2</v>
      </c>
      <c r="H38" s="96">
        <f>Q100-R100</f>
        <v>0.45786479999999996</v>
      </c>
      <c r="I38" s="97">
        <f>H105-I105</f>
        <v>3.8218499999999933E-2</v>
      </c>
      <c r="J38" s="96">
        <f>Q105-R105</f>
        <v>0.40150739999999996</v>
      </c>
      <c r="K38" s="97">
        <f>H110-I110</f>
        <v>2.6242199999999993E-2</v>
      </c>
      <c r="L38" s="96">
        <f>Q110-R110</f>
        <v>0.30329830000000002</v>
      </c>
      <c r="M38" s="97">
        <f>H116-I116</f>
        <v>2.6110500000000009E-2</v>
      </c>
      <c r="N38" s="96">
        <f>Q116-R116</f>
        <v>0.17449890000000001</v>
      </c>
      <c r="O38" s="91">
        <f>H128-I128</f>
        <v>2.9243000000000012E-3</v>
      </c>
      <c r="P38" s="91">
        <f>Q128-R128</f>
        <v>4.8116299999999994E-2</v>
      </c>
      <c r="Q38" s="87"/>
    </row>
    <row r="39" spans="1:18" ht="17.25" customHeight="1">
      <c r="A39" s="1"/>
      <c r="B39" s="89" t="s">
        <v>227</v>
      </c>
      <c r="C39" s="87"/>
      <c r="D39" s="87"/>
      <c r="E39" s="95">
        <f>I95</f>
        <v>0.1009277</v>
      </c>
      <c r="F39" s="96">
        <f>R95</f>
        <v>6.0327899999999997E-2</v>
      </c>
      <c r="G39" s="97">
        <f>I100</f>
        <v>0.88848119999999997</v>
      </c>
      <c r="H39" s="96">
        <f>R100</f>
        <v>0.5230823</v>
      </c>
      <c r="I39" s="97">
        <f>I105</f>
        <v>0.91121490000000005</v>
      </c>
      <c r="J39" s="96">
        <f>R105</f>
        <v>0.57738860000000003</v>
      </c>
      <c r="K39" s="97">
        <f>I110</f>
        <v>0.62039169999999999</v>
      </c>
      <c r="L39" s="96">
        <f>R110</f>
        <v>0.48320229999999997</v>
      </c>
      <c r="M39" s="97">
        <f>I116</f>
        <v>0.16054889999999999</v>
      </c>
      <c r="N39" s="96">
        <f>R116</f>
        <v>0.21862500000000001</v>
      </c>
      <c r="O39" s="91">
        <f>I128</f>
        <v>2.9656100000000001E-2</v>
      </c>
      <c r="P39" s="91">
        <f>R128</f>
        <v>3.83533E-2</v>
      </c>
      <c r="Q39" s="1"/>
    </row>
    <row r="40" spans="1:18" ht="9" customHeight="1">
      <c r="A40" s="16"/>
      <c r="B40" s="92"/>
      <c r="C40" s="93"/>
      <c r="D40" s="93"/>
      <c r="E40" s="93"/>
      <c r="F40" s="93"/>
      <c r="G40" s="93"/>
      <c r="H40" s="93"/>
      <c r="I40" s="93"/>
      <c r="J40" s="93"/>
      <c r="K40" s="93"/>
      <c r="L40" s="93"/>
      <c r="M40" s="93"/>
      <c r="N40" s="93"/>
      <c r="O40" s="93"/>
      <c r="P40" s="93"/>
      <c r="Q40" s="16"/>
    </row>
    <row r="41" spans="1:18" ht="1" customHeight="1">
      <c r="A41" s="80"/>
      <c r="B41" s="81"/>
      <c r="C41" s="82"/>
      <c r="D41" s="82"/>
      <c r="E41" s="82"/>
      <c r="F41" s="82"/>
      <c r="G41" s="82"/>
      <c r="H41" s="82"/>
      <c r="I41" s="82"/>
      <c r="J41" s="82"/>
      <c r="K41" s="82"/>
      <c r="L41" s="82"/>
      <c r="M41" s="82"/>
      <c r="N41" s="82"/>
      <c r="O41" s="82"/>
      <c r="P41" s="82"/>
      <c r="Q41" s="80"/>
    </row>
    <row r="42" spans="1:18" ht="1" customHeight="1">
      <c r="A42" s="80"/>
      <c r="B42" s="81"/>
      <c r="C42" s="82"/>
      <c r="D42" s="82"/>
      <c r="E42" s="82"/>
      <c r="F42" s="82"/>
      <c r="G42" s="82"/>
      <c r="H42" s="82"/>
      <c r="I42" s="82"/>
      <c r="J42" s="82"/>
      <c r="K42" s="82"/>
      <c r="L42" s="82"/>
      <c r="M42" s="82"/>
      <c r="N42" s="82"/>
      <c r="O42" s="82"/>
      <c r="P42" s="82"/>
      <c r="Q42" s="80"/>
    </row>
    <row r="43" spans="1:18" ht="1" customHeight="1">
      <c r="A43" s="80"/>
      <c r="B43" s="81"/>
      <c r="C43" s="82"/>
      <c r="D43" s="82"/>
      <c r="E43" s="82"/>
      <c r="F43" s="82"/>
      <c r="G43" s="82"/>
      <c r="H43" s="82"/>
      <c r="I43" s="82"/>
      <c r="J43" s="82"/>
      <c r="K43" s="82"/>
      <c r="L43" s="82"/>
      <c r="M43" s="82"/>
      <c r="N43" s="82"/>
      <c r="O43" s="82"/>
      <c r="P43" s="82"/>
      <c r="Q43" s="80"/>
    </row>
    <row r="44" spans="1:18" ht="1" customHeight="1">
      <c r="A44" s="80"/>
      <c r="B44" s="404" t="s">
        <v>3</v>
      </c>
      <c r="C44" s="404"/>
      <c r="D44" s="404"/>
      <c r="E44" s="404"/>
      <c r="F44" s="404"/>
      <c r="G44" s="404"/>
      <c r="H44" s="404"/>
      <c r="I44" s="8"/>
      <c r="J44" s="8"/>
      <c r="K44" s="404" t="s">
        <v>3</v>
      </c>
      <c r="L44" s="404"/>
      <c r="M44" s="404"/>
      <c r="N44" s="404"/>
      <c r="O44" s="404"/>
      <c r="P44" s="404"/>
      <c r="Q44" s="404"/>
      <c r="R44" s="8"/>
    </row>
    <row r="45" spans="1:18" ht="1" customHeight="1">
      <c r="A45" s="80"/>
      <c r="B45" s="8" t="s">
        <v>4</v>
      </c>
      <c r="C45" s="8" t="s">
        <v>31</v>
      </c>
      <c r="D45" s="8" t="s">
        <v>236</v>
      </c>
      <c r="E45" s="8" t="s">
        <v>5</v>
      </c>
      <c r="F45" s="8" t="s">
        <v>6</v>
      </c>
      <c r="G45" s="8" t="s">
        <v>7</v>
      </c>
      <c r="H45" s="8" t="s">
        <v>8</v>
      </c>
      <c r="I45" s="8" t="s">
        <v>9</v>
      </c>
      <c r="J45" s="8"/>
      <c r="K45" s="8" t="s">
        <v>4</v>
      </c>
      <c r="L45" s="8" t="s">
        <v>31</v>
      </c>
      <c r="M45" s="8" t="s">
        <v>236</v>
      </c>
      <c r="N45" s="8" t="s">
        <v>5</v>
      </c>
      <c r="O45" s="8" t="s">
        <v>6</v>
      </c>
      <c r="P45" s="8" t="s">
        <v>7</v>
      </c>
      <c r="Q45" s="8" t="s">
        <v>8</v>
      </c>
      <c r="R45" s="8" t="s">
        <v>9</v>
      </c>
    </row>
    <row r="46" spans="1:18" ht="1" customHeight="1">
      <c r="A46" s="80"/>
      <c r="B46" s="8">
        <v>0</v>
      </c>
      <c r="C46" s="8" t="str">
        <f>E$22</f>
        <v>Panama</v>
      </c>
      <c r="D46" s="8" t="str">
        <f>CONCATENATE(B46,C46)</f>
        <v>0Panama</v>
      </c>
      <c r="E46" s="8" t="str">
        <f>IFERROR(VLOOKUP($D46,$D$93:$I$461,2,FALSE),"")</f>
        <v/>
      </c>
      <c r="F46" s="8" t="str">
        <f>IFERROR(VLOOKUP($D46,$D$93:$I$461,3,FALSE),"")</f>
        <v/>
      </c>
      <c r="G46" s="8" t="str">
        <f>IFERROR(VLOOKUP($D46,$D$93:$I$461,4,FALSE),"")</f>
        <v/>
      </c>
      <c r="H46" s="8" t="str">
        <f>IFERROR(VLOOKUP($D46,$D$93:$I$461,5,FALSE),"")</f>
        <v/>
      </c>
      <c r="I46" s="8" t="str">
        <f>IFERROR(VLOOKUP($D46,$D$93:$I$461,6,FALSE),"")</f>
        <v/>
      </c>
      <c r="J46" s="8"/>
      <c r="K46" s="8">
        <v>0</v>
      </c>
      <c r="L46" s="8" t="str">
        <f>E$22</f>
        <v>Panama</v>
      </c>
      <c r="M46" s="8" t="str">
        <f>CONCATENATE(K46,L46)</f>
        <v>0Panama</v>
      </c>
      <c r="N46" s="8" t="str">
        <f>IFERROR(VLOOKUP($M46,$M$93:$R$461,2,FALSE),"")</f>
        <v/>
      </c>
      <c r="O46" s="8" t="str">
        <f>IFERROR(VLOOKUP($M46,$M$93:$R$461,3,FALSE),"")</f>
        <v/>
      </c>
      <c r="P46" s="8" t="str">
        <f>IFERROR(VLOOKUP($M46,$M$93:$R$461,4,FALSE),"")</f>
        <v/>
      </c>
      <c r="Q46" s="8" t="str">
        <f>IFERROR(VLOOKUP($M46,$M$93:$R$461,5,FALSE),"")</f>
        <v/>
      </c>
      <c r="R46" s="8" t="str">
        <f>IFERROR(VLOOKUP($M46,$M$93:$R$461,6,FALSE),"")</f>
        <v/>
      </c>
    </row>
    <row r="47" spans="1:18" ht="1" customHeight="1">
      <c r="A47" s="80"/>
      <c r="B47" s="8">
        <v>1</v>
      </c>
      <c r="C47" s="8" t="str">
        <f t="shared" ref="C47:C86" si="0">E$22</f>
        <v>Panama</v>
      </c>
      <c r="D47" s="8" t="str">
        <f t="shared" ref="D47:D86" si="1">CONCATENATE(B47,C47)</f>
        <v>1Panama</v>
      </c>
      <c r="E47" s="8" t="str">
        <f t="shared" ref="E47:E86" si="2">IFERROR(VLOOKUP($D47,$D$93:$I$461,2,FALSE),"")</f>
        <v/>
      </c>
      <c r="F47" s="8" t="str">
        <f t="shared" ref="F47:F86" si="3">IFERROR(VLOOKUP($D47,$D$93:$I$461,3,FALSE),"")</f>
        <v/>
      </c>
      <c r="G47" s="8" t="str">
        <f t="shared" ref="G47:G86" si="4">IFERROR(VLOOKUP($D47,$D$93:$I$461,4,FALSE),"")</f>
        <v/>
      </c>
      <c r="H47" s="8" t="str">
        <f t="shared" ref="H47:H86" si="5">IFERROR(VLOOKUP($D47,$D$93:$I$461,5,FALSE),"")</f>
        <v/>
      </c>
      <c r="I47" s="8" t="str">
        <f t="shared" ref="I47:I86" si="6">IFERROR(VLOOKUP($D47,$D$93:$I$461,6,FALSE),"")</f>
        <v/>
      </c>
      <c r="J47" s="8"/>
      <c r="K47" s="8">
        <v>1</v>
      </c>
      <c r="L47" s="8" t="str">
        <f t="shared" ref="L47:L86" si="7">E$22</f>
        <v>Panama</v>
      </c>
      <c r="M47" s="8" t="str">
        <f t="shared" ref="M47:M86" si="8">CONCATENATE(K47,L47)</f>
        <v>1Panama</v>
      </c>
      <c r="N47" s="8" t="str">
        <f t="shared" ref="N47:N86" si="9">IFERROR(VLOOKUP($M47,$M$93:$R$461,2,FALSE),"")</f>
        <v/>
      </c>
      <c r="O47" s="8" t="str">
        <f t="shared" ref="O47:O86" si="10">IFERROR(VLOOKUP($M47,$M$93:$R$461,3,FALSE),"")</f>
        <v/>
      </c>
      <c r="P47" s="8" t="str">
        <f t="shared" ref="P47:P86" si="11">IFERROR(VLOOKUP($M47,$M$93:$R$461,4,FALSE),"")</f>
        <v/>
      </c>
      <c r="Q47" s="8" t="str">
        <f t="shared" ref="Q47:Q86" si="12">IFERROR(VLOOKUP($M47,$M$93:$R$461,5,FALSE),"")</f>
        <v/>
      </c>
      <c r="R47" s="8" t="str">
        <f t="shared" ref="R47:R86" si="13">IFERROR(VLOOKUP($M47,$M$93:$R$461,6,FALSE),"")</f>
        <v/>
      </c>
    </row>
    <row r="48" spans="1:18" ht="1" customHeight="1">
      <c r="A48" s="80"/>
      <c r="B48" s="8">
        <v>2</v>
      </c>
      <c r="C48" s="8" t="str">
        <f t="shared" si="0"/>
        <v>Panama</v>
      </c>
      <c r="D48" s="8" t="str">
        <f t="shared" si="1"/>
        <v>2Panama</v>
      </c>
      <c r="E48" s="8" t="str">
        <f t="shared" si="2"/>
        <v/>
      </c>
      <c r="F48" s="8" t="str">
        <f t="shared" si="3"/>
        <v/>
      </c>
      <c r="G48" s="8" t="str">
        <f t="shared" si="4"/>
        <v/>
      </c>
      <c r="H48" s="8" t="str">
        <f t="shared" si="5"/>
        <v/>
      </c>
      <c r="I48" s="8" t="str">
        <f t="shared" si="6"/>
        <v/>
      </c>
      <c r="J48" s="8"/>
      <c r="K48" s="8">
        <v>2</v>
      </c>
      <c r="L48" s="8" t="str">
        <f t="shared" si="7"/>
        <v>Panama</v>
      </c>
      <c r="M48" s="8" t="str">
        <f t="shared" si="8"/>
        <v>2Panama</v>
      </c>
      <c r="N48" s="8" t="str">
        <f t="shared" si="9"/>
        <v/>
      </c>
      <c r="O48" s="8" t="str">
        <f t="shared" si="10"/>
        <v/>
      </c>
      <c r="P48" s="8" t="str">
        <f t="shared" si="11"/>
        <v/>
      </c>
      <c r="Q48" s="8" t="str">
        <f t="shared" si="12"/>
        <v/>
      </c>
      <c r="R48" s="8" t="str">
        <f t="shared" si="13"/>
        <v/>
      </c>
    </row>
    <row r="49" spans="1:18" ht="1" customHeight="1">
      <c r="A49" s="80"/>
      <c r="B49" s="8">
        <v>3</v>
      </c>
      <c r="C49" s="8" t="str">
        <f t="shared" si="0"/>
        <v>Panama</v>
      </c>
      <c r="D49" s="8" t="str">
        <f t="shared" si="1"/>
        <v>3Panama</v>
      </c>
      <c r="E49" s="8" t="str">
        <f t="shared" si="2"/>
        <v/>
      </c>
      <c r="F49" s="8" t="str">
        <f t="shared" si="3"/>
        <v/>
      </c>
      <c r="G49" s="8" t="str">
        <f t="shared" si="4"/>
        <v/>
      </c>
      <c r="H49" s="8" t="str">
        <f t="shared" si="5"/>
        <v/>
      </c>
      <c r="I49" s="8" t="str">
        <f t="shared" si="6"/>
        <v/>
      </c>
      <c r="J49" s="8"/>
      <c r="K49" s="8">
        <v>3</v>
      </c>
      <c r="L49" s="8" t="str">
        <f t="shared" si="7"/>
        <v>Panama</v>
      </c>
      <c r="M49" s="8" t="str">
        <f t="shared" si="8"/>
        <v>3Panama</v>
      </c>
      <c r="N49" s="8" t="str">
        <f t="shared" si="9"/>
        <v/>
      </c>
      <c r="O49" s="8" t="str">
        <f t="shared" si="10"/>
        <v/>
      </c>
      <c r="P49" s="8" t="str">
        <f t="shared" si="11"/>
        <v/>
      </c>
      <c r="Q49" s="8" t="str">
        <f t="shared" si="12"/>
        <v/>
      </c>
      <c r="R49" s="8" t="str">
        <f t="shared" si="13"/>
        <v/>
      </c>
    </row>
    <row r="50" spans="1:18" ht="1" customHeight="1">
      <c r="A50" s="80"/>
      <c r="B50" s="8">
        <v>4</v>
      </c>
      <c r="C50" s="8" t="str">
        <f t="shared" si="0"/>
        <v>Panama</v>
      </c>
      <c r="D50" s="8" t="str">
        <f t="shared" si="1"/>
        <v>4Panama</v>
      </c>
      <c r="E50" s="8" t="str">
        <f t="shared" si="2"/>
        <v/>
      </c>
      <c r="F50" s="8" t="str">
        <f t="shared" si="3"/>
        <v/>
      </c>
      <c r="G50" s="8" t="str">
        <f t="shared" si="4"/>
        <v/>
      </c>
      <c r="H50" s="8" t="str">
        <f t="shared" si="5"/>
        <v/>
      </c>
      <c r="I50" s="8" t="str">
        <f t="shared" si="6"/>
        <v/>
      </c>
      <c r="J50" s="8"/>
      <c r="K50" s="8">
        <v>4</v>
      </c>
      <c r="L50" s="8" t="str">
        <f t="shared" si="7"/>
        <v>Panama</v>
      </c>
      <c r="M50" s="8" t="str">
        <f t="shared" si="8"/>
        <v>4Panama</v>
      </c>
      <c r="N50" s="8" t="str">
        <f t="shared" si="9"/>
        <v/>
      </c>
      <c r="O50" s="8" t="str">
        <f t="shared" si="10"/>
        <v/>
      </c>
      <c r="P50" s="8" t="str">
        <f t="shared" si="11"/>
        <v/>
      </c>
      <c r="Q50" s="8" t="str">
        <f t="shared" si="12"/>
        <v/>
      </c>
      <c r="R50" s="8" t="str">
        <f t="shared" si="13"/>
        <v/>
      </c>
    </row>
    <row r="51" spans="1:18" ht="1" customHeight="1">
      <c r="A51" s="80"/>
      <c r="B51" s="8">
        <v>5</v>
      </c>
      <c r="C51" s="8" t="str">
        <f t="shared" si="0"/>
        <v>Panama</v>
      </c>
      <c r="D51" s="8" t="str">
        <f t="shared" si="1"/>
        <v>5Panama</v>
      </c>
      <c r="E51" s="8" t="str">
        <f t="shared" si="2"/>
        <v/>
      </c>
      <c r="F51" s="8" t="str">
        <f t="shared" si="3"/>
        <v/>
      </c>
      <c r="G51" s="8" t="str">
        <f t="shared" si="4"/>
        <v/>
      </c>
      <c r="H51" s="8" t="str">
        <f t="shared" si="5"/>
        <v/>
      </c>
      <c r="I51" s="8" t="str">
        <f t="shared" si="6"/>
        <v/>
      </c>
      <c r="J51" s="8"/>
      <c r="K51" s="8">
        <v>5</v>
      </c>
      <c r="L51" s="8" t="str">
        <f t="shared" si="7"/>
        <v>Panama</v>
      </c>
      <c r="M51" s="8" t="str">
        <f t="shared" si="8"/>
        <v>5Panama</v>
      </c>
      <c r="N51" s="8" t="str">
        <f t="shared" si="9"/>
        <v/>
      </c>
      <c r="O51" s="8" t="str">
        <f t="shared" si="10"/>
        <v/>
      </c>
      <c r="P51" s="8" t="str">
        <f t="shared" si="11"/>
        <v/>
      </c>
      <c r="Q51" s="8" t="str">
        <f t="shared" si="12"/>
        <v/>
      </c>
      <c r="R51" s="8" t="str">
        <f t="shared" si="13"/>
        <v/>
      </c>
    </row>
    <row r="52" spans="1:18" ht="1" customHeight="1">
      <c r="A52" s="80"/>
      <c r="B52" s="8">
        <v>6</v>
      </c>
      <c r="C52" s="8" t="str">
        <f t="shared" si="0"/>
        <v>Panama</v>
      </c>
      <c r="D52" s="8" t="str">
        <f t="shared" si="1"/>
        <v>6Panama</v>
      </c>
      <c r="E52" s="8" t="str">
        <f t="shared" si="2"/>
        <v/>
      </c>
      <c r="F52" s="8" t="str">
        <f t="shared" si="3"/>
        <v/>
      </c>
      <c r="G52" s="8" t="str">
        <f t="shared" si="4"/>
        <v/>
      </c>
      <c r="H52" s="8" t="str">
        <f t="shared" si="5"/>
        <v/>
      </c>
      <c r="I52" s="8" t="str">
        <f t="shared" si="6"/>
        <v/>
      </c>
      <c r="J52" s="8"/>
      <c r="K52" s="8">
        <v>6</v>
      </c>
      <c r="L52" s="8" t="str">
        <f t="shared" si="7"/>
        <v>Panama</v>
      </c>
      <c r="M52" s="8" t="str">
        <f t="shared" si="8"/>
        <v>6Panama</v>
      </c>
      <c r="N52" s="8" t="str">
        <f t="shared" si="9"/>
        <v/>
      </c>
      <c r="O52" s="8" t="str">
        <f t="shared" si="10"/>
        <v/>
      </c>
      <c r="P52" s="8" t="str">
        <f t="shared" si="11"/>
        <v/>
      </c>
      <c r="Q52" s="8" t="str">
        <f t="shared" si="12"/>
        <v/>
      </c>
      <c r="R52" s="8" t="str">
        <f t="shared" si="13"/>
        <v/>
      </c>
    </row>
    <row r="53" spans="1:18" ht="1" customHeight="1">
      <c r="A53" s="80"/>
      <c r="B53" s="8">
        <v>7</v>
      </c>
      <c r="C53" s="8" t="str">
        <f t="shared" si="0"/>
        <v>Panama</v>
      </c>
      <c r="D53" s="8" t="str">
        <f t="shared" si="1"/>
        <v>7Panama</v>
      </c>
      <c r="E53" s="8" t="str">
        <f t="shared" si="2"/>
        <v/>
      </c>
      <c r="F53" s="8" t="str">
        <f t="shared" si="3"/>
        <v/>
      </c>
      <c r="G53" s="8" t="str">
        <f t="shared" si="4"/>
        <v/>
      </c>
      <c r="H53" s="8" t="str">
        <f t="shared" si="5"/>
        <v/>
      </c>
      <c r="I53" s="8" t="str">
        <f t="shared" si="6"/>
        <v/>
      </c>
      <c r="J53" s="8"/>
      <c r="K53" s="8">
        <v>7</v>
      </c>
      <c r="L53" s="8" t="str">
        <f t="shared" si="7"/>
        <v>Panama</v>
      </c>
      <c r="M53" s="8" t="str">
        <f t="shared" si="8"/>
        <v>7Panama</v>
      </c>
      <c r="N53" s="8" t="str">
        <f t="shared" si="9"/>
        <v/>
      </c>
      <c r="O53" s="8" t="str">
        <f t="shared" si="10"/>
        <v/>
      </c>
      <c r="P53" s="8" t="str">
        <f t="shared" si="11"/>
        <v/>
      </c>
      <c r="Q53" s="8" t="str">
        <f t="shared" si="12"/>
        <v/>
      </c>
      <c r="R53" s="8" t="str">
        <f t="shared" si="13"/>
        <v/>
      </c>
    </row>
    <row r="54" spans="1:18" ht="1" customHeight="1">
      <c r="A54" s="80"/>
      <c r="B54" s="8">
        <v>8</v>
      </c>
      <c r="C54" s="8" t="str">
        <f t="shared" si="0"/>
        <v>Panama</v>
      </c>
      <c r="D54" s="8" t="str">
        <f t="shared" si="1"/>
        <v>8Panama</v>
      </c>
      <c r="E54" s="8" t="str">
        <f t="shared" si="2"/>
        <v/>
      </c>
      <c r="F54" s="8" t="str">
        <f t="shared" si="3"/>
        <v/>
      </c>
      <c r="G54" s="8" t="str">
        <f t="shared" si="4"/>
        <v/>
      </c>
      <c r="H54" s="8" t="str">
        <f t="shared" si="5"/>
        <v/>
      </c>
      <c r="I54" s="8" t="str">
        <f t="shared" si="6"/>
        <v/>
      </c>
      <c r="J54" s="8"/>
      <c r="K54" s="8">
        <v>8</v>
      </c>
      <c r="L54" s="8" t="str">
        <f t="shared" si="7"/>
        <v>Panama</v>
      </c>
      <c r="M54" s="8" t="str">
        <f t="shared" si="8"/>
        <v>8Panama</v>
      </c>
      <c r="N54" s="8" t="str">
        <f t="shared" si="9"/>
        <v/>
      </c>
      <c r="O54" s="8" t="str">
        <f t="shared" si="10"/>
        <v/>
      </c>
      <c r="P54" s="8" t="str">
        <f t="shared" si="11"/>
        <v/>
      </c>
      <c r="Q54" s="8" t="str">
        <f t="shared" si="12"/>
        <v/>
      </c>
      <c r="R54" s="8" t="str">
        <f t="shared" si="13"/>
        <v/>
      </c>
    </row>
    <row r="55" spans="1:18" ht="1" customHeight="1">
      <c r="A55" s="80"/>
      <c r="B55" s="8">
        <v>9</v>
      </c>
      <c r="C55" s="8" t="str">
        <f t="shared" si="0"/>
        <v>Panama</v>
      </c>
      <c r="D55" s="8" t="str">
        <f t="shared" si="1"/>
        <v>9Panama</v>
      </c>
      <c r="E55" s="8" t="str">
        <f t="shared" si="2"/>
        <v/>
      </c>
      <c r="F55" s="8" t="str">
        <f t="shared" si="3"/>
        <v/>
      </c>
      <c r="G55" s="8" t="str">
        <f t="shared" si="4"/>
        <v/>
      </c>
      <c r="H55" s="8" t="str">
        <f t="shared" si="5"/>
        <v/>
      </c>
      <c r="I55" s="8" t="str">
        <f t="shared" si="6"/>
        <v/>
      </c>
      <c r="J55" s="8"/>
      <c r="K55" s="8">
        <v>9</v>
      </c>
      <c r="L55" s="8" t="str">
        <f t="shared" si="7"/>
        <v>Panama</v>
      </c>
      <c r="M55" s="8" t="str">
        <f t="shared" si="8"/>
        <v>9Panama</v>
      </c>
      <c r="N55" s="8" t="str">
        <f t="shared" si="9"/>
        <v/>
      </c>
      <c r="O55" s="8" t="str">
        <f t="shared" si="10"/>
        <v/>
      </c>
      <c r="P55" s="8" t="str">
        <f t="shared" si="11"/>
        <v/>
      </c>
      <c r="Q55" s="8" t="str">
        <f t="shared" si="12"/>
        <v/>
      </c>
      <c r="R55" s="8" t="str">
        <f t="shared" si="13"/>
        <v/>
      </c>
    </row>
    <row r="56" spans="1:18" ht="1" customHeight="1">
      <c r="A56" s="80"/>
      <c r="B56" s="8">
        <v>10</v>
      </c>
      <c r="C56" s="8" t="str">
        <f t="shared" si="0"/>
        <v>Panama</v>
      </c>
      <c r="D56" s="8" t="str">
        <f t="shared" si="1"/>
        <v>10Panama</v>
      </c>
      <c r="E56" s="8" t="str">
        <f t="shared" si="2"/>
        <v/>
      </c>
      <c r="F56" s="8" t="str">
        <f t="shared" si="3"/>
        <v/>
      </c>
      <c r="G56" s="8" t="str">
        <f t="shared" si="4"/>
        <v/>
      </c>
      <c r="H56" s="8" t="str">
        <f t="shared" si="5"/>
        <v/>
      </c>
      <c r="I56" s="8" t="str">
        <f t="shared" si="6"/>
        <v/>
      </c>
      <c r="J56" s="8"/>
      <c r="K56" s="8">
        <v>10</v>
      </c>
      <c r="L56" s="8" t="str">
        <f t="shared" si="7"/>
        <v>Panama</v>
      </c>
      <c r="M56" s="8" t="str">
        <f t="shared" si="8"/>
        <v>10Panama</v>
      </c>
      <c r="N56" s="8" t="str">
        <f t="shared" si="9"/>
        <v/>
      </c>
      <c r="O56" s="8" t="str">
        <f t="shared" si="10"/>
        <v/>
      </c>
      <c r="P56" s="8" t="str">
        <f t="shared" si="11"/>
        <v/>
      </c>
      <c r="Q56" s="8" t="str">
        <f t="shared" si="12"/>
        <v/>
      </c>
      <c r="R56" s="8" t="str">
        <f t="shared" si="13"/>
        <v/>
      </c>
    </row>
    <row r="57" spans="1:18" ht="1" customHeight="1">
      <c r="A57" s="80"/>
      <c r="B57" s="8">
        <v>11</v>
      </c>
      <c r="C57" s="8" t="str">
        <f t="shared" si="0"/>
        <v>Panama</v>
      </c>
      <c r="D57" s="8" t="str">
        <f t="shared" si="1"/>
        <v>11Panama</v>
      </c>
      <c r="E57" s="8" t="str">
        <f t="shared" si="2"/>
        <v/>
      </c>
      <c r="F57" s="8" t="str">
        <f t="shared" si="3"/>
        <v/>
      </c>
      <c r="G57" s="8" t="str">
        <f t="shared" si="4"/>
        <v/>
      </c>
      <c r="H57" s="8" t="str">
        <f t="shared" si="5"/>
        <v/>
      </c>
      <c r="I57" s="8" t="str">
        <f t="shared" si="6"/>
        <v/>
      </c>
      <c r="J57" s="8"/>
      <c r="K57" s="8">
        <v>11</v>
      </c>
      <c r="L57" s="8" t="str">
        <f t="shared" si="7"/>
        <v>Panama</v>
      </c>
      <c r="M57" s="8" t="str">
        <f t="shared" si="8"/>
        <v>11Panama</v>
      </c>
      <c r="N57" s="8" t="str">
        <f t="shared" si="9"/>
        <v/>
      </c>
      <c r="O57" s="8" t="str">
        <f t="shared" si="10"/>
        <v/>
      </c>
      <c r="P57" s="8" t="str">
        <f t="shared" si="11"/>
        <v/>
      </c>
      <c r="Q57" s="8" t="str">
        <f t="shared" si="12"/>
        <v/>
      </c>
      <c r="R57" s="8" t="str">
        <f t="shared" si="13"/>
        <v/>
      </c>
    </row>
    <row r="58" spans="1:18" ht="1" customHeight="1">
      <c r="A58" s="80"/>
      <c r="B58" s="8">
        <v>12</v>
      </c>
      <c r="C58" s="8" t="str">
        <f t="shared" si="0"/>
        <v>Panama</v>
      </c>
      <c r="D58" s="8" t="str">
        <f t="shared" si="1"/>
        <v>12Panama</v>
      </c>
      <c r="E58" s="8" t="str">
        <f t="shared" si="2"/>
        <v/>
      </c>
      <c r="F58" s="8" t="str">
        <f t="shared" si="3"/>
        <v/>
      </c>
      <c r="G58" s="8" t="str">
        <f t="shared" si="4"/>
        <v/>
      </c>
      <c r="H58" s="8" t="str">
        <f t="shared" si="5"/>
        <v/>
      </c>
      <c r="I58" s="8" t="str">
        <f t="shared" si="6"/>
        <v/>
      </c>
      <c r="J58" s="8"/>
      <c r="K58" s="8">
        <v>12</v>
      </c>
      <c r="L58" s="8" t="str">
        <f t="shared" si="7"/>
        <v>Panama</v>
      </c>
      <c r="M58" s="8" t="str">
        <f t="shared" si="8"/>
        <v>12Panama</v>
      </c>
      <c r="N58" s="8" t="str">
        <f t="shared" si="9"/>
        <v/>
      </c>
      <c r="O58" s="8" t="str">
        <f t="shared" si="10"/>
        <v/>
      </c>
      <c r="P58" s="8" t="str">
        <f t="shared" si="11"/>
        <v/>
      </c>
      <c r="Q58" s="8" t="str">
        <f t="shared" si="12"/>
        <v/>
      </c>
      <c r="R58" s="8" t="str">
        <f t="shared" si="13"/>
        <v/>
      </c>
    </row>
    <row r="59" spans="1:18" ht="1" customHeight="1">
      <c r="A59" s="80"/>
      <c r="B59" s="8">
        <v>13</v>
      </c>
      <c r="C59" s="8" t="str">
        <f t="shared" si="0"/>
        <v>Panama</v>
      </c>
      <c r="D59" s="8" t="str">
        <f t="shared" si="1"/>
        <v>13Panama</v>
      </c>
      <c r="E59" s="8" t="str">
        <f t="shared" si="2"/>
        <v/>
      </c>
      <c r="F59" s="8" t="str">
        <f t="shared" si="3"/>
        <v/>
      </c>
      <c r="G59" s="8" t="str">
        <f t="shared" si="4"/>
        <v/>
      </c>
      <c r="H59" s="8" t="str">
        <f t="shared" si="5"/>
        <v/>
      </c>
      <c r="I59" s="8" t="str">
        <f t="shared" si="6"/>
        <v/>
      </c>
      <c r="J59" s="8"/>
      <c r="K59" s="8">
        <v>13</v>
      </c>
      <c r="L59" s="8" t="str">
        <f t="shared" si="7"/>
        <v>Panama</v>
      </c>
      <c r="M59" s="8" t="str">
        <f t="shared" si="8"/>
        <v>13Panama</v>
      </c>
      <c r="N59" s="8" t="str">
        <f t="shared" si="9"/>
        <v/>
      </c>
      <c r="O59" s="8" t="str">
        <f t="shared" si="10"/>
        <v/>
      </c>
      <c r="P59" s="8" t="str">
        <f t="shared" si="11"/>
        <v/>
      </c>
      <c r="Q59" s="8" t="str">
        <f t="shared" si="12"/>
        <v/>
      </c>
      <c r="R59" s="8" t="str">
        <f t="shared" si="13"/>
        <v/>
      </c>
    </row>
    <row r="60" spans="1:18" ht="1" customHeight="1">
      <c r="A60" s="80"/>
      <c r="B60" s="8">
        <v>14</v>
      </c>
      <c r="C60" s="8" t="str">
        <f t="shared" si="0"/>
        <v>Panama</v>
      </c>
      <c r="D60" s="8" t="str">
        <f t="shared" si="1"/>
        <v>14Panama</v>
      </c>
      <c r="E60" s="8" t="str">
        <f t="shared" si="2"/>
        <v/>
      </c>
      <c r="F60" s="8" t="str">
        <f t="shared" si="3"/>
        <v/>
      </c>
      <c r="G60" s="8" t="str">
        <f t="shared" si="4"/>
        <v/>
      </c>
      <c r="H60" s="8" t="str">
        <f t="shared" si="5"/>
        <v/>
      </c>
      <c r="I60" s="8" t="str">
        <f t="shared" si="6"/>
        <v/>
      </c>
      <c r="J60" s="8"/>
      <c r="K60" s="8">
        <v>14</v>
      </c>
      <c r="L60" s="8" t="str">
        <f t="shared" si="7"/>
        <v>Panama</v>
      </c>
      <c r="M60" s="8" t="str">
        <f t="shared" si="8"/>
        <v>14Panama</v>
      </c>
      <c r="N60" s="8" t="str">
        <f t="shared" si="9"/>
        <v/>
      </c>
      <c r="O60" s="8" t="str">
        <f t="shared" si="10"/>
        <v/>
      </c>
      <c r="P60" s="8" t="str">
        <f t="shared" si="11"/>
        <v/>
      </c>
      <c r="Q60" s="8" t="str">
        <f t="shared" si="12"/>
        <v/>
      </c>
      <c r="R60" s="8" t="str">
        <f t="shared" si="13"/>
        <v/>
      </c>
    </row>
    <row r="61" spans="1:18" ht="1" customHeight="1">
      <c r="A61" s="80"/>
      <c r="B61" s="8">
        <v>15</v>
      </c>
      <c r="C61" s="8" t="str">
        <f t="shared" si="0"/>
        <v>Panama</v>
      </c>
      <c r="D61" s="8" t="str">
        <f t="shared" si="1"/>
        <v>15Panama</v>
      </c>
      <c r="E61" s="8" t="str">
        <f t="shared" si="2"/>
        <v/>
      </c>
      <c r="F61" s="8" t="str">
        <f t="shared" si="3"/>
        <v/>
      </c>
      <c r="G61" s="8" t="str">
        <f t="shared" si="4"/>
        <v/>
      </c>
      <c r="H61" s="8" t="str">
        <f t="shared" si="5"/>
        <v/>
      </c>
      <c r="I61" s="8" t="str">
        <f t="shared" si="6"/>
        <v/>
      </c>
      <c r="J61" s="8"/>
      <c r="K61" s="8">
        <v>15</v>
      </c>
      <c r="L61" s="8" t="str">
        <f t="shared" si="7"/>
        <v>Panama</v>
      </c>
      <c r="M61" s="8" t="str">
        <f t="shared" si="8"/>
        <v>15Panama</v>
      </c>
      <c r="N61" s="8" t="str">
        <f t="shared" si="9"/>
        <v/>
      </c>
      <c r="O61" s="8" t="str">
        <f t="shared" si="10"/>
        <v/>
      </c>
      <c r="P61" s="8" t="str">
        <f t="shared" si="11"/>
        <v/>
      </c>
      <c r="Q61" s="8" t="str">
        <f t="shared" si="12"/>
        <v/>
      </c>
      <c r="R61" s="8" t="str">
        <f t="shared" si="13"/>
        <v/>
      </c>
    </row>
    <row r="62" spans="1:18" ht="1" customHeight="1">
      <c r="A62" s="80"/>
      <c r="B62" s="8">
        <v>16</v>
      </c>
      <c r="C62" s="8" t="str">
        <f t="shared" si="0"/>
        <v>Panama</v>
      </c>
      <c r="D62" s="8" t="str">
        <f t="shared" si="1"/>
        <v>16Panama</v>
      </c>
      <c r="E62" s="8" t="str">
        <f t="shared" si="2"/>
        <v/>
      </c>
      <c r="F62" s="8" t="str">
        <f t="shared" si="3"/>
        <v/>
      </c>
      <c r="G62" s="8" t="str">
        <f t="shared" si="4"/>
        <v/>
      </c>
      <c r="H62" s="8" t="str">
        <f t="shared" si="5"/>
        <v/>
      </c>
      <c r="I62" s="8" t="str">
        <f t="shared" si="6"/>
        <v/>
      </c>
      <c r="J62" s="8"/>
      <c r="K62" s="8">
        <v>16</v>
      </c>
      <c r="L62" s="8" t="str">
        <f t="shared" si="7"/>
        <v>Panama</v>
      </c>
      <c r="M62" s="8" t="str">
        <f t="shared" si="8"/>
        <v>16Panama</v>
      </c>
      <c r="N62" s="8" t="str">
        <f t="shared" si="9"/>
        <v/>
      </c>
      <c r="O62" s="8" t="str">
        <f t="shared" si="10"/>
        <v/>
      </c>
      <c r="P62" s="8" t="str">
        <f t="shared" si="11"/>
        <v/>
      </c>
      <c r="Q62" s="8" t="str">
        <f t="shared" si="12"/>
        <v/>
      </c>
      <c r="R62" s="8" t="str">
        <f t="shared" si="13"/>
        <v/>
      </c>
    </row>
    <row r="63" spans="1:18" ht="1" customHeight="1">
      <c r="A63" s="80"/>
      <c r="B63" s="8">
        <v>17</v>
      </c>
      <c r="C63" s="8" t="str">
        <f t="shared" si="0"/>
        <v>Panama</v>
      </c>
      <c r="D63" s="8" t="str">
        <f t="shared" si="1"/>
        <v>17Panama</v>
      </c>
      <c r="E63" s="8" t="str">
        <f t="shared" si="2"/>
        <v/>
      </c>
      <c r="F63" s="8" t="str">
        <f t="shared" si="3"/>
        <v/>
      </c>
      <c r="G63" s="8" t="str">
        <f t="shared" si="4"/>
        <v/>
      </c>
      <c r="H63" s="8" t="str">
        <f t="shared" si="5"/>
        <v/>
      </c>
      <c r="I63" s="8" t="str">
        <f t="shared" si="6"/>
        <v/>
      </c>
      <c r="J63" s="8"/>
      <c r="K63" s="8">
        <v>17</v>
      </c>
      <c r="L63" s="8" t="str">
        <f t="shared" si="7"/>
        <v>Panama</v>
      </c>
      <c r="M63" s="8" t="str">
        <f t="shared" si="8"/>
        <v>17Panama</v>
      </c>
      <c r="N63" s="8" t="str">
        <f t="shared" si="9"/>
        <v/>
      </c>
      <c r="O63" s="8" t="str">
        <f t="shared" si="10"/>
        <v/>
      </c>
      <c r="P63" s="8" t="str">
        <f t="shared" si="11"/>
        <v/>
      </c>
      <c r="Q63" s="8" t="str">
        <f t="shared" si="12"/>
        <v/>
      </c>
      <c r="R63" s="8" t="str">
        <f t="shared" si="13"/>
        <v/>
      </c>
    </row>
    <row r="64" spans="1:18" ht="1" customHeight="1">
      <c r="A64" s="80"/>
      <c r="B64" s="8">
        <v>18</v>
      </c>
      <c r="C64" s="8" t="str">
        <f t="shared" si="0"/>
        <v>Panama</v>
      </c>
      <c r="D64" s="8" t="str">
        <f t="shared" si="1"/>
        <v>18Panama</v>
      </c>
      <c r="E64" s="8" t="str">
        <f t="shared" si="2"/>
        <v/>
      </c>
      <c r="F64" s="8" t="str">
        <f t="shared" si="3"/>
        <v/>
      </c>
      <c r="G64" s="8" t="str">
        <f t="shared" si="4"/>
        <v/>
      </c>
      <c r="H64" s="8" t="str">
        <f t="shared" si="5"/>
        <v/>
      </c>
      <c r="I64" s="8" t="str">
        <f t="shared" si="6"/>
        <v/>
      </c>
      <c r="J64" s="8"/>
      <c r="K64" s="8">
        <v>18</v>
      </c>
      <c r="L64" s="8" t="str">
        <f t="shared" si="7"/>
        <v>Panama</v>
      </c>
      <c r="M64" s="8" t="str">
        <f t="shared" si="8"/>
        <v>18Panama</v>
      </c>
      <c r="N64" s="8" t="str">
        <f t="shared" si="9"/>
        <v/>
      </c>
      <c r="O64" s="8" t="str">
        <f t="shared" si="10"/>
        <v/>
      </c>
      <c r="P64" s="8" t="str">
        <f t="shared" si="11"/>
        <v/>
      </c>
      <c r="Q64" s="8" t="str">
        <f t="shared" si="12"/>
        <v/>
      </c>
      <c r="R64" s="8" t="str">
        <f t="shared" si="13"/>
        <v/>
      </c>
    </row>
    <row r="65" spans="1:18" ht="1" customHeight="1">
      <c r="A65" s="80"/>
      <c r="B65" s="8">
        <v>19</v>
      </c>
      <c r="C65" s="8" t="str">
        <f t="shared" si="0"/>
        <v>Panama</v>
      </c>
      <c r="D65" s="8" t="str">
        <f t="shared" si="1"/>
        <v>19Panama</v>
      </c>
      <c r="E65" s="8" t="str">
        <f t="shared" si="2"/>
        <v/>
      </c>
      <c r="F65" s="8" t="str">
        <f t="shared" si="3"/>
        <v/>
      </c>
      <c r="G65" s="8" t="str">
        <f t="shared" si="4"/>
        <v/>
      </c>
      <c r="H65" s="8" t="str">
        <f t="shared" si="5"/>
        <v/>
      </c>
      <c r="I65" s="8" t="str">
        <f t="shared" si="6"/>
        <v/>
      </c>
      <c r="J65" s="8"/>
      <c r="K65" s="8">
        <v>19</v>
      </c>
      <c r="L65" s="8" t="str">
        <f t="shared" si="7"/>
        <v>Panama</v>
      </c>
      <c r="M65" s="8" t="str">
        <f t="shared" si="8"/>
        <v>19Panama</v>
      </c>
      <c r="N65" s="8" t="str">
        <f t="shared" si="9"/>
        <v/>
      </c>
      <c r="O65" s="8" t="str">
        <f t="shared" si="10"/>
        <v/>
      </c>
      <c r="P65" s="8" t="str">
        <f t="shared" si="11"/>
        <v/>
      </c>
      <c r="Q65" s="8" t="str">
        <f t="shared" si="12"/>
        <v/>
      </c>
      <c r="R65" s="8" t="str">
        <f t="shared" si="13"/>
        <v/>
      </c>
    </row>
    <row r="66" spans="1:18" ht="1" customHeight="1">
      <c r="A66" s="80"/>
      <c r="B66" s="8">
        <v>20</v>
      </c>
      <c r="C66" s="8" t="str">
        <f t="shared" si="0"/>
        <v>Panama</v>
      </c>
      <c r="D66" s="8" t="str">
        <f t="shared" si="1"/>
        <v>20Panama</v>
      </c>
      <c r="E66" s="8" t="str">
        <f t="shared" si="2"/>
        <v/>
      </c>
      <c r="F66" s="8" t="str">
        <f t="shared" si="3"/>
        <v/>
      </c>
      <c r="G66" s="8" t="str">
        <f t="shared" si="4"/>
        <v/>
      </c>
      <c r="H66" s="8" t="str">
        <f t="shared" si="5"/>
        <v/>
      </c>
      <c r="I66" s="8" t="str">
        <f t="shared" si="6"/>
        <v/>
      </c>
      <c r="J66" s="8"/>
      <c r="K66" s="8">
        <v>20</v>
      </c>
      <c r="L66" s="8" t="str">
        <f t="shared" si="7"/>
        <v>Panama</v>
      </c>
      <c r="M66" s="8" t="str">
        <f t="shared" si="8"/>
        <v>20Panama</v>
      </c>
      <c r="N66" s="8" t="str">
        <f t="shared" si="9"/>
        <v/>
      </c>
      <c r="O66" s="8" t="str">
        <f t="shared" si="10"/>
        <v/>
      </c>
      <c r="P66" s="8" t="str">
        <f t="shared" si="11"/>
        <v/>
      </c>
      <c r="Q66" s="8" t="str">
        <f t="shared" si="12"/>
        <v/>
      </c>
      <c r="R66" s="8" t="str">
        <f t="shared" si="13"/>
        <v/>
      </c>
    </row>
    <row r="67" spans="1:18" ht="1" customHeight="1">
      <c r="A67" s="80"/>
      <c r="B67" s="8">
        <v>21</v>
      </c>
      <c r="C67" s="8" t="str">
        <f t="shared" si="0"/>
        <v>Panama</v>
      </c>
      <c r="D67" s="8" t="str">
        <f t="shared" si="1"/>
        <v>21Panama</v>
      </c>
      <c r="E67" s="8" t="str">
        <f t="shared" si="2"/>
        <v/>
      </c>
      <c r="F67" s="8" t="str">
        <f t="shared" si="3"/>
        <v/>
      </c>
      <c r="G67" s="8" t="str">
        <f t="shared" si="4"/>
        <v/>
      </c>
      <c r="H67" s="8" t="str">
        <f t="shared" si="5"/>
        <v/>
      </c>
      <c r="I67" s="8" t="str">
        <f t="shared" si="6"/>
        <v/>
      </c>
      <c r="J67" s="8"/>
      <c r="K67" s="8">
        <v>21</v>
      </c>
      <c r="L67" s="8" t="str">
        <f t="shared" si="7"/>
        <v>Panama</v>
      </c>
      <c r="M67" s="8" t="str">
        <f t="shared" si="8"/>
        <v>21Panama</v>
      </c>
      <c r="N67" s="8" t="str">
        <f t="shared" si="9"/>
        <v/>
      </c>
      <c r="O67" s="8" t="str">
        <f t="shared" si="10"/>
        <v/>
      </c>
      <c r="P67" s="8" t="str">
        <f t="shared" si="11"/>
        <v/>
      </c>
      <c r="Q67" s="8" t="str">
        <f t="shared" si="12"/>
        <v/>
      </c>
      <c r="R67" s="8" t="str">
        <f t="shared" si="13"/>
        <v/>
      </c>
    </row>
    <row r="68" spans="1:18" ht="1" customHeight="1">
      <c r="A68" s="80"/>
      <c r="B68" s="8">
        <v>22</v>
      </c>
      <c r="C68" s="8" t="str">
        <f t="shared" si="0"/>
        <v>Panama</v>
      </c>
      <c r="D68" s="8" t="str">
        <f t="shared" si="1"/>
        <v>22Panama</v>
      </c>
      <c r="E68" s="8" t="str">
        <f t="shared" si="2"/>
        <v/>
      </c>
      <c r="F68" s="8" t="str">
        <f t="shared" si="3"/>
        <v/>
      </c>
      <c r="G68" s="8" t="str">
        <f t="shared" si="4"/>
        <v/>
      </c>
      <c r="H68" s="8" t="str">
        <f t="shared" si="5"/>
        <v/>
      </c>
      <c r="I68" s="8" t="str">
        <f t="shared" si="6"/>
        <v/>
      </c>
      <c r="J68" s="8"/>
      <c r="K68" s="8">
        <v>22</v>
      </c>
      <c r="L68" s="8" t="str">
        <f t="shared" si="7"/>
        <v>Panama</v>
      </c>
      <c r="M68" s="8" t="str">
        <f t="shared" si="8"/>
        <v>22Panama</v>
      </c>
      <c r="N68" s="8" t="str">
        <f t="shared" si="9"/>
        <v/>
      </c>
      <c r="O68" s="8" t="str">
        <f t="shared" si="10"/>
        <v/>
      </c>
      <c r="P68" s="8" t="str">
        <f t="shared" si="11"/>
        <v/>
      </c>
      <c r="Q68" s="8" t="str">
        <f t="shared" si="12"/>
        <v/>
      </c>
      <c r="R68" s="8" t="str">
        <f t="shared" si="13"/>
        <v/>
      </c>
    </row>
    <row r="69" spans="1:18" ht="1" customHeight="1">
      <c r="A69" s="80"/>
      <c r="B69" s="8">
        <v>23</v>
      </c>
      <c r="C69" s="8" t="str">
        <f t="shared" si="0"/>
        <v>Panama</v>
      </c>
      <c r="D69" s="8" t="str">
        <f t="shared" si="1"/>
        <v>23Panama</v>
      </c>
      <c r="E69" s="8" t="str">
        <f t="shared" si="2"/>
        <v/>
      </c>
      <c r="F69" s="8" t="str">
        <f t="shared" si="3"/>
        <v/>
      </c>
      <c r="G69" s="8" t="str">
        <f t="shared" si="4"/>
        <v/>
      </c>
      <c r="H69" s="8" t="str">
        <f t="shared" si="5"/>
        <v/>
      </c>
      <c r="I69" s="8" t="str">
        <f t="shared" si="6"/>
        <v/>
      </c>
      <c r="J69" s="8"/>
      <c r="K69" s="8">
        <v>23</v>
      </c>
      <c r="L69" s="8" t="str">
        <f t="shared" si="7"/>
        <v>Panama</v>
      </c>
      <c r="M69" s="8" t="str">
        <f t="shared" si="8"/>
        <v>23Panama</v>
      </c>
      <c r="N69" s="8" t="str">
        <f t="shared" si="9"/>
        <v/>
      </c>
      <c r="O69" s="8" t="str">
        <f t="shared" si="10"/>
        <v/>
      </c>
      <c r="P69" s="8" t="str">
        <f t="shared" si="11"/>
        <v/>
      </c>
      <c r="Q69" s="8" t="str">
        <f t="shared" si="12"/>
        <v/>
      </c>
      <c r="R69" s="8" t="str">
        <f t="shared" si="13"/>
        <v/>
      </c>
    </row>
    <row r="70" spans="1:18" ht="1" customHeight="1">
      <c r="A70" s="80"/>
      <c r="B70" s="8">
        <v>24</v>
      </c>
      <c r="C70" s="8" t="str">
        <f t="shared" si="0"/>
        <v>Panama</v>
      </c>
      <c r="D70" s="8" t="str">
        <f t="shared" si="1"/>
        <v>24Panama</v>
      </c>
      <c r="E70" s="8" t="str">
        <f t="shared" si="2"/>
        <v/>
      </c>
      <c r="F70" s="8" t="str">
        <f t="shared" si="3"/>
        <v/>
      </c>
      <c r="G70" s="8" t="str">
        <f t="shared" si="4"/>
        <v/>
      </c>
      <c r="H70" s="8" t="str">
        <f t="shared" si="5"/>
        <v/>
      </c>
      <c r="I70" s="8" t="str">
        <f t="shared" si="6"/>
        <v/>
      </c>
      <c r="J70" s="8"/>
      <c r="K70" s="8">
        <v>24</v>
      </c>
      <c r="L70" s="8" t="str">
        <f t="shared" si="7"/>
        <v>Panama</v>
      </c>
      <c r="M70" s="8" t="str">
        <f t="shared" si="8"/>
        <v>24Panama</v>
      </c>
      <c r="N70" s="8" t="str">
        <f t="shared" si="9"/>
        <v/>
      </c>
      <c r="O70" s="8" t="str">
        <f t="shared" si="10"/>
        <v/>
      </c>
      <c r="P70" s="8" t="str">
        <f t="shared" si="11"/>
        <v/>
      </c>
      <c r="Q70" s="8" t="str">
        <f t="shared" si="12"/>
        <v/>
      </c>
      <c r="R70" s="8" t="str">
        <f t="shared" si="13"/>
        <v/>
      </c>
    </row>
    <row r="71" spans="1:18" ht="1" customHeight="1">
      <c r="A71" s="80"/>
      <c r="B71" s="8">
        <v>25</v>
      </c>
      <c r="C71" s="8" t="str">
        <f t="shared" si="0"/>
        <v>Panama</v>
      </c>
      <c r="D71" s="8" t="str">
        <f t="shared" si="1"/>
        <v>25Panama</v>
      </c>
      <c r="E71" s="8" t="str">
        <f t="shared" si="2"/>
        <v/>
      </c>
      <c r="F71" s="8" t="str">
        <f t="shared" si="3"/>
        <v/>
      </c>
      <c r="G71" s="8" t="str">
        <f t="shared" si="4"/>
        <v/>
      </c>
      <c r="H71" s="8" t="str">
        <f t="shared" si="5"/>
        <v/>
      </c>
      <c r="I71" s="8" t="str">
        <f t="shared" si="6"/>
        <v/>
      </c>
      <c r="J71" s="8"/>
      <c r="K71" s="8">
        <v>25</v>
      </c>
      <c r="L71" s="8" t="str">
        <f t="shared" si="7"/>
        <v>Panama</v>
      </c>
      <c r="M71" s="8" t="str">
        <f t="shared" si="8"/>
        <v>25Panama</v>
      </c>
      <c r="N71" s="8" t="str">
        <f t="shared" si="9"/>
        <v/>
      </c>
      <c r="O71" s="8" t="str">
        <f t="shared" si="10"/>
        <v/>
      </c>
      <c r="P71" s="8" t="str">
        <f t="shared" si="11"/>
        <v/>
      </c>
      <c r="Q71" s="8" t="str">
        <f t="shared" si="12"/>
        <v/>
      </c>
      <c r="R71" s="8" t="str">
        <f t="shared" si="13"/>
        <v/>
      </c>
    </row>
    <row r="72" spans="1:18" ht="1" customHeight="1">
      <c r="A72" s="80"/>
      <c r="B72" s="8">
        <v>26</v>
      </c>
      <c r="C72" s="8" t="str">
        <f t="shared" si="0"/>
        <v>Panama</v>
      </c>
      <c r="D72" s="8" t="str">
        <f t="shared" si="1"/>
        <v>26Panama</v>
      </c>
      <c r="E72" s="8" t="str">
        <f t="shared" si="2"/>
        <v/>
      </c>
      <c r="F72" s="8" t="str">
        <f t="shared" si="3"/>
        <v/>
      </c>
      <c r="G72" s="8" t="str">
        <f t="shared" si="4"/>
        <v/>
      </c>
      <c r="H72" s="8" t="str">
        <f t="shared" si="5"/>
        <v/>
      </c>
      <c r="I72" s="8" t="str">
        <f t="shared" si="6"/>
        <v/>
      </c>
      <c r="J72" s="8"/>
      <c r="K72" s="8">
        <v>26</v>
      </c>
      <c r="L72" s="8" t="str">
        <f t="shared" si="7"/>
        <v>Panama</v>
      </c>
      <c r="M72" s="8" t="str">
        <f t="shared" si="8"/>
        <v>26Panama</v>
      </c>
      <c r="N72" s="8" t="str">
        <f t="shared" si="9"/>
        <v/>
      </c>
      <c r="O72" s="8" t="str">
        <f t="shared" si="10"/>
        <v/>
      </c>
      <c r="P72" s="8" t="str">
        <f t="shared" si="11"/>
        <v/>
      </c>
      <c r="Q72" s="8" t="str">
        <f t="shared" si="12"/>
        <v/>
      </c>
      <c r="R72" s="8" t="str">
        <f t="shared" si="13"/>
        <v/>
      </c>
    </row>
    <row r="73" spans="1:18" ht="1" customHeight="1">
      <c r="A73" s="80"/>
      <c r="B73" s="8">
        <v>27</v>
      </c>
      <c r="C73" s="8" t="str">
        <f t="shared" si="0"/>
        <v>Panama</v>
      </c>
      <c r="D73" s="8" t="str">
        <f t="shared" si="1"/>
        <v>27Panama</v>
      </c>
      <c r="E73" s="8" t="str">
        <f t="shared" si="2"/>
        <v/>
      </c>
      <c r="F73" s="8" t="str">
        <f t="shared" si="3"/>
        <v/>
      </c>
      <c r="G73" s="8" t="str">
        <f t="shared" si="4"/>
        <v/>
      </c>
      <c r="H73" s="8" t="str">
        <f t="shared" si="5"/>
        <v/>
      </c>
      <c r="I73" s="8" t="str">
        <f t="shared" si="6"/>
        <v/>
      </c>
      <c r="J73" s="8"/>
      <c r="K73" s="8">
        <v>27</v>
      </c>
      <c r="L73" s="8" t="str">
        <f t="shared" si="7"/>
        <v>Panama</v>
      </c>
      <c r="M73" s="8" t="str">
        <f t="shared" si="8"/>
        <v>27Panama</v>
      </c>
      <c r="N73" s="8" t="str">
        <f t="shared" si="9"/>
        <v/>
      </c>
      <c r="O73" s="8" t="str">
        <f t="shared" si="10"/>
        <v/>
      </c>
      <c r="P73" s="8" t="str">
        <f t="shared" si="11"/>
        <v/>
      </c>
      <c r="Q73" s="8" t="str">
        <f t="shared" si="12"/>
        <v/>
      </c>
      <c r="R73" s="8" t="str">
        <f t="shared" si="13"/>
        <v/>
      </c>
    </row>
    <row r="74" spans="1:18" ht="1" customHeight="1">
      <c r="A74" s="80"/>
      <c r="B74" s="8">
        <v>28</v>
      </c>
      <c r="C74" s="8" t="str">
        <f t="shared" si="0"/>
        <v>Panama</v>
      </c>
      <c r="D74" s="8" t="str">
        <f t="shared" si="1"/>
        <v>28Panama</v>
      </c>
      <c r="E74" s="8" t="str">
        <f t="shared" si="2"/>
        <v/>
      </c>
      <c r="F74" s="8" t="str">
        <f t="shared" si="3"/>
        <v/>
      </c>
      <c r="G74" s="8" t="str">
        <f t="shared" si="4"/>
        <v/>
      </c>
      <c r="H74" s="8" t="str">
        <f t="shared" si="5"/>
        <v/>
      </c>
      <c r="I74" s="8" t="str">
        <f t="shared" si="6"/>
        <v/>
      </c>
      <c r="J74" s="8"/>
      <c r="K74" s="8">
        <v>28</v>
      </c>
      <c r="L74" s="8" t="str">
        <f t="shared" si="7"/>
        <v>Panama</v>
      </c>
      <c r="M74" s="8" t="str">
        <f t="shared" si="8"/>
        <v>28Panama</v>
      </c>
      <c r="N74" s="8" t="str">
        <f t="shared" si="9"/>
        <v/>
      </c>
      <c r="O74" s="8" t="str">
        <f t="shared" si="10"/>
        <v/>
      </c>
      <c r="P74" s="8" t="str">
        <f t="shared" si="11"/>
        <v/>
      </c>
      <c r="Q74" s="8" t="str">
        <f t="shared" si="12"/>
        <v/>
      </c>
      <c r="R74" s="8" t="str">
        <f t="shared" si="13"/>
        <v/>
      </c>
    </row>
    <row r="75" spans="1:18" ht="1" customHeight="1">
      <c r="A75" s="80"/>
      <c r="B75" s="8">
        <v>29</v>
      </c>
      <c r="C75" s="8" t="str">
        <f t="shared" si="0"/>
        <v>Panama</v>
      </c>
      <c r="D75" s="8" t="str">
        <f t="shared" si="1"/>
        <v>29Panama</v>
      </c>
      <c r="E75" s="8" t="str">
        <f t="shared" si="2"/>
        <v/>
      </c>
      <c r="F75" s="8" t="str">
        <f t="shared" si="3"/>
        <v/>
      </c>
      <c r="G75" s="8" t="str">
        <f t="shared" si="4"/>
        <v/>
      </c>
      <c r="H75" s="8" t="str">
        <f t="shared" si="5"/>
        <v/>
      </c>
      <c r="I75" s="8" t="str">
        <f t="shared" si="6"/>
        <v/>
      </c>
      <c r="J75" s="8"/>
      <c r="K75" s="8">
        <v>29</v>
      </c>
      <c r="L75" s="8" t="str">
        <f t="shared" si="7"/>
        <v>Panama</v>
      </c>
      <c r="M75" s="8" t="str">
        <f t="shared" si="8"/>
        <v>29Panama</v>
      </c>
      <c r="N75" s="8" t="str">
        <f t="shared" si="9"/>
        <v/>
      </c>
      <c r="O75" s="8" t="str">
        <f t="shared" si="10"/>
        <v/>
      </c>
      <c r="P75" s="8" t="str">
        <f t="shared" si="11"/>
        <v/>
      </c>
      <c r="Q75" s="8" t="str">
        <f t="shared" si="12"/>
        <v/>
      </c>
      <c r="R75" s="8" t="str">
        <f t="shared" si="13"/>
        <v/>
      </c>
    </row>
    <row r="76" spans="1:18" ht="1" customHeight="1">
      <c r="A76" s="80"/>
      <c r="B76" s="8">
        <v>30</v>
      </c>
      <c r="C76" s="8" t="str">
        <f t="shared" si="0"/>
        <v>Panama</v>
      </c>
      <c r="D76" s="8" t="str">
        <f t="shared" si="1"/>
        <v>30Panama</v>
      </c>
      <c r="E76" s="8" t="str">
        <f t="shared" si="2"/>
        <v/>
      </c>
      <c r="F76" s="8" t="str">
        <f t="shared" si="3"/>
        <v/>
      </c>
      <c r="G76" s="8" t="str">
        <f t="shared" si="4"/>
        <v/>
      </c>
      <c r="H76" s="8" t="str">
        <f t="shared" si="5"/>
        <v/>
      </c>
      <c r="I76" s="8" t="str">
        <f t="shared" si="6"/>
        <v/>
      </c>
      <c r="J76" s="8"/>
      <c r="K76" s="8">
        <v>30</v>
      </c>
      <c r="L76" s="8" t="str">
        <f t="shared" si="7"/>
        <v>Panama</v>
      </c>
      <c r="M76" s="8" t="str">
        <f t="shared" si="8"/>
        <v>30Panama</v>
      </c>
      <c r="N76" s="8" t="str">
        <f t="shared" si="9"/>
        <v/>
      </c>
      <c r="O76" s="8" t="str">
        <f t="shared" si="10"/>
        <v/>
      </c>
      <c r="P76" s="8" t="str">
        <f t="shared" si="11"/>
        <v/>
      </c>
      <c r="Q76" s="8" t="str">
        <f t="shared" si="12"/>
        <v/>
      </c>
      <c r="R76" s="8" t="str">
        <f t="shared" si="13"/>
        <v/>
      </c>
    </row>
    <row r="77" spans="1:18" ht="1" customHeight="1">
      <c r="A77" s="80"/>
      <c r="B77" s="8">
        <v>31</v>
      </c>
      <c r="C77" s="8" t="str">
        <f t="shared" si="0"/>
        <v>Panama</v>
      </c>
      <c r="D77" s="8" t="str">
        <f t="shared" si="1"/>
        <v>31Panama</v>
      </c>
      <c r="E77" s="8" t="str">
        <f t="shared" si="2"/>
        <v/>
      </c>
      <c r="F77" s="8" t="str">
        <f t="shared" si="3"/>
        <v/>
      </c>
      <c r="G77" s="8" t="str">
        <f t="shared" si="4"/>
        <v/>
      </c>
      <c r="H77" s="8" t="str">
        <f t="shared" si="5"/>
        <v/>
      </c>
      <c r="I77" s="8" t="str">
        <f t="shared" si="6"/>
        <v/>
      </c>
      <c r="J77" s="8"/>
      <c r="K77" s="8">
        <v>31</v>
      </c>
      <c r="L77" s="8" t="str">
        <f t="shared" si="7"/>
        <v>Panama</v>
      </c>
      <c r="M77" s="8" t="str">
        <f t="shared" si="8"/>
        <v>31Panama</v>
      </c>
      <c r="N77" s="8" t="str">
        <f t="shared" si="9"/>
        <v/>
      </c>
      <c r="O77" s="8" t="str">
        <f t="shared" si="10"/>
        <v/>
      </c>
      <c r="P77" s="8" t="str">
        <f t="shared" si="11"/>
        <v/>
      </c>
      <c r="Q77" s="8" t="str">
        <f t="shared" si="12"/>
        <v/>
      </c>
      <c r="R77" s="8" t="str">
        <f t="shared" si="13"/>
        <v/>
      </c>
    </row>
    <row r="78" spans="1:18" ht="1" customHeight="1">
      <c r="A78" s="80"/>
      <c r="B78" s="8">
        <v>32</v>
      </c>
      <c r="C78" s="8" t="str">
        <f t="shared" si="0"/>
        <v>Panama</v>
      </c>
      <c r="D78" s="8" t="str">
        <f t="shared" si="1"/>
        <v>32Panama</v>
      </c>
      <c r="E78" s="8" t="str">
        <f t="shared" si="2"/>
        <v/>
      </c>
      <c r="F78" s="8" t="str">
        <f t="shared" si="3"/>
        <v/>
      </c>
      <c r="G78" s="8" t="str">
        <f t="shared" si="4"/>
        <v/>
      </c>
      <c r="H78" s="8" t="str">
        <f t="shared" si="5"/>
        <v/>
      </c>
      <c r="I78" s="8" t="str">
        <f t="shared" si="6"/>
        <v/>
      </c>
      <c r="J78" s="8"/>
      <c r="K78" s="8">
        <v>32</v>
      </c>
      <c r="L78" s="8" t="str">
        <f t="shared" si="7"/>
        <v>Panama</v>
      </c>
      <c r="M78" s="8" t="str">
        <f t="shared" si="8"/>
        <v>32Panama</v>
      </c>
      <c r="N78" s="8" t="str">
        <f t="shared" si="9"/>
        <v/>
      </c>
      <c r="O78" s="8" t="str">
        <f t="shared" si="10"/>
        <v/>
      </c>
      <c r="P78" s="8" t="str">
        <f t="shared" si="11"/>
        <v/>
      </c>
      <c r="Q78" s="8" t="str">
        <f t="shared" si="12"/>
        <v/>
      </c>
      <c r="R78" s="8" t="str">
        <f t="shared" si="13"/>
        <v/>
      </c>
    </row>
    <row r="79" spans="1:18" ht="1" customHeight="1">
      <c r="A79" s="80"/>
      <c r="B79" s="8">
        <v>33</v>
      </c>
      <c r="C79" s="8" t="str">
        <f t="shared" si="0"/>
        <v>Panama</v>
      </c>
      <c r="D79" s="8" t="str">
        <f t="shared" si="1"/>
        <v>33Panama</v>
      </c>
      <c r="E79" s="8" t="str">
        <f t="shared" si="2"/>
        <v/>
      </c>
      <c r="F79" s="8" t="str">
        <f t="shared" si="3"/>
        <v/>
      </c>
      <c r="G79" s="8" t="str">
        <f t="shared" si="4"/>
        <v/>
      </c>
      <c r="H79" s="8" t="str">
        <f t="shared" si="5"/>
        <v/>
      </c>
      <c r="I79" s="8" t="str">
        <f t="shared" si="6"/>
        <v/>
      </c>
      <c r="J79" s="8"/>
      <c r="K79" s="8">
        <v>33</v>
      </c>
      <c r="L79" s="8" t="str">
        <f t="shared" si="7"/>
        <v>Panama</v>
      </c>
      <c r="M79" s="8" t="str">
        <f t="shared" si="8"/>
        <v>33Panama</v>
      </c>
      <c r="N79" s="8" t="str">
        <f t="shared" si="9"/>
        <v/>
      </c>
      <c r="O79" s="8" t="str">
        <f t="shared" si="10"/>
        <v/>
      </c>
      <c r="P79" s="8" t="str">
        <f t="shared" si="11"/>
        <v/>
      </c>
      <c r="Q79" s="8" t="str">
        <f t="shared" si="12"/>
        <v/>
      </c>
      <c r="R79" s="8" t="str">
        <f t="shared" si="13"/>
        <v/>
      </c>
    </row>
    <row r="80" spans="1:18" ht="1" customHeight="1">
      <c r="A80" s="80"/>
      <c r="B80" s="8">
        <v>34</v>
      </c>
      <c r="C80" s="8" t="str">
        <f t="shared" si="0"/>
        <v>Panama</v>
      </c>
      <c r="D80" s="8" t="str">
        <f t="shared" si="1"/>
        <v>34Panama</v>
      </c>
      <c r="E80" s="8" t="str">
        <f t="shared" si="2"/>
        <v/>
      </c>
      <c r="F80" s="8" t="str">
        <f t="shared" si="3"/>
        <v/>
      </c>
      <c r="G80" s="8" t="str">
        <f t="shared" si="4"/>
        <v/>
      </c>
      <c r="H80" s="8" t="str">
        <f t="shared" si="5"/>
        <v/>
      </c>
      <c r="I80" s="8" t="str">
        <f t="shared" si="6"/>
        <v/>
      </c>
      <c r="J80" s="8"/>
      <c r="K80" s="8">
        <v>34</v>
      </c>
      <c r="L80" s="8" t="str">
        <f t="shared" si="7"/>
        <v>Panama</v>
      </c>
      <c r="M80" s="8" t="str">
        <f t="shared" si="8"/>
        <v>34Panama</v>
      </c>
      <c r="N80" s="8" t="str">
        <f t="shared" si="9"/>
        <v/>
      </c>
      <c r="O80" s="8" t="str">
        <f t="shared" si="10"/>
        <v/>
      </c>
      <c r="P80" s="8" t="str">
        <f t="shared" si="11"/>
        <v/>
      </c>
      <c r="Q80" s="8" t="str">
        <f t="shared" si="12"/>
        <v/>
      </c>
      <c r="R80" s="8" t="str">
        <f t="shared" si="13"/>
        <v/>
      </c>
    </row>
    <row r="81" spans="1:18" ht="1" customHeight="1">
      <c r="A81" s="80"/>
      <c r="B81" s="8">
        <v>35</v>
      </c>
      <c r="C81" s="8" t="str">
        <f t="shared" si="0"/>
        <v>Panama</v>
      </c>
      <c r="D81" s="8" t="str">
        <f t="shared" si="1"/>
        <v>35Panama</v>
      </c>
      <c r="E81" s="8" t="str">
        <f t="shared" si="2"/>
        <v/>
      </c>
      <c r="F81" s="8" t="str">
        <f t="shared" si="3"/>
        <v/>
      </c>
      <c r="G81" s="8" t="str">
        <f t="shared" si="4"/>
        <v/>
      </c>
      <c r="H81" s="8" t="str">
        <f t="shared" si="5"/>
        <v/>
      </c>
      <c r="I81" s="8" t="str">
        <f t="shared" si="6"/>
        <v/>
      </c>
      <c r="J81" s="8"/>
      <c r="K81" s="8">
        <v>35</v>
      </c>
      <c r="L81" s="8" t="str">
        <f t="shared" si="7"/>
        <v>Panama</v>
      </c>
      <c r="M81" s="8" t="str">
        <f t="shared" si="8"/>
        <v>35Panama</v>
      </c>
      <c r="N81" s="8" t="str">
        <f t="shared" si="9"/>
        <v/>
      </c>
      <c r="O81" s="8" t="str">
        <f t="shared" si="10"/>
        <v/>
      </c>
      <c r="P81" s="8" t="str">
        <f t="shared" si="11"/>
        <v/>
      </c>
      <c r="Q81" s="8" t="str">
        <f t="shared" si="12"/>
        <v/>
      </c>
      <c r="R81" s="8" t="str">
        <f t="shared" si="13"/>
        <v/>
      </c>
    </row>
    <row r="82" spans="1:18" ht="1" customHeight="1">
      <c r="A82" s="80"/>
      <c r="B82" s="8">
        <v>36</v>
      </c>
      <c r="C82" s="8" t="str">
        <f t="shared" si="0"/>
        <v>Panama</v>
      </c>
      <c r="D82" s="8" t="str">
        <f t="shared" si="1"/>
        <v>36Panama</v>
      </c>
      <c r="E82" s="8" t="str">
        <f t="shared" si="2"/>
        <v/>
      </c>
      <c r="F82" s="8" t="str">
        <f t="shared" si="3"/>
        <v/>
      </c>
      <c r="G82" s="8" t="str">
        <f t="shared" si="4"/>
        <v/>
      </c>
      <c r="H82" s="8" t="str">
        <f t="shared" si="5"/>
        <v/>
      </c>
      <c r="I82" s="8" t="str">
        <f t="shared" si="6"/>
        <v/>
      </c>
      <c r="J82" s="8"/>
      <c r="K82" s="8">
        <v>36</v>
      </c>
      <c r="L82" s="8" t="str">
        <f t="shared" si="7"/>
        <v>Panama</v>
      </c>
      <c r="M82" s="8" t="str">
        <f t="shared" si="8"/>
        <v>36Panama</v>
      </c>
      <c r="N82" s="8" t="str">
        <f t="shared" si="9"/>
        <v/>
      </c>
      <c r="O82" s="8" t="str">
        <f t="shared" si="10"/>
        <v/>
      </c>
      <c r="P82" s="8" t="str">
        <f t="shared" si="11"/>
        <v/>
      </c>
      <c r="Q82" s="8" t="str">
        <f t="shared" si="12"/>
        <v/>
      </c>
      <c r="R82" s="8" t="str">
        <f t="shared" si="13"/>
        <v/>
      </c>
    </row>
    <row r="83" spans="1:18" ht="1" customHeight="1">
      <c r="A83" s="80"/>
      <c r="B83" s="8">
        <v>37</v>
      </c>
      <c r="C83" s="8" t="str">
        <f t="shared" si="0"/>
        <v>Panama</v>
      </c>
      <c r="D83" s="8" t="str">
        <f t="shared" si="1"/>
        <v>37Panama</v>
      </c>
      <c r="E83" s="8" t="str">
        <f t="shared" si="2"/>
        <v/>
      </c>
      <c r="F83" s="8" t="str">
        <f t="shared" si="3"/>
        <v/>
      </c>
      <c r="G83" s="8" t="str">
        <f t="shared" si="4"/>
        <v/>
      </c>
      <c r="H83" s="8" t="str">
        <f t="shared" si="5"/>
        <v/>
      </c>
      <c r="I83" s="8" t="str">
        <f t="shared" si="6"/>
        <v/>
      </c>
      <c r="J83" s="8"/>
      <c r="K83" s="8">
        <v>37</v>
      </c>
      <c r="L83" s="8" t="str">
        <f t="shared" si="7"/>
        <v>Panama</v>
      </c>
      <c r="M83" s="8" t="str">
        <f t="shared" si="8"/>
        <v>37Panama</v>
      </c>
      <c r="N83" s="8" t="str">
        <f t="shared" si="9"/>
        <v/>
      </c>
      <c r="O83" s="8" t="str">
        <f t="shared" si="10"/>
        <v/>
      </c>
      <c r="P83" s="8" t="str">
        <f t="shared" si="11"/>
        <v/>
      </c>
      <c r="Q83" s="8" t="str">
        <f t="shared" si="12"/>
        <v/>
      </c>
      <c r="R83" s="8" t="str">
        <f t="shared" si="13"/>
        <v/>
      </c>
    </row>
    <row r="84" spans="1:18" ht="1" customHeight="1">
      <c r="A84" s="80"/>
      <c r="B84" s="8">
        <v>38</v>
      </c>
      <c r="C84" s="8" t="str">
        <f t="shared" si="0"/>
        <v>Panama</v>
      </c>
      <c r="D84" s="8" t="str">
        <f t="shared" si="1"/>
        <v>38Panama</v>
      </c>
      <c r="E84" s="8" t="str">
        <f t="shared" si="2"/>
        <v/>
      </c>
      <c r="F84" s="8" t="str">
        <f t="shared" si="3"/>
        <v/>
      </c>
      <c r="G84" s="8" t="str">
        <f t="shared" si="4"/>
        <v/>
      </c>
      <c r="H84" s="8" t="str">
        <f t="shared" si="5"/>
        <v/>
      </c>
      <c r="I84" s="8" t="str">
        <f t="shared" si="6"/>
        <v/>
      </c>
      <c r="J84" s="8"/>
      <c r="K84" s="8">
        <v>38</v>
      </c>
      <c r="L84" s="8" t="str">
        <f t="shared" si="7"/>
        <v>Panama</v>
      </c>
      <c r="M84" s="8" t="str">
        <f t="shared" si="8"/>
        <v>38Panama</v>
      </c>
      <c r="N84" s="8" t="str">
        <f t="shared" si="9"/>
        <v/>
      </c>
      <c r="O84" s="8" t="str">
        <f t="shared" si="10"/>
        <v/>
      </c>
      <c r="P84" s="8" t="str">
        <f t="shared" si="11"/>
        <v/>
      </c>
      <c r="Q84" s="8" t="str">
        <f t="shared" si="12"/>
        <v/>
      </c>
      <c r="R84" s="8" t="str">
        <f t="shared" si="13"/>
        <v/>
      </c>
    </row>
    <row r="85" spans="1:18" ht="1" customHeight="1">
      <c r="A85" s="80"/>
      <c r="B85" s="8">
        <v>39</v>
      </c>
      <c r="C85" s="8" t="str">
        <f t="shared" si="0"/>
        <v>Panama</v>
      </c>
      <c r="D85" s="8" t="str">
        <f t="shared" si="1"/>
        <v>39Panama</v>
      </c>
      <c r="E85" s="8" t="str">
        <f t="shared" si="2"/>
        <v/>
      </c>
      <c r="F85" s="8" t="str">
        <f t="shared" si="3"/>
        <v/>
      </c>
      <c r="G85" s="8" t="str">
        <f t="shared" si="4"/>
        <v/>
      </c>
      <c r="H85" s="8" t="str">
        <f t="shared" si="5"/>
        <v/>
      </c>
      <c r="I85" s="8" t="str">
        <f t="shared" si="6"/>
        <v/>
      </c>
      <c r="J85" s="8"/>
      <c r="K85" s="8">
        <v>39</v>
      </c>
      <c r="L85" s="8" t="str">
        <f t="shared" si="7"/>
        <v>Panama</v>
      </c>
      <c r="M85" s="8" t="str">
        <f t="shared" si="8"/>
        <v>39Panama</v>
      </c>
      <c r="N85" s="8" t="str">
        <f t="shared" si="9"/>
        <v/>
      </c>
      <c r="O85" s="8" t="str">
        <f t="shared" si="10"/>
        <v/>
      </c>
      <c r="P85" s="8" t="str">
        <f t="shared" si="11"/>
        <v/>
      </c>
      <c r="Q85" s="8" t="str">
        <f t="shared" si="12"/>
        <v/>
      </c>
      <c r="R85" s="8" t="str">
        <f t="shared" si="13"/>
        <v/>
      </c>
    </row>
    <row r="86" spans="1:18" ht="1" customHeight="1">
      <c r="A86" s="80"/>
      <c r="B86" s="8">
        <v>40</v>
      </c>
      <c r="C86" s="8" t="str">
        <f t="shared" si="0"/>
        <v>Panama</v>
      </c>
      <c r="D86" s="8" t="str">
        <f t="shared" si="1"/>
        <v>40Panama</v>
      </c>
      <c r="E86" s="8" t="str">
        <f t="shared" si="2"/>
        <v/>
      </c>
      <c r="F86" s="8" t="str">
        <f t="shared" si="3"/>
        <v/>
      </c>
      <c r="G86" s="8" t="str">
        <f t="shared" si="4"/>
        <v/>
      </c>
      <c r="H86" s="8" t="str">
        <f t="shared" si="5"/>
        <v/>
      </c>
      <c r="I86" s="8" t="str">
        <f t="shared" si="6"/>
        <v/>
      </c>
      <c r="J86" s="8"/>
      <c r="K86" s="8">
        <v>40</v>
      </c>
      <c r="L86" s="8" t="str">
        <f t="shared" si="7"/>
        <v>Panama</v>
      </c>
      <c r="M86" s="8" t="str">
        <f t="shared" si="8"/>
        <v>40Panama</v>
      </c>
      <c r="N86" s="8" t="str">
        <f t="shared" si="9"/>
        <v/>
      </c>
      <c r="O86" s="8" t="str">
        <f t="shared" si="10"/>
        <v/>
      </c>
      <c r="P86" s="8" t="str">
        <f t="shared" si="11"/>
        <v/>
      </c>
      <c r="Q86" s="8" t="str">
        <f t="shared" si="12"/>
        <v/>
      </c>
      <c r="R86" s="8" t="str">
        <f t="shared" si="13"/>
        <v/>
      </c>
    </row>
    <row r="87" spans="1:18" ht="1" customHeight="1">
      <c r="A87" s="80"/>
    </row>
    <row r="88" spans="1:18" ht="1" customHeight="1">
      <c r="A88" s="80"/>
    </row>
    <row r="89" spans="1:18" ht="1" customHeight="1">
      <c r="A89" s="80"/>
    </row>
    <row r="90" spans="1:18" ht="1" customHeight="1">
      <c r="A90" s="80"/>
      <c r="B90" s="81"/>
      <c r="C90" s="82"/>
      <c r="D90" s="82"/>
      <c r="E90" s="82"/>
      <c r="F90" s="82"/>
      <c r="G90" s="82"/>
      <c r="H90" s="82"/>
      <c r="I90" s="82"/>
      <c r="J90" s="82"/>
      <c r="K90" s="82"/>
      <c r="L90" s="82"/>
      <c r="M90" s="82"/>
      <c r="N90" s="82"/>
      <c r="O90" s="82"/>
      <c r="P90" s="82"/>
      <c r="Q90" s="80"/>
    </row>
    <row r="91" spans="1:18" ht="1" customHeight="1">
      <c r="A91" s="80"/>
      <c r="B91" s="404" t="s">
        <v>3</v>
      </c>
      <c r="C91" s="404"/>
      <c r="D91" s="404"/>
      <c r="E91" s="404"/>
      <c r="F91" s="404"/>
      <c r="G91" s="404"/>
      <c r="H91" s="404"/>
      <c r="I91" s="8"/>
      <c r="J91" s="8"/>
      <c r="K91" s="404" t="s">
        <v>3</v>
      </c>
      <c r="L91" s="404"/>
      <c r="M91" s="404"/>
      <c r="N91" s="404"/>
      <c r="O91" s="404"/>
      <c r="P91" s="404"/>
      <c r="Q91" s="404"/>
      <c r="R91" s="8"/>
    </row>
    <row r="92" spans="1:18" ht="1" customHeight="1">
      <c r="A92" s="80"/>
      <c r="B92" s="8" t="s">
        <v>4</v>
      </c>
      <c r="C92" s="8" t="s">
        <v>31</v>
      </c>
      <c r="D92" s="8" t="s">
        <v>236</v>
      </c>
      <c r="E92" s="8" t="s">
        <v>5</v>
      </c>
      <c r="F92" s="8" t="s">
        <v>6</v>
      </c>
      <c r="G92" s="8" t="s">
        <v>7</v>
      </c>
      <c r="H92" s="8" t="s">
        <v>8</v>
      </c>
      <c r="I92" s="8" t="s">
        <v>9</v>
      </c>
      <c r="J92" s="8"/>
      <c r="K92" s="8" t="s">
        <v>4</v>
      </c>
      <c r="L92" s="8" t="s">
        <v>31</v>
      </c>
      <c r="M92" s="8" t="s">
        <v>236</v>
      </c>
      <c r="N92" s="8" t="s">
        <v>5</v>
      </c>
      <c r="O92" s="8" t="s">
        <v>6</v>
      </c>
      <c r="P92" s="8" t="s">
        <v>7</v>
      </c>
      <c r="Q92" s="8" t="s">
        <v>8</v>
      </c>
      <c r="R92" s="8" t="s">
        <v>9</v>
      </c>
    </row>
    <row r="93" spans="1:18" ht="1" customHeight="1">
      <c r="A93" s="80"/>
      <c r="B93" s="8">
        <v>0</v>
      </c>
      <c r="C93" s="8" t="s">
        <v>20</v>
      </c>
      <c r="D93" s="8" t="str">
        <f>CONCATENATE(B93,C93)</f>
        <v>0Latin America and the Caribbean</v>
      </c>
      <c r="E93" s="8">
        <v>1</v>
      </c>
      <c r="F93" s="8">
        <v>3.4721000000000001E-3</v>
      </c>
      <c r="G93" s="8">
        <v>3.4721000000000001E-3</v>
      </c>
      <c r="H93" s="8">
        <v>3.4721000000000001E-3</v>
      </c>
      <c r="I93" s="8">
        <v>0</v>
      </c>
      <c r="J93" s="8"/>
      <c r="K93" s="8">
        <v>0</v>
      </c>
      <c r="L93" s="8" t="s">
        <v>20</v>
      </c>
      <c r="M93" s="8" t="str">
        <f>CONCATENATE(K93,L93)</f>
        <v>0Latin America and the Caribbean</v>
      </c>
      <c r="N93" s="8">
        <v>1</v>
      </c>
      <c r="O93" s="8">
        <v>2.5009900000000002E-2</v>
      </c>
      <c r="P93" s="8">
        <v>2.5009900000000002E-2</v>
      </c>
      <c r="Q93" s="8">
        <v>2.5009900000000002E-2</v>
      </c>
      <c r="R93" s="8">
        <v>0</v>
      </c>
    </row>
    <row r="94" spans="1:18" ht="1" customHeight="1">
      <c r="A94" s="80"/>
      <c r="B94" s="8">
        <v>1</v>
      </c>
      <c r="C94" s="8" t="s">
        <v>20</v>
      </c>
      <c r="D94" s="8" t="str">
        <f t="shared" ref="D94:D157" si="14">CONCATENATE(B94,C94)</f>
        <v>1Latin America and the Caribbean</v>
      </c>
      <c r="E94" s="8">
        <v>1</v>
      </c>
      <c r="F94" s="8">
        <v>1.3206799999999999E-2</v>
      </c>
      <c r="G94" s="8">
        <v>1.3206799999999999E-2</v>
      </c>
      <c r="H94" s="8">
        <v>1.3206799999999999E-2</v>
      </c>
      <c r="I94" s="8">
        <v>0</v>
      </c>
      <c r="J94" s="8"/>
      <c r="K94" s="8">
        <v>1</v>
      </c>
      <c r="L94" s="8" t="s">
        <v>20</v>
      </c>
      <c r="M94" s="8" t="str">
        <f t="shared" ref="M94:M157" si="15">CONCATENATE(K94,L94)</f>
        <v>1Latin America and the Caribbean</v>
      </c>
      <c r="N94" s="8">
        <v>1</v>
      </c>
      <c r="O94" s="8">
        <v>6.9635000000000002E-2</v>
      </c>
      <c r="P94" s="8">
        <v>6.9635000000000002E-2</v>
      </c>
      <c r="Q94" s="8">
        <v>6.9635000000000002E-2</v>
      </c>
      <c r="R94" s="8">
        <v>0</v>
      </c>
    </row>
    <row r="95" spans="1:18" ht="1" customHeight="1">
      <c r="A95" s="80"/>
      <c r="B95" s="8">
        <v>2</v>
      </c>
      <c r="C95" s="8" t="s">
        <v>20</v>
      </c>
      <c r="D95" s="8" t="str">
        <f t="shared" si="14"/>
        <v>2Latin America and the Caribbean</v>
      </c>
      <c r="E95" s="8">
        <v>1</v>
      </c>
      <c r="F95" s="8">
        <v>0.1958405</v>
      </c>
      <c r="G95" s="8">
        <v>0.1958405</v>
      </c>
      <c r="H95" s="8">
        <v>0.1956658</v>
      </c>
      <c r="I95" s="8">
        <v>0.1009277</v>
      </c>
      <c r="J95" s="8"/>
      <c r="K95" s="8">
        <v>2</v>
      </c>
      <c r="L95" s="8" t="s">
        <v>20</v>
      </c>
      <c r="M95" s="8" t="str">
        <f t="shared" si="15"/>
        <v>2Latin America and the Caribbean</v>
      </c>
      <c r="N95" s="8">
        <v>1</v>
      </c>
      <c r="O95" s="8">
        <v>0.29473500000000002</v>
      </c>
      <c r="P95" s="8">
        <v>0.29473500000000002</v>
      </c>
      <c r="Q95" s="8">
        <v>0.29473500000000002</v>
      </c>
      <c r="R95" s="8">
        <v>6.0327899999999997E-2</v>
      </c>
    </row>
    <row r="96" spans="1:18" ht="1" customHeight="1">
      <c r="A96" s="80"/>
      <c r="B96" s="8">
        <v>3</v>
      </c>
      <c r="C96" s="8" t="s">
        <v>20</v>
      </c>
      <c r="D96" s="8" t="str">
        <f t="shared" si="14"/>
        <v>3Latin America and the Caribbean</v>
      </c>
      <c r="E96" s="8">
        <v>1</v>
      </c>
      <c r="F96" s="8">
        <v>0.37847419999999998</v>
      </c>
      <c r="G96" s="8">
        <v>0.37847419999999998</v>
      </c>
      <c r="H96" s="8">
        <v>0.37812479999999998</v>
      </c>
      <c r="I96" s="8">
        <v>0.20185539999999999</v>
      </c>
      <c r="J96" s="8"/>
      <c r="K96" s="8">
        <v>3</v>
      </c>
      <c r="L96" s="8" t="s">
        <v>20</v>
      </c>
      <c r="M96" s="8" t="str">
        <f t="shared" si="15"/>
        <v>3Latin America and the Caribbean</v>
      </c>
      <c r="N96" s="8">
        <v>1</v>
      </c>
      <c r="O96" s="8">
        <v>0.51983509999999999</v>
      </c>
      <c r="P96" s="8">
        <v>0.51983509999999999</v>
      </c>
      <c r="Q96" s="8">
        <v>0.51983509999999999</v>
      </c>
      <c r="R96" s="8">
        <v>0.12065579999999999</v>
      </c>
    </row>
    <row r="97" spans="1:18" ht="1" customHeight="1">
      <c r="A97" s="80"/>
      <c r="B97" s="8">
        <v>4</v>
      </c>
      <c r="C97" s="8" t="s">
        <v>20</v>
      </c>
      <c r="D97" s="8" t="str">
        <f t="shared" si="14"/>
        <v>4Latin America and the Caribbean</v>
      </c>
      <c r="E97" s="8">
        <v>1</v>
      </c>
      <c r="F97" s="8">
        <v>0.56729419999999997</v>
      </c>
      <c r="G97" s="8">
        <v>0.56729419999999997</v>
      </c>
      <c r="H97" s="8">
        <v>0.56677010000000005</v>
      </c>
      <c r="I97" s="8">
        <v>0.4010629</v>
      </c>
      <c r="J97" s="8"/>
      <c r="K97" s="8">
        <v>4</v>
      </c>
      <c r="L97" s="8" t="s">
        <v>20</v>
      </c>
      <c r="M97" s="8" t="str">
        <f t="shared" si="15"/>
        <v>4Latin America and the Caribbean</v>
      </c>
      <c r="N97" s="8">
        <v>1</v>
      </c>
      <c r="O97" s="8">
        <v>0.68987169999999998</v>
      </c>
      <c r="P97" s="8">
        <v>0.68987169999999998</v>
      </c>
      <c r="Q97" s="8">
        <v>0.68987169999999998</v>
      </c>
      <c r="R97" s="8">
        <v>0.22357160000000001</v>
      </c>
    </row>
    <row r="98" spans="1:18" ht="1" customHeight="1">
      <c r="A98" s="80"/>
      <c r="B98" s="8">
        <v>5</v>
      </c>
      <c r="C98" s="8" t="s">
        <v>20</v>
      </c>
      <c r="D98" s="8" t="str">
        <f t="shared" si="14"/>
        <v>5Latin America and the Caribbean</v>
      </c>
      <c r="E98" s="8">
        <v>1</v>
      </c>
      <c r="F98" s="8">
        <v>0.78309819999999997</v>
      </c>
      <c r="G98" s="8">
        <v>0.78309819999999997</v>
      </c>
      <c r="H98" s="8">
        <v>0.78278760000000003</v>
      </c>
      <c r="I98" s="8">
        <v>0.68437890000000001</v>
      </c>
      <c r="J98" s="8"/>
      <c r="K98" s="8">
        <v>5</v>
      </c>
      <c r="L98" s="8" t="s">
        <v>20</v>
      </c>
      <c r="M98" s="8" t="str">
        <f t="shared" si="15"/>
        <v>5Latin America and the Caribbean</v>
      </c>
      <c r="N98" s="8">
        <v>1</v>
      </c>
      <c r="O98" s="8">
        <v>0.89582280000000003</v>
      </c>
      <c r="P98" s="8">
        <v>0.89582280000000003</v>
      </c>
      <c r="Q98" s="8">
        <v>0.89582280000000003</v>
      </c>
      <c r="R98" s="8">
        <v>0.42722860000000001</v>
      </c>
    </row>
    <row r="99" spans="1:18" ht="1" customHeight="1">
      <c r="A99" s="80"/>
      <c r="B99" s="8">
        <v>6</v>
      </c>
      <c r="C99" s="8" t="s">
        <v>20</v>
      </c>
      <c r="D99" s="8" t="str">
        <f t="shared" si="14"/>
        <v>6Latin America and the Caribbean</v>
      </c>
      <c r="E99" s="8">
        <v>1</v>
      </c>
      <c r="F99" s="8">
        <v>0.86322100000000002</v>
      </c>
      <c r="G99" s="8">
        <v>0.86322100000000002</v>
      </c>
      <c r="H99" s="8">
        <v>0.86245950000000005</v>
      </c>
      <c r="I99" s="8">
        <v>0.78643010000000002</v>
      </c>
      <c r="J99" s="8"/>
      <c r="K99" s="8">
        <v>6</v>
      </c>
      <c r="L99" s="8" t="s">
        <v>20</v>
      </c>
      <c r="M99" s="8" t="str">
        <f t="shared" si="15"/>
        <v>6Latin America and the Caribbean</v>
      </c>
      <c r="N99" s="8">
        <v>1</v>
      </c>
      <c r="O99" s="8">
        <v>0.93865849999999995</v>
      </c>
      <c r="P99" s="8">
        <v>0.93865849999999995</v>
      </c>
      <c r="Q99" s="8">
        <v>0.93838500000000002</v>
      </c>
      <c r="R99" s="8">
        <v>0.47515550000000001</v>
      </c>
    </row>
    <row r="100" spans="1:18" ht="1" customHeight="1">
      <c r="A100" s="80"/>
      <c r="B100" s="8">
        <v>7</v>
      </c>
      <c r="C100" s="8" t="s">
        <v>20</v>
      </c>
      <c r="D100" s="8" t="str">
        <f t="shared" si="14"/>
        <v>7Latin America and the Caribbean</v>
      </c>
      <c r="E100" s="8">
        <v>1</v>
      </c>
      <c r="F100" s="8">
        <v>0.94334390000000001</v>
      </c>
      <c r="G100" s="8">
        <v>0.94334390000000001</v>
      </c>
      <c r="H100" s="8">
        <v>0.94213150000000001</v>
      </c>
      <c r="I100" s="8">
        <v>0.88848119999999997</v>
      </c>
      <c r="J100" s="8"/>
      <c r="K100" s="8">
        <v>7</v>
      </c>
      <c r="L100" s="8" t="s">
        <v>20</v>
      </c>
      <c r="M100" s="8" t="str">
        <f t="shared" si="15"/>
        <v>7Latin America and the Caribbean</v>
      </c>
      <c r="N100" s="8">
        <v>1</v>
      </c>
      <c r="O100" s="8">
        <v>0.98149419999999998</v>
      </c>
      <c r="P100" s="8">
        <v>0.98149419999999998</v>
      </c>
      <c r="Q100" s="8">
        <v>0.98094709999999996</v>
      </c>
      <c r="R100" s="8">
        <v>0.5230823</v>
      </c>
    </row>
    <row r="101" spans="1:18" ht="1" customHeight="1">
      <c r="A101" s="80"/>
      <c r="B101" s="8">
        <v>8</v>
      </c>
      <c r="C101" s="8" t="s">
        <v>20</v>
      </c>
      <c r="D101" s="8" t="str">
        <f t="shared" si="14"/>
        <v>8Latin America and the Caribbean</v>
      </c>
      <c r="E101" s="8">
        <v>1</v>
      </c>
      <c r="F101" s="8">
        <v>0.96334770000000003</v>
      </c>
      <c r="G101" s="8">
        <v>0.96334770000000003</v>
      </c>
      <c r="H101" s="8">
        <v>0.96158399999999999</v>
      </c>
      <c r="I101" s="8">
        <v>0.91409890000000005</v>
      </c>
      <c r="J101" s="8"/>
      <c r="K101" s="8">
        <v>8</v>
      </c>
      <c r="L101" s="8" t="s">
        <v>20</v>
      </c>
      <c r="M101" s="8" t="str">
        <f t="shared" si="15"/>
        <v>8Latin America and the Caribbean</v>
      </c>
      <c r="N101" s="8">
        <v>1</v>
      </c>
      <c r="O101" s="8">
        <v>0.98779059999999996</v>
      </c>
      <c r="P101" s="8">
        <v>0.98779059999999996</v>
      </c>
      <c r="Q101" s="8">
        <v>0.98714749999999996</v>
      </c>
      <c r="R101" s="8">
        <v>0.54434340000000003</v>
      </c>
    </row>
    <row r="102" spans="1:18" ht="1" customHeight="1">
      <c r="A102" s="80"/>
      <c r="B102" s="8">
        <v>9</v>
      </c>
      <c r="C102" s="8" t="s">
        <v>20</v>
      </c>
      <c r="D102" s="8" t="str">
        <f t="shared" si="14"/>
        <v>9Latin America and the Caribbean</v>
      </c>
      <c r="E102" s="8">
        <v>1</v>
      </c>
      <c r="F102" s="8">
        <v>0.98335139999999999</v>
      </c>
      <c r="G102" s="8">
        <v>0.98335139999999999</v>
      </c>
      <c r="H102" s="8">
        <v>0.98103649999999998</v>
      </c>
      <c r="I102" s="8">
        <v>0.93971649999999995</v>
      </c>
      <c r="J102" s="8"/>
      <c r="K102" s="8">
        <v>9</v>
      </c>
      <c r="L102" s="8" t="s">
        <v>20</v>
      </c>
      <c r="M102" s="8" t="str">
        <f t="shared" si="15"/>
        <v>9Latin America and the Caribbean</v>
      </c>
      <c r="N102" s="8">
        <v>1</v>
      </c>
      <c r="O102" s="8">
        <v>0.9940871</v>
      </c>
      <c r="P102" s="8">
        <v>0.9940871</v>
      </c>
      <c r="Q102" s="8">
        <v>0.9933478</v>
      </c>
      <c r="R102" s="8">
        <v>0.56560449999999995</v>
      </c>
    </row>
    <row r="103" spans="1:18" ht="1" customHeight="1">
      <c r="A103" s="80"/>
      <c r="B103" s="8">
        <v>10</v>
      </c>
      <c r="C103" s="8" t="s">
        <v>20</v>
      </c>
      <c r="D103" s="8" t="str">
        <f t="shared" si="14"/>
        <v>10Latin America and the Caribbean</v>
      </c>
      <c r="E103" s="8">
        <v>1</v>
      </c>
      <c r="F103" s="8">
        <v>0.98196059999999996</v>
      </c>
      <c r="G103" s="8">
        <v>0.98168270000000002</v>
      </c>
      <c r="H103" s="8">
        <v>0.97574830000000001</v>
      </c>
      <c r="I103" s="8">
        <v>0.93527459999999996</v>
      </c>
      <c r="J103" s="8"/>
      <c r="K103" s="8">
        <v>10</v>
      </c>
      <c r="L103" s="8" t="s">
        <v>20</v>
      </c>
      <c r="M103" s="8" t="str">
        <f t="shared" si="15"/>
        <v>10Latin America and the Caribbean</v>
      </c>
      <c r="N103" s="8">
        <v>1</v>
      </c>
      <c r="O103" s="8">
        <v>0.99211939999999998</v>
      </c>
      <c r="P103" s="8">
        <v>0.99211939999999998</v>
      </c>
      <c r="Q103" s="8">
        <v>0.99012199999999995</v>
      </c>
      <c r="R103" s="8">
        <v>0.57344609999999996</v>
      </c>
    </row>
    <row r="104" spans="1:18" ht="1" customHeight="1">
      <c r="A104" s="80"/>
      <c r="B104" s="8">
        <v>11</v>
      </c>
      <c r="C104" s="8" t="s">
        <v>20</v>
      </c>
      <c r="D104" s="8" t="str">
        <f t="shared" si="14"/>
        <v>11Latin America and the Caribbean</v>
      </c>
      <c r="E104" s="8">
        <v>1</v>
      </c>
      <c r="F104" s="8">
        <v>0.98056980000000005</v>
      </c>
      <c r="G104" s="8">
        <v>0.9800141</v>
      </c>
      <c r="H104" s="8">
        <v>0.97046010000000005</v>
      </c>
      <c r="I104" s="8">
        <v>0.93083269999999996</v>
      </c>
      <c r="J104" s="8"/>
      <c r="K104" s="8">
        <v>11</v>
      </c>
      <c r="L104" s="8" t="s">
        <v>20</v>
      </c>
      <c r="M104" s="8" t="str">
        <f t="shared" si="15"/>
        <v>11Latin America and the Caribbean</v>
      </c>
      <c r="N104" s="8">
        <v>1</v>
      </c>
      <c r="O104" s="8">
        <v>0.99015180000000003</v>
      </c>
      <c r="P104" s="8">
        <v>0.99015180000000003</v>
      </c>
      <c r="Q104" s="8">
        <v>0.9868962</v>
      </c>
      <c r="R104" s="8">
        <v>0.58128769999999996</v>
      </c>
    </row>
    <row r="105" spans="1:18" ht="1" customHeight="1">
      <c r="A105" s="80"/>
      <c r="B105" s="8">
        <v>12</v>
      </c>
      <c r="C105" s="8" t="s">
        <v>20</v>
      </c>
      <c r="D105" s="8" t="str">
        <f t="shared" si="14"/>
        <v>12Latin America and the Caribbean</v>
      </c>
      <c r="E105" s="8">
        <v>1</v>
      </c>
      <c r="F105" s="8">
        <v>0.97045000000000003</v>
      </c>
      <c r="G105" s="8">
        <v>0.96843959999999996</v>
      </c>
      <c r="H105" s="8">
        <v>0.94943339999999998</v>
      </c>
      <c r="I105" s="8">
        <v>0.91121490000000005</v>
      </c>
      <c r="J105" s="8"/>
      <c r="K105" s="8">
        <v>12</v>
      </c>
      <c r="L105" s="8" t="s">
        <v>20</v>
      </c>
      <c r="M105" s="8" t="str">
        <f t="shared" si="15"/>
        <v>12Latin America and the Caribbean</v>
      </c>
      <c r="N105" s="8">
        <v>1</v>
      </c>
      <c r="O105" s="8">
        <v>0.9856606</v>
      </c>
      <c r="P105" s="8">
        <v>0.9854098</v>
      </c>
      <c r="Q105" s="8">
        <v>0.97889599999999999</v>
      </c>
      <c r="R105" s="8">
        <v>0.57738860000000003</v>
      </c>
    </row>
    <row r="106" spans="1:18" ht="1" customHeight="1">
      <c r="A106" s="80"/>
      <c r="B106" s="8">
        <v>13</v>
      </c>
      <c r="C106" s="8" t="s">
        <v>20</v>
      </c>
      <c r="D106" s="8" t="str">
        <f t="shared" si="14"/>
        <v>13Latin America and the Caribbean</v>
      </c>
      <c r="E106" s="8">
        <v>1</v>
      </c>
      <c r="F106" s="8">
        <v>0.96033020000000002</v>
      </c>
      <c r="G106" s="8">
        <v>0.95686519999999997</v>
      </c>
      <c r="H106" s="8">
        <v>0.92840670000000003</v>
      </c>
      <c r="I106" s="8">
        <v>0.89159730000000004</v>
      </c>
      <c r="J106" s="8"/>
      <c r="K106" s="8">
        <v>13</v>
      </c>
      <c r="L106" s="8" t="s">
        <v>20</v>
      </c>
      <c r="M106" s="8" t="str">
        <f t="shared" si="15"/>
        <v>13Latin America and the Caribbean</v>
      </c>
      <c r="N106" s="8">
        <v>1</v>
      </c>
      <c r="O106" s="8">
        <v>0.98116950000000003</v>
      </c>
      <c r="P106" s="8">
        <v>0.98066790000000004</v>
      </c>
      <c r="Q106" s="8">
        <v>0.97089590000000003</v>
      </c>
      <c r="R106" s="8">
        <v>0.57348949999999999</v>
      </c>
    </row>
    <row r="107" spans="1:18" ht="1" customHeight="1">
      <c r="A107" s="80"/>
      <c r="B107" s="8">
        <v>14</v>
      </c>
      <c r="C107" s="8" t="s">
        <v>20</v>
      </c>
      <c r="D107" s="8" t="str">
        <f t="shared" si="14"/>
        <v>14Latin America and the Caribbean</v>
      </c>
      <c r="E107" s="8">
        <v>1</v>
      </c>
      <c r="F107" s="8">
        <v>0.93692770000000003</v>
      </c>
      <c r="G107" s="8">
        <v>0.92915720000000002</v>
      </c>
      <c r="H107" s="8">
        <v>0.87935339999999995</v>
      </c>
      <c r="I107" s="8">
        <v>0.8451746</v>
      </c>
      <c r="J107" s="8"/>
      <c r="K107" s="8">
        <v>14</v>
      </c>
      <c r="L107" s="8" t="s">
        <v>20</v>
      </c>
      <c r="M107" s="8" t="str">
        <f t="shared" si="15"/>
        <v>14Latin America and the Caribbean</v>
      </c>
      <c r="N107" s="8">
        <v>1</v>
      </c>
      <c r="O107" s="8">
        <v>0.96919149999999998</v>
      </c>
      <c r="P107" s="8">
        <v>0.96642229999999996</v>
      </c>
      <c r="Q107" s="8">
        <v>0.94557729999999995</v>
      </c>
      <c r="R107" s="8">
        <v>0.56466939999999999</v>
      </c>
    </row>
    <row r="108" spans="1:18" ht="1" customHeight="1">
      <c r="A108" s="80"/>
      <c r="B108" s="8">
        <v>15</v>
      </c>
      <c r="C108" s="8" t="s">
        <v>20</v>
      </c>
      <c r="D108" s="8" t="str">
        <f t="shared" si="14"/>
        <v>15Latin America and the Caribbean</v>
      </c>
      <c r="E108" s="8">
        <v>1</v>
      </c>
      <c r="F108" s="8">
        <v>0.91352520000000004</v>
      </c>
      <c r="G108" s="8">
        <v>0.90144919999999995</v>
      </c>
      <c r="H108" s="8">
        <v>0.83030009999999999</v>
      </c>
      <c r="I108" s="8">
        <v>0.79875200000000002</v>
      </c>
      <c r="J108" s="8"/>
      <c r="K108" s="8">
        <v>15</v>
      </c>
      <c r="L108" s="8" t="s">
        <v>20</v>
      </c>
      <c r="M108" s="8" t="str">
        <f t="shared" si="15"/>
        <v>15Latin America and the Caribbean</v>
      </c>
      <c r="N108" s="8">
        <v>1</v>
      </c>
      <c r="O108" s="8">
        <v>0.95721339999999999</v>
      </c>
      <c r="P108" s="8">
        <v>0.95217669999999999</v>
      </c>
      <c r="Q108" s="8">
        <v>0.92025880000000004</v>
      </c>
      <c r="R108" s="8">
        <v>0.55584929999999999</v>
      </c>
    </row>
    <row r="109" spans="1:18" ht="1" customHeight="1">
      <c r="A109" s="80"/>
      <c r="B109" s="8">
        <v>16</v>
      </c>
      <c r="C109" s="8" t="s">
        <v>20</v>
      </c>
      <c r="D109" s="8" t="str">
        <f t="shared" si="14"/>
        <v>16Latin America and the Caribbean</v>
      </c>
      <c r="E109" s="8">
        <v>1</v>
      </c>
      <c r="F109" s="8">
        <v>0.87927200000000005</v>
      </c>
      <c r="G109" s="8">
        <v>0.85702739999999999</v>
      </c>
      <c r="H109" s="8">
        <v>0.73846699999999998</v>
      </c>
      <c r="I109" s="8">
        <v>0.70957179999999997</v>
      </c>
      <c r="J109" s="8"/>
      <c r="K109" s="8">
        <v>16</v>
      </c>
      <c r="L109" s="8" t="s">
        <v>20</v>
      </c>
      <c r="M109" s="8" t="str">
        <f t="shared" si="15"/>
        <v>16Latin America and the Caribbean</v>
      </c>
      <c r="N109" s="8">
        <v>1</v>
      </c>
      <c r="O109" s="8">
        <v>0.94120099999999995</v>
      </c>
      <c r="P109" s="8">
        <v>0.93038399999999999</v>
      </c>
      <c r="Q109" s="8">
        <v>0.85337969999999996</v>
      </c>
      <c r="R109" s="8">
        <v>0.51952580000000004</v>
      </c>
    </row>
    <row r="110" spans="1:18" ht="1" customHeight="1">
      <c r="A110" s="80"/>
      <c r="B110" s="8">
        <v>17</v>
      </c>
      <c r="C110" s="8" t="s">
        <v>20</v>
      </c>
      <c r="D110" s="8" t="str">
        <f t="shared" si="14"/>
        <v>17Latin America and the Caribbean</v>
      </c>
      <c r="E110" s="8">
        <v>1</v>
      </c>
      <c r="F110" s="8">
        <v>0.84501879999999996</v>
      </c>
      <c r="G110" s="8">
        <v>0.81260569999999999</v>
      </c>
      <c r="H110" s="8">
        <v>0.64663389999999998</v>
      </c>
      <c r="I110" s="8">
        <v>0.62039169999999999</v>
      </c>
      <c r="J110" s="8"/>
      <c r="K110" s="8">
        <v>17</v>
      </c>
      <c r="L110" s="8" t="s">
        <v>20</v>
      </c>
      <c r="M110" s="8" t="str">
        <f t="shared" si="15"/>
        <v>17Latin America and the Caribbean</v>
      </c>
      <c r="N110" s="8">
        <v>1</v>
      </c>
      <c r="O110" s="8">
        <v>0.92518860000000003</v>
      </c>
      <c r="P110" s="8">
        <v>0.90859140000000005</v>
      </c>
      <c r="Q110" s="8">
        <v>0.78650059999999999</v>
      </c>
      <c r="R110" s="8">
        <v>0.48320229999999997</v>
      </c>
    </row>
    <row r="111" spans="1:18" ht="1" customHeight="1">
      <c r="A111" s="80"/>
      <c r="B111" s="8">
        <v>18</v>
      </c>
      <c r="C111" s="8" t="s">
        <v>20</v>
      </c>
      <c r="D111" s="8" t="str">
        <f t="shared" si="14"/>
        <v>18Latin America and the Caribbean</v>
      </c>
      <c r="E111" s="8">
        <v>1</v>
      </c>
      <c r="F111" s="8">
        <v>0.81624529999999995</v>
      </c>
      <c r="G111" s="8">
        <v>0.76973550000000002</v>
      </c>
      <c r="H111" s="8">
        <v>0.53947650000000003</v>
      </c>
      <c r="I111" s="8">
        <v>0.51074319999999995</v>
      </c>
      <c r="J111" s="8"/>
      <c r="K111" s="8">
        <v>18</v>
      </c>
      <c r="L111" s="8" t="s">
        <v>20</v>
      </c>
      <c r="M111" s="8" t="str">
        <f t="shared" si="15"/>
        <v>18Latin America and the Caribbean</v>
      </c>
      <c r="N111" s="8">
        <v>1</v>
      </c>
      <c r="O111" s="8">
        <v>0.92026569999999996</v>
      </c>
      <c r="P111" s="8">
        <v>0.89827869999999999</v>
      </c>
      <c r="Q111" s="8">
        <v>0.7034106</v>
      </c>
      <c r="R111" s="8">
        <v>0.42487780000000003</v>
      </c>
    </row>
    <row r="112" spans="1:18" ht="1" customHeight="1">
      <c r="A112" s="80"/>
      <c r="B112" s="8">
        <v>19</v>
      </c>
      <c r="C112" s="8" t="s">
        <v>20</v>
      </c>
      <c r="D112" s="8" t="str">
        <f t="shared" si="14"/>
        <v>19Latin America and the Caribbean</v>
      </c>
      <c r="E112" s="8">
        <v>1</v>
      </c>
      <c r="F112" s="8">
        <v>0.78747180000000006</v>
      </c>
      <c r="G112" s="8">
        <v>0.72686539999999999</v>
      </c>
      <c r="H112" s="8">
        <v>0.43231910000000001</v>
      </c>
      <c r="I112" s="8">
        <v>0.40109470000000003</v>
      </c>
      <c r="J112" s="8"/>
      <c r="K112" s="8">
        <v>19</v>
      </c>
      <c r="L112" s="8" t="s">
        <v>20</v>
      </c>
      <c r="M112" s="8" t="str">
        <f t="shared" si="15"/>
        <v>19Latin America and the Caribbean</v>
      </c>
      <c r="N112" s="8">
        <v>1</v>
      </c>
      <c r="O112" s="8">
        <v>0.91534269999999995</v>
      </c>
      <c r="P112" s="8">
        <v>0.88796589999999997</v>
      </c>
      <c r="Q112" s="8">
        <v>0.62032050000000005</v>
      </c>
      <c r="R112" s="8">
        <v>0.36655330000000003</v>
      </c>
    </row>
    <row r="113" spans="1:18" ht="1" customHeight="1">
      <c r="A113" s="80"/>
      <c r="B113" s="8">
        <v>20</v>
      </c>
      <c r="C113" s="8" t="s">
        <v>20</v>
      </c>
      <c r="D113" s="8" t="str">
        <f t="shared" si="14"/>
        <v>20Latin America and the Caribbean</v>
      </c>
      <c r="E113" s="8">
        <v>1</v>
      </c>
      <c r="F113" s="8">
        <v>0.77525489999999997</v>
      </c>
      <c r="G113" s="8">
        <v>0.70515470000000002</v>
      </c>
      <c r="H113" s="8">
        <v>0.35681889999999999</v>
      </c>
      <c r="I113" s="8">
        <v>0.3235247</v>
      </c>
      <c r="J113" s="8"/>
      <c r="K113" s="8">
        <v>20</v>
      </c>
      <c r="L113" s="8" t="s">
        <v>20</v>
      </c>
      <c r="M113" s="8" t="str">
        <f t="shared" si="15"/>
        <v>20Latin America and the Caribbean</v>
      </c>
      <c r="N113" s="8">
        <v>1</v>
      </c>
      <c r="O113" s="8">
        <v>0.91892370000000001</v>
      </c>
      <c r="P113" s="8">
        <v>0.89066800000000002</v>
      </c>
      <c r="Q113" s="8">
        <v>0.56002589999999997</v>
      </c>
      <c r="R113" s="8">
        <v>0.3243335</v>
      </c>
    </row>
    <row r="114" spans="1:18" ht="1" customHeight="1">
      <c r="A114" s="80"/>
      <c r="B114" s="8">
        <v>21</v>
      </c>
      <c r="C114" s="8" t="s">
        <v>20</v>
      </c>
      <c r="D114" s="8" t="str">
        <f t="shared" si="14"/>
        <v>21Latin America and the Caribbean</v>
      </c>
      <c r="E114" s="8">
        <v>1</v>
      </c>
      <c r="F114" s="8">
        <v>0.76303810000000005</v>
      </c>
      <c r="G114" s="8">
        <v>0.68344400000000005</v>
      </c>
      <c r="H114" s="8">
        <v>0.28131859999999997</v>
      </c>
      <c r="I114" s="8">
        <v>0.2459547</v>
      </c>
      <c r="J114" s="8"/>
      <c r="K114" s="8">
        <v>21</v>
      </c>
      <c r="L114" s="8" t="s">
        <v>20</v>
      </c>
      <c r="M114" s="8" t="str">
        <f t="shared" si="15"/>
        <v>21Latin America and the Caribbean</v>
      </c>
      <c r="N114" s="8">
        <v>1</v>
      </c>
      <c r="O114" s="8">
        <v>0.92250469999999996</v>
      </c>
      <c r="P114" s="8">
        <v>0.8933702</v>
      </c>
      <c r="Q114" s="8">
        <v>0.49973129999999999</v>
      </c>
      <c r="R114" s="8">
        <v>0.28211360000000002</v>
      </c>
    </row>
    <row r="115" spans="1:18" ht="1" customHeight="1">
      <c r="A115" s="80"/>
      <c r="B115" s="8">
        <v>22</v>
      </c>
      <c r="C115" s="8" t="s">
        <v>20</v>
      </c>
      <c r="D115" s="8" t="str">
        <f t="shared" si="14"/>
        <v>22Latin America and the Caribbean</v>
      </c>
      <c r="E115" s="8">
        <v>1</v>
      </c>
      <c r="F115" s="8">
        <v>0.75693770000000005</v>
      </c>
      <c r="G115" s="8">
        <v>0.67640420000000001</v>
      </c>
      <c r="H115" s="8">
        <v>0.233989</v>
      </c>
      <c r="I115" s="8">
        <v>0.20325180000000001</v>
      </c>
      <c r="J115" s="8"/>
      <c r="K115" s="8">
        <v>22</v>
      </c>
      <c r="L115" s="8" t="s">
        <v>20</v>
      </c>
      <c r="M115" s="8" t="str">
        <f t="shared" si="15"/>
        <v>22Latin America and the Caribbean</v>
      </c>
      <c r="N115" s="8">
        <v>1</v>
      </c>
      <c r="O115" s="8">
        <v>0.92539550000000004</v>
      </c>
      <c r="P115" s="8">
        <v>0.89662129999999995</v>
      </c>
      <c r="Q115" s="8">
        <v>0.44642759999999998</v>
      </c>
      <c r="R115" s="8">
        <v>0.25036930000000002</v>
      </c>
    </row>
    <row r="116" spans="1:18" ht="1" customHeight="1">
      <c r="A116" s="80"/>
      <c r="B116" s="8">
        <v>23</v>
      </c>
      <c r="C116" s="8" t="s">
        <v>20</v>
      </c>
      <c r="D116" s="8" t="str">
        <f t="shared" si="14"/>
        <v>23Latin America and the Caribbean</v>
      </c>
      <c r="E116" s="8">
        <v>1</v>
      </c>
      <c r="F116" s="8">
        <v>0.75083739999999999</v>
      </c>
      <c r="G116" s="8">
        <v>0.66936430000000002</v>
      </c>
      <c r="H116" s="8">
        <v>0.1866594</v>
      </c>
      <c r="I116" s="8">
        <v>0.16054889999999999</v>
      </c>
      <c r="J116" s="8"/>
      <c r="K116" s="8">
        <v>23</v>
      </c>
      <c r="L116" s="8" t="s">
        <v>20</v>
      </c>
      <c r="M116" s="8" t="str">
        <f t="shared" si="15"/>
        <v>23Latin America and the Caribbean</v>
      </c>
      <c r="N116" s="8">
        <v>1</v>
      </c>
      <c r="O116" s="8">
        <v>0.92828639999999996</v>
      </c>
      <c r="P116" s="8">
        <v>0.89987249999999996</v>
      </c>
      <c r="Q116" s="8">
        <v>0.39312390000000003</v>
      </c>
      <c r="R116" s="8">
        <v>0.21862500000000001</v>
      </c>
    </row>
    <row r="117" spans="1:18" ht="1" customHeight="1">
      <c r="A117" s="80"/>
      <c r="B117" s="8">
        <v>24</v>
      </c>
      <c r="C117" s="8" t="s">
        <v>20</v>
      </c>
      <c r="D117" s="8" t="str">
        <f t="shared" si="14"/>
        <v>24Latin America and the Caribbean</v>
      </c>
      <c r="E117" s="8">
        <v>1</v>
      </c>
      <c r="F117" s="8">
        <v>0.74480749999999996</v>
      </c>
      <c r="G117" s="8">
        <v>0.66907669999999997</v>
      </c>
      <c r="H117" s="8">
        <v>0.15392220000000001</v>
      </c>
      <c r="I117" s="8">
        <v>0.13169459999999999</v>
      </c>
      <c r="J117" s="8"/>
      <c r="K117" s="8">
        <v>24</v>
      </c>
      <c r="L117" s="8" t="s">
        <v>20</v>
      </c>
      <c r="M117" s="8" t="str">
        <f t="shared" si="15"/>
        <v>24Latin America and the Caribbean</v>
      </c>
      <c r="N117" s="8">
        <v>1</v>
      </c>
      <c r="O117" s="8">
        <v>0.92994840000000001</v>
      </c>
      <c r="P117" s="8">
        <v>0.9017174</v>
      </c>
      <c r="Q117" s="8">
        <v>0.34224549999999998</v>
      </c>
      <c r="R117" s="8">
        <v>0.1876729</v>
      </c>
    </row>
    <row r="118" spans="1:18" ht="1" customHeight="1">
      <c r="A118" s="80"/>
      <c r="B118" s="8">
        <v>25</v>
      </c>
      <c r="C118" s="8" t="s">
        <v>20</v>
      </c>
      <c r="D118" s="8" t="str">
        <f t="shared" si="14"/>
        <v>25Latin America and the Caribbean</v>
      </c>
      <c r="E118" s="8">
        <v>1</v>
      </c>
      <c r="F118" s="8">
        <v>0.73877749999999998</v>
      </c>
      <c r="G118" s="8">
        <v>0.66878899999999997</v>
      </c>
      <c r="H118" s="8">
        <v>0.121185</v>
      </c>
      <c r="I118" s="8">
        <v>0.1028404</v>
      </c>
      <c r="J118" s="8"/>
      <c r="K118" s="8">
        <v>25</v>
      </c>
      <c r="L118" s="8" t="s">
        <v>20</v>
      </c>
      <c r="M118" s="8" t="str">
        <f t="shared" si="15"/>
        <v>25Latin America and the Caribbean</v>
      </c>
      <c r="N118" s="8">
        <v>1</v>
      </c>
      <c r="O118" s="8">
        <v>0.93161050000000001</v>
      </c>
      <c r="P118" s="8">
        <v>0.90356219999999998</v>
      </c>
      <c r="Q118" s="8">
        <v>0.29136699999999999</v>
      </c>
      <c r="R118" s="8">
        <v>0.1567209</v>
      </c>
    </row>
    <row r="119" spans="1:18" ht="1" customHeight="1">
      <c r="A119" s="80"/>
      <c r="B119" s="8">
        <v>26</v>
      </c>
      <c r="C119" s="8" t="s">
        <v>20</v>
      </c>
      <c r="D119" s="8" t="str">
        <f t="shared" si="14"/>
        <v>26Latin America and the Caribbean</v>
      </c>
      <c r="E119" s="8">
        <v>1</v>
      </c>
      <c r="F119" s="8">
        <v>0.73881609999999998</v>
      </c>
      <c r="G119" s="8">
        <v>0.67665819999999999</v>
      </c>
      <c r="H119" s="8">
        <v>9.9831199999999995E-2</v>
      </c>
      <c r="I119" s="8">
        <v>8.3363300000000001E-2</v>
      </c>
      <c r="J119" s="8"/>
      <c r="K119" s="8">
        <v>26</v>
      </c>
      <c r="L119" s="8" t="s">
        <v>20</v>
      </c>
      <c r="M119" s="8" t="str">
        <f t="shared" si="15"/>
        <v>26Latin America and the Caribbean</v>
      </c>
      <c r="N119" s="8">
        <v>1</v>
      </c>
      <c r="O119" s="8">
        <v>0.93108919999999995</v>
      </c>
      <c r="P119" s="8">
        <v>0.90424769999999999</v>
      </c>
      <c r="Q119" s="8">
        <v>0.2531582</v>
      </c>
      <c r="R119" s="8">
        <v>0.13293559999999999</v>
      </c>
    </row>
    <row r="120" spans="1:18" ht="1" customHeight="1">
      <c r="A120" s="80"/>
      <c r="B120" s="8">
        <v>27</v>
      </c>
      <c r="C120" s="8" t="s">
        <v>20</v>
      </c>
      <c r="D120" s="8" t="str">
        <f t="shared" si="14"/>
        <v>27Latin America and the Caribbean</v>
      </c>
      <c r="E120" s="8">
        <v>1</v>
      </c>
      <c r="F120" s="8">
        <v>0.73885460000000003</v>
      </c>
      <c r="G120" s="8">
        <v>0.6845272</v>
      </c>
      <c r="H120" s="8">
        <v>7.8477400000000003E-2</v>
      </c>
      <c r="I120" s="8">
        <v>6.3886200000000004E-2</v>
      </c>
      <c r="J120" s="8"/>
      <c r="K120" s="8">
        <v>27</v>
      </c>
      <c r="L120" s="8" t="s">
        <v>20</v>
      </c>
      <c r="M120" s="8" t="str">
        <f t="shared" si="15"/>
        <v>27Latin America and the Caribbean</v>
      </c>
      <c r="N120" s="8">
        <v>1</v>
      </c>
      <c r="O120" s="8">
        <v>0.93056779999999995</v>
      </c>
      <c r="P120" s="8">
        <v>0.90493310000000005</v>
      </c>
      <c r="Q120" s="8">
        <v>0.21494940000000001</v>
      </c>
      <c r="R120" s="8">
        <v>0.1091502</v>
      </c>
    </row>
    <row r="121" spans="1:18" ht="1" customHeight="1">
      <c r="A121" s="80"/>
      <c r="B121" s="8">
        <v>28</v>
      </c>
      <c r="C121" s="8" t="s">
        <v>20</v>
      </c>
      <c r="D121" s="8" t="str">
        <f t="shared" si="14"/>
        <v>28Latin America and the Caribbean</v>
      </c>
      <c r="E121" s="8">
        <v>1</v>
      </c>
      <c r="F121" s="8">
        <v>0.74547569999999996</v>
      </c>
      <c r="G121" s="8">
        <v>0.69595839999999998</v>
      </c>
      <c r="H121" s="8">
        <v>6.7384299999999994E-2</v>
      </c>
      <c r="I121" s="8">
        <v>5.4772800000000003E-2</v>
      </c>
      <c r="J121" s="8"/>
      <c r="K121" s="8">
        <v>28</v>
      </c>
      <c r="L121" s="8" t="s">
        <v>20</v>
      </c>
      <c r="M121" s="8" t="str">
        <f t="shared" si="15"/>
        <v>28Latin America and the Caribbean</v>
      </c>
      <c r="N121" s="8">
        <v>1</v>
      </c>
      <c r="O121" s="8">
        <v>0.92989180000000005</v>
      </c>
      <c r="P121" s="8">
        <v>0.90514150000000004</v>
      </c>
      <c r="Q121" s="8">
        <v>0.18739500000000001</v>
      </c>
      <c r="R121" s="8">
        <v>9.3595499999999998E-2</v>
      </c>
    </row>
    <row r="122" spans="1:18" ht="1" customHeight="1">
      <c r="A122" s="80"/>
      <c r="B122" s="8">
        <v>29</v>
      </c>
      <c r="C122" s="8" t="s">
        <v>20</v>
      </c>
      <c r="D122" s="8" t="str">
        <f t="shared" si="14"/>
        <v>29Latin America and the Caribbean</v>
      </c>
      <c r="E122" s="8">
        <v>1</v>
      </c>
      <c r="F122" s="8">
        <v>0.75209680000000001</v>
      </c>
      <c r="G122" s="8">
        <v>0.70738959999999995</v>
      </c>
      <c r="H122" s="8">
        <v>5.6291300000000002E-2</v>
      </c>
      <c r="I122" s="8">
        <v>4.5659499999999999E-2</v>
      </c>
      <c r="J122" s="8"/>
      <c r="K122" s="8">
        <v>29</v>
      </c>
      <c r="L122" s="8" t="s">
        <v>20</v>
      </c>
      <c r="M122" s="8" t="str">
        <f t="shared" si="15"/>
        <v>29Latin America and the Caribbean</v>
      </c>
      <c r="N122" s="8">
        <v>1</v>
      </c>
      <c r="O122" s="8">
        <v>0.92921569999999998</v>
      </c>
      <c r="P122" s="8">
        <v>0.90534990000000004</v>
      </c>
      <c r="Q122" s="8">
        <v>0.1598405</v>
      </c>
      <c r="R122" s="8">
        <v>7.8040700000000005E-2</v>
      </c>
    </row>
    <row r="123" spans="1:18" ht="1" customHeight="1">
      <c r="A123" s="80"/>
      <c r="B123" s="8">
        <v>30</v>
      </c>
      <c r="C123" s="8" t="s">
        <v>20</v>
      </c>
      <c r="D123" s="8" t="str">
        <f t="shared" si="14"/>
        <v>30Latin America and the Caribbean</v>
      </c>
      <c r="E123" s="8">
        <v>1</v>
      </c>
      <c r="F123" s="8">
        <v>0.76053950000000003</v>
      </c>
      <c r="G123" s="8">
        <v>0.71696910000000003</v>
      </c>
      <c r="H123" s="8">
        <v>5.19569E-2</v>
      </c>
      <c r="I123" s="8">
        <v>4.2440499999999999E-2</v>
      </c>
      <c r="J123" s="8"/>
      <c r="K123" s="8">
        <v>30</v>
      </c>
      <c r="L123" s="8" t="s">
        <v>20</v>
      </c>
      <c r="M123" s="8" t="str">
        <f t="shared" si="15"/>
        <v>30Latin America and the Caribbean</v>
      </c>
      <c r="N123" s="8">
        <v>1</v>
      </c>
      <c r="O123" s="8">
        <v>0.93031249999999999</v>
      </c>
      <c r="P123" s="8">
        <v>0.90878619999999999</v>
      </c>
      <c r="Q123" s="8">
        <v>0.1429155</v>
      </c>
      <c r="R123" s="8">
        <v>6.7963499999999996E-2</v>
      </c>
    </row>
    <row r="124" spans="1:18" ht="1" customHeight="1">
      <c r="A124" s="80"/>
      <c r="B124" s="8">
        <v>31</v>
      </c>
      <c r="C124" s="8" t="s">
        <v>20</v>
      </c>
      <c r="D124" s="8" t="str">
        <f t="shared" si="14"/>
        <v>31Latin America and the Caribbean</v>
      </c>
      <c r="E124" s="8">
        <v>1</v>
      </c>
      <c r="F124" s="8">
        <v>0.7689821</v>
      </c>
      <c r="G124" s="8">
        <v>0.72654850000000004</v>
      </c>
      <c r="H124" s="8">
        <v>4.7622600000000001E-2</v>
      </c>
      <c r="I124" s="8">
        <v>3.9221600000000002E-2</v>
      </c>
      <c r="J124" s="8"/>
      <c r="K124" s="8">
        <v>31</v>
      </c>
      <c r="L124" s="8" t="s">
        <v>20</v>
      </c>
      <c r="M124" s="8" t="str">
        <f t="shared" si="15"/>
        <v>31Latin America and the Caribbean</v>
      </c>
      <c r="N124" s="8">
        <v>1</v>
      </c>
      <c r="O124" s="8">
        <v>0.9314093</v>
      </c>
      <c r="P124" s="8">
        <v>0.91222259999999999</v>
      </c>
      <c r="Q124" s="8">
        <v>0.1259904</v>
      </c>
      <c r="R124" s="8">
        <v>5.7886399999999998E-2</v>
      </c>
    </row>
    <row r="125" spans="1:18" ht="1" customHeight="1">
      <c r="A125" s="80"/>
      <c r="B125" s="8">
        <v>32</v>
      </c>
      <c r="C125" s="8" t="s">
        <v>20</v>
      </c>
      <c r="D125" s="8" t="str">
        <f t="shared" si="14"/>
        <v>32Latin America and the Caribbean</v>
      </c>
      <c r="E125" s="8">
        <v>1</v>
      </c>
      <c r="F125" s="8">
        <v>0.77286829999999995</v>
      </c>
      <c r="G125" s="8">
        <v>0.73140890000000003</v>
      </c>
      <c r="H125" s="8">
        <v>4.3222400000000001E-2</v>
      </c>
      <c r="I125" s="8">
        <v>3.6362699999999998E-2</v>
      </c>
      <c r="J125" s="8"/>
      <c r="K125" s="8">
        <v>32</v>
      </c>
      <c r="L125" s="8" t="s">
        <v>20</v>
      </c>
      <c r="M125" s="8" t="str">
        <f t="shared" si="15"/>
        <v>32Latin America and the Caribbean</v>
      </c>
      <c r="N125" s="8">
        <v>1</v>
      </c>
      <c r="O125" s="8">
        <v>0.93253830000000004</v>
      </c>
      <c r="P125" s="8">
        <v>0.91646039999999995</v>
      </c>
      <c r="Q125" s="8">
        <v>0.114882</v>
      </c>
      <c r="R125" s="8">
        <v>5.12337E-2</v>
      </c>
    </row>
    <row r="126" spans="1:18" ht="1" customHeight="1">
      <c r="A126" s="80"/>
      <c r="B126" s="8">
        <v>33</v>
      </c>
      <c r="C126" s="8" t="s">
        <v>20</v>
      </c>
      <c r="D126" s="8" t="str">
        <f t="shared" si="14"/>
        <v>33Latin America and the Caribbean</v>
      </c>
      <c r="E126" s="8">
        <v>1</v>
      </c>
      <c r="F126" s="8">
        <v>0.77675470000000002</v>
      </c>
      <c r="G126" s="8">
        <v>0.73626930000000002</v>
      </c>
      <c r="H126" s="8">
        <v>3.8822099999999998E-2</v>
      </c>
      <c r="I126" s="8">
        <v>3.3503900000000003E-2</v>
      </c>
      <c r="J126" s="8"/>
      <c r="K126" s="8">
        <v>33</v>
      </c>
      <c r="L126" s="8" t="s">
        <v>20</v>
      </c>
      <c r="M126" s="8" t="str">
        <f t="shared" si="15"/>
        <v>33Latin America and the Caribbean</v>
      </c>
      <c r="N126" s="8">
        <v>1</v>
      </c>
      <c r="O126" s="8">
        <v>0.93366729999999998</v>
      </c>
      <c r="P126" s="8">
        <v>0.92069820000000002</v>
      </c>
      <c r="Q126" s="8">
        <v>0.10377359999999999</v>
      </c>
      <c r="R126" s="8">
        <v>4.45809E-2</v>
      </c>
    </row>
    <row r="127" spans="1:18" ht="1" customHeight="1">
      <c r="A127" s="80"/>
      <c r="B127" s="8">
        <v>34</v>
      </c>
      <c r="C127" s="8" t="s">
        <v>20</v>
      </c>
      <c r="D127" s="8" t="str">
        <f t="shared" si="14"/>
        <v>34Latin America and the Caribbean</v>
      </c>
      <c r="E127" s="8">
        <v>1</v>
      </c>
      <c r="F127" s="8">
        <v>0.77840699999999996</v>
      </c>
      <c r="G127" s="8">
        <v>0.73906539999999998</v>
      </c>
      <c r="H127" s="8">
        <v>3.5701299999999998E-2</v>
      </c>
      <c r="I127" s="8">
        <v>3.1579999999999997E-2</v>
      </c>
      <c r="J127" s="8"/>
      <c r="K127" s="8">
        <v>34</v>
      </c>
      <c r="L127" s="8" t="s">
        <v>20</v>
      </c>
      <c r="M127" s="8" t="str">
        <f t="shared" si="15"/>
        <v>34Latin America and the Caribbean</v>
      </c>
      <c r="N127" s="8">
        <v>1</v>
      </c>
      <c r="O127" s="8">
        <v>0.93262579999999995</v>
      </c>
      <c r="P127" s="8">
        <v>0.92070609999999997</v>
      </c>
      <c r="Q127" s="8">
        <v>9.5121600000000001E-2</v>
      </c>
      <c r="R127" s="8">
        <v>4.14671E-2</v>
      </c>
    </row>
    <row r="128" spans="1:18" ht="1" customHeight="1">
      <c r="A128" s="80"/>
      <c r="B128" s="8">
        <v>35</v>
      </c>
      <c r="C128" s="8" t="s">
        <v>20</v>
      </c>
      <c r="D128" s="8" t="str">
        <f t="shared" si="14"/>
        <v>35Latin America and the Caribbean</v>
      </c>
      <c r="E128" s="8">
        <v>1</v>
      </c>
      <c r="F128" s="8">
        <v>0.78005930000000001</v>
      </c>
      <c r="G128" s="8">
        <v>0.74186149999999995</v>
      </c>
      <c r="H128" s="8">
        <v>3.2580400000000002E-2</v>
      </c>
      <c r="I128" s="8">
        <v>2.9656100000000001E-2</v>
      </c>
      <c r="J128" s="8"/>
      <c r="K128" s="8">
        <v>35</v>
      </c>
      <c r="L128" s="8" t="s">
        <v>20</v>
      </c>
      <c r="M128" s="8" t="str">
        <f t="shared" si="15"/>
        <v>35Latin America and the Caribbean</v>
      </c>
      <c r="N128" s="8">
        <v>1</v>
      </c>
      <c r="O128" s="8">
        <v>0.93158419999999997</v>
      </c>
      <c r="P128" s="8">
        <v>0.92071409999999998</v>
      </c>
      <c r="Q128" s="8">
        <v>8.6469599999999994E-2</v>
      </c>
      <c r="R128" s="8">
        <v>3.83533E-2</v>
      </c>
    </row>
    <row r="129" spans="1:18" ht="1" customHeight="1">
      <c r="A129" s="80"/>
      <c r="B129" s="8">
        <v>36</v>
      </c>
      <c r="C129" s="8" t="s">
        <v>20</v>
      </c>
      <c r="D129" s="8" t="str">
        <f t="shared" si="14"/>
        <v>36Latin America and the Caribbean</v>
      </c>
      <c r="E129" s="8">
        <v>1</v>
      </c>
      <c r="F129" s="8">
        <v>0.78544250000000004</v>
      </c>
      <c r="G129" s="8">
        <v>0.74683560000000004</v>
      </c>
      <c r="H129" s="8">
        <v>2.8776199999999998E-2</v>
      </c>
      <c r="I129" s="8">
        <v>2.61867E-2</v>
      </c>
      <c r="J129" s="8"/>
      <c r="K129" s="8">
        <v>36</v>
      </c>
      <c r="L129" s="8" t="s">
        <v>20</v>
      </c>
      <c r="M129" s="8" t="str">
        <f t="shared" si="15"/>
        <v>36Latin America and the Caribbean</v>
      </c>
      <c r="N129" s="8">
        <v>1</v>
      </c>
      <c r="O129" s="8">
        <v>0.92979809999999996</v>
      </c>
      <c r="P129" s="8">
        <v>0.91908029999999996</v>
      </c>
      <c r="Q129" s="8">
        <v>8.1337000000000007E-2</v>
      </c>
      <c r="R129" s="8">
        <v>3.61497E-2</v>
      </c>
    </row>
    <row r="130" spans="1:18" ht="1" customHeight="1">
      <c r="A130" s="80"/>
      <c r="B130" s="8">
        <v>37</v>
      </c>
      <c r="C130" s="8" t="s">
        <v>20</v>
      </c>
      <c r="D130" s="8" t="str">
        <f t="shared" si="14"/>
        <v>37Latin America and the Caribbean</v>
      </c>
      <c r="E130" s="8">
        <v>1</v>
      </c>
      <c r="F130" s="8">
        <v>0.79082569999999996</v>
      </c>
      <c r="G130" s="8">
        <v>0.75180970000000003</v>
      </c>
      <c r="H130" s="8">
        <v>2.4972000000000001E-2</v>
      </c>
      <c r="I130" s="8">
        <v>2.2717299999999999E-2</v>
      </c>
      <c r="J130" s="8"/>
      <c r="K130" s="8">
        <v>37</v>
      </c>
      <c r="L130" s="8" t="s">
        <v>20</v>
      </c>
      <c r="M130" s="8" t="str">
        <f t="shared" si="15"/>
        <v>37Latin America and the Caribbean</v>
      </c>
      <c r="N130" s="8">
        <v>1</v>
      </c>
      <c r="O130" s="8">
        <v>0.92801210000000001</v>
      </c>
      <c r="P130" s="8">
        <v>0.91744650000000005</v>
      </c>
      <c r="Q130" s="8">
        <v>7.6204499999999994E-2</v>
      </c>
      <c r="R130" s="8">
        <v>3.39461E-2</v>
      </c>
    </row>
    <row r="131" spans="1:18" ht="1" customHeight="1">
      <c r="A131" s="80"/>
      <c r="B131" s="8">
        <v>38</v>
      </c>
      <c r="C131" s="8" t="s">
        <v>20</v>
      </c>
      <c r="D131" s="8" t="str">
        <f t="shared" si="14"/>
        <v>38Latin America and the Caribbean</v>
      </c>
      <c r="E131" s="8">
        <v>1</v>
      </c>
      <c r="F131" s="8">
        <v>0.79509200000000002</v>
      </c>
      <c r="G131" s="8">
        <v>0.75639120000000004</v>
      </c>
      <c r="H131" s="8">
        <v>2.0996999999999998E-2</v>
      </c>
      <c r="I131" s="8">
        <v>1.8515299999999998E-2</v>
      </c>
      <c r="J131" s="8"/>
      <c r="K131" s="8">
        <v>38</v>
      </c>
      <c r="L131" s="8" t="s">
        <v>20</v>
      </c>
      <c r="M131" s="8" t="str">
        <f t="shared" si="15"/>
        <v>38Latin America and the Caribbean</v>
      </c>
      <c r="N131" s="8">
        <v>1</v>
      </c>
      <c r="O131" s="8">
        <v>0.92375450000000003</v>
      </c>
      <c r="P131" s="8">
        <v>0.91388340000000001</v>
      </c>
      <c r="Q131" s="8">
        <v>7.1992899999999999E-2</v>
      </c>
      <c r="R131" s="8">
        <v>3.11887E-2</v>
      </c>
    </row>
    <row r="132" spans="1:18" ht="1" customHeight="1">
      <c r="A132" s="80"/>
      <c r="B132" s="8">
        <v>39</v>
      </c>
      <c r="C132" s="8" t="s">
        <v>20</v>
      </c>
      <c r="D132" s="8" t="str">
        <f t="shared" si="14"/>
        <v>39Latin America and the Caribbean</v>
      </c>
      <c r="E132" s="8">
        <v>1</v>
      </c>
      <c r="F132" s="8">
        <v>0.79935829999999997</v>
      </c>
      <c r="G132" s="8">
        <v>0.7609728</v>
      </c>
      <c r="H132" s="8">
        <v>1.70219E-2</v>
      </c>
      <c r="I132" s="8">
        <v>1.4313299999999999E-2</v>
      </c>
      <c r="J132" s="8"/>
      <c r="K132" s="8">
        <v>39</v>
      </c>
      <c r="L132" s="8" t="s">
        <v>20</v>
      </c>
      <c r="M132" s="8" t="str">
        <f t="shared" si="15"/>
        <v>39Latin America and the Caribbean</v>
      </c>
      <c r="N132" s="8">
        <v>1</v>
      </c>
      <c r="O132" s="8">
        <v>0.9194968</v>
      </c>
      <c r="P132" s="8">
        <v>0.91032029999999997</v>
      </c>
      <c r="Q132" s="8">
        <v>6.7781300000000003E-2</v>
      </c>
      <c r="R132" s="8">
        <v>2.84312E-2</v>
      </c>
    </row>
    <row r="133" spans="1:18" ht="1" customHeight="1">
      <c r="A133" s="80"/>
      <c r="B133" s="8">
        <v>40</v>
      </c>
      <c r="C133" s="8" t="s">
        <v>20</v>
      </c>
      <c r="D133" s="8" t="str">
        <f t="shared" si="14"/>
        <v>40Latin America and the Caribbean</v>
      </c>
      <c r="E133" s="8">
        <v>1</v>
      </c>
      <c r="F133" s="8">
        <v>0.80492399999999997</v>
      </c>
      <c r="G133" s="8">
        <v>0.76737290000000002</v>
      </c>
      <c r="H133" s="8">
        <v>1.69646E-2</v>
      </c>
      <c r="I133" s="8">
        <v>1.40197E-2</v>
      </c>
      <c r="J133" s="8"/>
      <c r="K133" s="8">
        <v>40</v>
      </c>
      <c r="L133" s="8" t="s">
        <v>20</v>
      </c>
      <c r="M133" s="8" t="str">
        <f t="shared" si="15"/>
        <v>40Latin America and the Caribbean</v>
      </c>
      <c r="N133" s="8">
        <v>1</v>
      </c>
      <c r="O133" s="8">
        <v>0.91372410000000004</v>
      </c>
      <c r="P133" s="8">
        <v>0.90539080000000005</v>
      </c>
      <c r="Q133" s="8">
        <v>6.1758500000000001E-2</v>
      </c>
      <c r="R133" s="8">
        <v>2.52649E-2</v>
      </c>
    </row>
    <row r="134" spans="1:18" ht="1" customHeight="1">
      <c r="A134" s="80"/>
      <c r="B134" s="8">
        <v>0</v>
      </c>
      <c r="C134" s="8" t="s">
        <v>36</v>
      </c>
      <c r="D134" s="8" t="str">
        <f t="shared" si="14"/>
        <v>0Argentina</v>
      </c>
      <c r="E134" s="8">
        <v>1</v>
      </c>
      <c r="F134" s="8">
        <v>0</v>
      </c>
      <c r="G134" s="8">
        <v>0</v>
      </c>
      <c r="H134" s="8">
        <v>0</v>
      </c>
      <c r="I134" s="8">
        <v>0</v>
      </c>
      <c r="J134" s="82"/>
      <c r="K134" s="8">
        <v>0</v>
      </c>
      <c r="L134" s="8" t="s">
        <v>36</v>
      </c>
      <c r="M134" s="8" t="str">
        <f>CONCATENATE(K134,L134)</f>
        <v>0Argentina</v>
      </c>
      <c r="N134" s="8">
        <v>1</v>
      </c>
      <c r="O134" s="8">
        <v>0</v>
      </c>
      <c r="P134" s="8">
        <v>0</v>
      </c>
      <c r="Q134" s="8">
        <v>0</v>
      </c>
      <c r="R134" s="8">
        <v>0</v>
      </c>
    </row>
    <row r="135" spans="1:18" ht="1" customHeight="1">
      <c r="B135" s="8">
        <v>1</v>
      </c>
      <c r="C135" s="8" t="s">
        <v>36</v>
      </c>
      <c r="D135" s="8" t="str">
        <f t="shared" si="14"/>
        <v>1Argentina</v>
      </c>
      <c r="E135" s="8">
        <v>1</v>
      </c>
      <c r="F135" s="8">
        <v>0</v>
      </c>
      <c r="G135" s="8">
        <v>0</v>
      </c>
      <c r="H135" s="8">
        <v>0</v>
      </c>
      <c r="I135" s="8">
        <v>0</v>
      </c>
      <c r="J135" s="7"/>
      <c r="K135" s="8">
        <v>1</v>
      </c>
      <c r="L135" s="8" t="s">
        <v>36</v>
      </c>
      <c r="M135" s="8" t="str">
        <f t="shared" si="15"/>
        <v>1Argentina</v>
      </c>
      <c r="N135" s="8">
        <v>1</v>
      </c>
      <c r="O135" s="8">
        <v>0</v>
      </c>
      <c r="P135" s="8">
        <v>0</v>
      </c>
      <c r="Q135" s="8">
        <v>0</v>
      </c>
      <c r="R135" s="8">
        <v>0</v>
      </c>
    </row>
    <row r="136" spans="1:18" ht="1" customHeight="1">
      <c r="B136" s="8">
        <v>2</v>
      </c>
      <c r="C136" s="8" t="s">
        <v>36</v>
      </c>
      <c r="D136" s="8" t="str">
        <f t="shared" si="14"/>
        <v>2Argentina</v>
      </c>
      <c r="E136" s="8">
        <v>1</v>
      </c>
      <c r="F136" s="8">
        <v>0.1816043</v>
      </c>
      <c r="G136" s="8">
        <v>0.1816043</v>
      </c>
      <c r="H136" s="8">
        <v>0.1816043</v>
      </c>
      <c r="I136" s="8">
        <v>0.14762729999999999</v>
      </c>
      <c r="K136" s="8">
        <v>2</v>
      </c>
      <c r="L136" s="8" t="s">
        <v>36</v>
      </c>
      <c r="M136" s="8" t="str">
        <f t="shared" si="15"/>
        <v>2Argentina</v>
      </c>
      <c r="N136" s="8">
        <v>1</v>
      </c>
      <c r="O136" s="8">
        <v>0.25148949999999998</v>
      </c>
      <c r="P136" s="8">
        <v>0.25148949999999998</v>
      </c>
      <c r="Q136" s="8">
        <v>0.25148949999999998</v>
      </c>
      <c r="R136" s="8">
        <v>8.48082E-2</v>
      </c>
    </row>
    <row r="137" spans="1:18" ht="1" customHeight="1">
      <c r="B137" s="8">
        <v>3</v>
      </c>
      <c r="C137" s="8" t="s">
        <v>36</v>
      </c>
      <c r="D137" s="8" t="str">
        <f t="shared" si="14"/>
        <v>3Argentina</v>
      </c>
      <c r="E137" s="8">
        <v>1</v>
      </c>
      <c r="F137" s="8">
        <v>0.36320849999999999</v>
      </c>
      <c r="G137" s="8">
        <v>0.36320849999999999</v>
      </c>
      <c r="H137" s="8">
        <v>0.36320849999999999</v>
      </c>
      <c r="I137" s="8">
        <v>0.29525459999999998</v>
      </c>
      <c r="K137" s="8">
        <v>3</v>
      </c>
      <c r="L137" s="8" t="s">
        <v>36</v>
      </c>
      <c r="M137" s="8" t="str">
        <f t="shared" si="15"/>
        <v>3Argentina</v>
      </c>
      <c r="N137" s="8">
        <v>1</v>
      </c>
      <c r="O137" s="8">
        <v>0.50297890000000001</v>
      </c>
      <c r="P137" s="8">
        <v>0.50297890000000001</v>
      </c>
      <c r="Q137" s="8">
        <v>0.50297890000000001</v>
      </c>
      <c r="R137" s="8">
        <v>0.1696165</v>
      </c>
    </row>
    <row r="138" spans="1:18" ht="1" customHeight="1">
      <c r="B138" s="8">
        <v>4</v>
      </c>
      <c r="C138" s="8" t="s">
        <v>36</v>
      </c>
      <c r="D138" s="8" t="str">
        <f t="shared" si="14"/>
        <v>4Argentina</v>
      </c>
      <c r="E138" s="8">
        <v>1</v>
      </c>
      <c r="F138" s="8">
        <v>0.57278110000000004</v>
      </c>
      <c r="G138" s="8">
        <v>0.57278110000000004</v>
      </c>
      <c r="H138" s="8">
        <v>0.57278110000000004</v>
      </c>
      <c r="I138" s="8">
        <v>0.48312149999999998</v>
      </c>
      <c r="K138" s="8">
        <v>4</v>
      </c>
      <c r="L138" s="8" t="s">
        <v>36</v>
      </c>
      <c r="M138" s="8" t="str">
        <f t="shared" si="15"/>
        <v>4Argentina</v>
      </c>
      <c r="N138" s="8">
        <v>1</v>
      </c>
      <c r="O138" s="8">
        <v>0.68683959999999999</v>
      </c>
      <c r="P138" s="8">
        <v>0.68683959999999999</v>
      </c>
      <c r="Q138" s="8">
        <v>0.68683959999999999</v>
      </c>
      <c r="R138" s="8">
        <v>0.2536911</v>
      </c>
    </row>
    <row r="139" spans="1:18" ht="1" customHeight="1">
      <c r="B139" s="8">
        <v>5</v>
      </c>
      <c r="C139" s="8" t="s">
        <v>36</v>
      </c>
      <c r="D139" s="8" t="str">
        <f t="shared" si="14"/>
        <v>5Argentina</v>
      </c>
      <c r="E139" s="8">
        <v>1</v>
      </c>
      <c r="F139" s="8">
        <v>0.78235359999999998</v>
      </c>
      <c r="G139" s="8">
        <v>0.78235359999999998</v>
      </c>
      <c r="H139" s="8">
        <v>0.78235359999999998</v>
      </c>
      <c r="I139" s="8">
        <v>0.67098849999999999</v>
      </c>
      <c r="K139" s="8">
        <v>5</v>
      </c>
      <c r="L139" s="8" t="s">
        <v>36</v>
      </c>
      <c r="M139" s="8" t="str">
        <f t="shared" si="15"/>
        <v>5Argentina</v>
      </c>
      <c r="N139" s="8">
        <v>1</v>
      </c>
      <c r="O139" s="8">
        <v>0.87070020000000004</v>
      </c>
      <c r="P139" s="8">
        <v>0.87070020000000004</v>
      </c>
      <c r="Q139" s="8">
        <v>0.87070020000000004</v>
      </c>
      <c r="R139" s="8">
        <v>0.3377658</v>
      </c>
    </row>
    <row r="140" spans="1:18" ht="1" customHeight="1">
      <c r="B140" s="8">
        <v>6</v>
      </c>
      <c r="C140" s="8" t="s">
        <v>36</v>
      </c>
      <c r="D140" s="8" t="str">
        <f t="shared" si="14"/>
        <v>6Argentina</v>
      </c>
      <c r="E140" s="8">
        <v>1</v>
      </c>
      <c r="F140" s="8">
        <v>0.88247180000000003</v>
      </c>
      <c r="G140" s="8">
        <v>0.88247180000000003</v>
      </c>
      <c r="H140" s="8">
        <v>0.88247180000000003</v>
      </c>
      <c r="I140" s="8">
        <v>0.7617121</v>
      </c>
      <c r="K140" s="8">
        <v>6</v>
      </c>
      <c r="L140" s="8" t="s">
        <v>36</v>
      </c>
      <c r="M140" s="8" t="str">
        <f t="shared" si="15"/>
        <v>6Argentina</v>
      </c>
      <c r="N140" s="8">
        <v>1</v>
      </c>
      <c r="O140" s="8">
        <v>0.93193090000000001</v>
      </c>
      <c r="P140" s="8">
        <v>0.93193090000000001</v>
      </c>
      <c r="Q140" s="8">
        <v>0.93193090000000001</v>
      </c>
      <c r="R140" s="8">
        <v>0.36831609999999998</v>
      </c>
    </row>
    <row r="141" spans="1:18" ht="1" customHeight="1">
      <c r="B141" s="8">
        <v>7</v>
      </c>
      <c r="C141" s="8" t="s">
        <v>36</v>
      </c>
      <c r="D141" s="8" t="str">
        <f t="shared" si="14"/>
        <v>7Argentina</v>
      </c>
      <c r="E141" s="8">
        <v>1</v>
      </c>
      <c r="F141" s="8">
        <v>0.98258999999999996</v>
      </c>
      <c r="G141" s="8">
        <v>0.98258999999999996</v>
      </c>
      <c r="H141" s="8">
        <v>0.98258999999999996</v>
      </c>
      <c r="I141" s="8">
        <v>0.85243570000000002</v>
      </c>
      <c r="K141" s="8">
        <v>7</v>
      </c>
      <c r="L141" s="8" t="s">
        <v>36</v>
      </c>
      <c r="M141" s="8" t="str">
        <f t="shared" si="15"/>
        <v>7Argentina</v>
      </c>
      <c r="N141" s="8">
        <v>1</v>
      </c>
      <c r="O141" s="8">
        <v>0.99316170000000004</v>
      </c>
      <c r="P141" s="8">
        <v>0.99316170000000004</v>
      </c>
      <c r="Q141" s="8">
        <v>0.99316170000000004</v>
      </c>
      <c r="R141" s="8">
        <v>0.39886640000000001</v>
      </c>
    </row>
    <row r="142" spans="1:18" ht="1" customHeight="1">
      <c r="B142" s="8">
        <v>8</v>
      </c>
      <c r="C142" s="8" t="s">
        <v>36</v>
      </c>
      <c r="D142" s="8" t="str">
        <f t="shared" si="14"/>
        <v>8Argentina</v>
      </c>
      <c r="E142" s="8">
        <v>1</v>
      </c>
      <c r="F142" s="8">
        <v>0.98881019999999997</v>
      </c>
      <c r="G142" s="8">
        <v>0.98881019999999997</v>
      </c>
      <c r="H142" s="8">
        <v>0.98881019999999997</v>
      </c>
      <c r="I142" s="8">
        <v>0.85708930000000005</v>
      </c>
      <c r="K142" s="8">
        <v>8</v>
      </c>
      <c r="L142" s="8" t="s">
        <v>36</v>
      </c>
      <c r="M142" s="8" t="str">
        <f t="shared" si="15"/>
        <v>8Argentina</v>
      </c>
      <c r="N142" s="8">
        <v>1</v>
      </c>
      <c r="O142" s="8">
        <v>0.9925678</v>
      </c>
      <c r="P142" s="8">
        <v>0.9925678</v>
      </c>
      <c r="Q142" s="8">
        <v>0.9925678</v>
      </c>
      <c r="R142" s="8">
        <v>0.38889839999999998</v>
      </c>
    </row>
    <row r="143" spans="1:18" ht="1" customHeight="1">
      <c r="B143" s="8">
        <v>9</v>
      </c>
      <c r="C143" s="8" t="s">
        <v>36</v>
      </c>
      <c r="D143" s="8" t="str">
        <f t="shared" si="14"/>
        <v>9Argentina</v>
      </c>
      <c r="E143" s="8">
        <v>1</v>
      </c>
      <c r="F143" s="8">
        <v>0.99503039999999998</v>
      </c>
      <c r="G143" s="8">
        <v>0.99503039999999998</v>
      </c>
      <c r="H143" s="8">
        <v>0.99503039999999998</v>
      </c>
      <c r="I143" s="8">
        <v>0.86174289999999998</v>
      </c>
      <c r="K143" s="8">
        <v>9</v>
      </c>
      <c r="L143" s="8" t="s">
        <v>36</v>
      </c>
      <c r="M143" s="8" t="str">
        <f t="shared" si="15"/>
        <v>9Argentina</v>
      </c>
      <c r="N143" s="8">
        <v>1</v>
      </c>
      <c r="O143" s="8">
        <v>0.99197400000000002</v>
      </c>
      <c r="P143" s="8">
        <v>0.99197400000000002</v>
      </c>
      <c r="Q143" s="8">
        <v>0.99197400000000002</v>
      </c>
      <c r="R143" s="8">
        <v>0.3789304</v>
      </c>
    </row>
    <row r="144" spans="1:18" ht="1" customHeight="1">
      <c r="B144" s="8">
        <v>10</v>
      </c>
      <c r="C144" s="8" t="s">
        <v>36</v>
      </c>
      <c r="D144" s="8" t="str">
        <f t="shared" si="14"/>
        <v>10Argentina</v>
      </c>
      <c r="E144" s="8">
        <v>1</v>
      </c>
      <c r="F144" s="8">
        <v>0.99298909999999996</v>
      </c>
      <c r="G144" s="8">
        <v>0.99298909999999996</v>
      </c>
      <c r="H144" s="8">
        <v>0.99298909999999996</v>
      </c>
      <c r="I144" s="8">
        <v>0.86295310000000003</v>
      </c>
      <c r="K144" s="8">
        <v>10</v>
      </c>
      <c r="L144" s="8" t="s">
        <v>36</v>
      </c>
      <c r="M144" s="8" t="str">
        <f t="shared" si="15"/>
        <v>10Argentina</v>
      </c>
      <c r="N144" s="8">
        <v>1</v>
      </c>
      <c r="O144" s="8">
        <v>0.98762249999999996</v>
      </c>
      <c r="P144" s="8">
        <v>0.98762249999999996</v>
      </c>
      <c r="Q144" s="8">
        <v>0.98762249999999996</v>
      </c>
      <c r="R144" s="8">
        <v>0.37543850000000001</v>
      </c>
    </row>
    <row r="145" spans="2:18" ht="1" customHeight="1">
      <c r="B145" s="8">
        <v>11</v>
      </c>
      <c r="C145" s="8" t="s">
        <v>36</v>
      </c>
      <c r="D145" s="8" t="str">
        <f t="shared" si="14"/>
        <v>11Argentina</v>
      </c>
      <c r="E145" s="8">
        <v>1</v>
      </c>
      <c r="F145" s="8">
        <v>0.99094780000000005</v>
      </c>
      <c r="G145" s="8">
        <v>0.99094780000000005</v>
      </c>
      <c r="H145" s="8">
        <v>0.99094780000000005</v>
      </c>
      <c r="I145" s="8">
        <v>0.86416340000000003</v>
      </c>
      <c r="K145" s="8">
        <v>11</v>
      </c>
      <c r="L145" s="8" t="s">
        <v>36</v>
      </c>
      <c r="M145" s="8" t="str">
        <f t="shared" si="15"/>
        <v>11Argentina</v>
      </c>
      <c r="N145" s="8">
        <v>1</v>
      </c>
      <c r="O145" s="8">
        <v>0.98327109999999995</v>
      </c>
      <c r="P145" s="8">
        <v>0.98327109999999995</v>
      </c>
      <c r="Q145" s="8">
        <v>0.98327109999999995</v>
      </c>
      <c r="R145" s="8">
        <v>0.37194660000000002</v>
      </c>
    </row>
    <row r="146" spans="2:18" ht="1" customHeight="1">
      <c r="B146" s="8">
        <v>12</v>
      </c>
      <c r="C146" s="8" t="s">
        <v>36</v>
      </c>
      <c r="D146" s="8" t="str">
        <f t="shared" si="14"/>
        <v>12Argentina</v>
      </c>
      <c r="E146" s="8">
        <v>1</v>
      </c>
      <c r="F146" s="8">
        <v>0.98195710000000003</v>
      </c>
      <c r="G146" s="8">
        <v>0.9814889</v>
      </c>
      <c r="H146" s="8">
        <v>0.98127869999999995</v>
      </c>
      <c r="I146" s="8">
        <v>0.85118179999999999</v>
      </c>
      <c r="K146" s="8">
        <v>12</v>
      </c>
      <c r="L146" s="8" t="s">
        <v>36</v>
      </c>
      <c r="M146" s="8" t="str">
        <f t="shared" si="15"/>
        <v>12Argentina</v>
      </c>
      <c r="N146" s="8">
        <v>1</v>
      </c>
      <c r="O146" s="8">
        <v>0.98120309999999999</v>
      </c>
      <c r="P146" s="8">
        <v>0.98120309999999999</v>
      </c>
      <c r="Q146" s="8">
        <v>0.98099769999999997</v>
      </c>
      <c r="R146" s="8">
        <v>0.39368330000000001</v>
      </c>
    </row>
    <row r="147" spans="2:18" ht="1" customHeight="1">
      <c r="B147" s="8">
        <v>13</v>
      </c>
      <c r="C147" s="8" t="s">
        <v>36</v>
      </c>
      <c r="D147" s="8" t="str">
        <f t="shared" si="14"/>
        <v>13Argentina</v>
      </c>
      <c r="E147" s="8">
        <v>1</v>
      </c>
      <c r="F147" s="8">
        <v>0.97296629999999995</v>
      </c>
      <c r="G147" s="8">
        <v>0.9720299</v>
      </c>
      <c r="H147" s="8">
        <v>0.97160950000000001</v>
      </c>
      <c r="I147" s="8">
        <v>0.83820019999999995</v>
      </c>
      <c r="K147" s="8">
        <v>13</v>
      </c>
      <c r="L147" s="8" t="s">
        <v>36</v>
      </c>
      <c r="M147" s="8" t="str">
        <f t="shared" si="15"/>
        <v>13Argentina</v>
      </c>
      <c r="N147" s="8">
        <v>1</v>
      </c>
      <c r="O147" s="8">
        <v>0.97913499999999998</v>
      </c>
      <c r="P147" s="8">
        <v>0.97913499999999998</v>
      </c>
      <c r="Q147" s="8">
        <v>0.97872420000000004</v>
      </c>
      <c r="R147" s="8">
        <v>0.41542010000000001</v>
      </c>
    </row>
    <row r="148" spans="2:18" ht="1" customHeight="1">
      <c r="B148" s="8">
        <v>14</v>
      </c>
      <c r="C148" s="8" t="s">
        <v>36</v>
      </c>
      <c r="D148" s="8" t="str">
        <f t="shared" si="14"/>
        <v>14Argentina</v>
      </c>
      <c r="E148" s="8">
        <v>1</v>
      </c>
      <c r="F148" s="8">
        <v>0.94367639999999997</v>
      </c>
      <c r="G148" s="8">
        <v>0.93995640000000003</v>
      </c>
      <c r="H148" s="8">
        <v>0.9311161</v>
      </c>
      <c r="I148" s="8">
        <v>0.79820000000000002</v>
      </c>
      <c r="K148" s="8">
        <v>14</v>
      </c>
      <c r="L148" s="8" t="s">
        <v>36</v>
      </c>
      <c r="M148" s="8" t="str">
        <f t="shared" si="15"/>
        <v>14Argentina</v>
      </c>
      <c r="N148" s="8">
        <v>1</v>
      </c>
      <c r="O148" s="8">
        <v>0.97113760000000005</v>
      </c>
      <c r="P148" s="8">
        <v>0.9699217</v>
      </c>
      <c r="Q148" s="8">
        <v>0.96469419999999995</v>
      </c>
      <c r="R148" s="8">
        <v>0.44997140000000002</v>
      </c>
    </row>
    <row r="149" spans="2:18" ht="1" customHeight="1">
      <c r="B149" s="8">
        <v>15</v>
      </c>
      <c r="C149" s="8" t="s">
        <v>36</v>
      </c>
      <c r="D149" s="8" t="str">
        <f t="shared" si="14"/>
        <v>15Argentina</v>
      </c>
      <c r="E149" s="8">
        <v>1</v>
      </c>
      <c r="F149" s="8">
        <v>0.91438660000000005</v>
      </c>
      <c r="G149" s="8">
        <v>0.90788279999999999</v>
      </c>
      <c r="H149" s="8">
        <v>0.89062269999999999</v>
      </c>
      <c r="I149" s="8">
        <v>0.75819979999999998</v>
      </c>
      <c r="K149" s="8">
        <v>15</v>
      </c>
      <c r="L149" s="8" t="s">
        <v>36</v>
      </c>
      <c r="M149" s="8" t="str">
        <f t="shared" si="15"/>
        <v>15Argentina</v>
      </c>
      <c r="N149" s="8">
        <v>1</v>
      </c>
      <c r="O149" s="8">
        <v>0.9631402</v>
      </c>
      <c r="P149" s="8">
        <v>0.96070840000000002</v>
      </c>
      <c r="Q149" s="8">
        <v>0.95066419999999996</v>
      </c>
      <c r="R149" s="8">
        <v>0.48452269999999997</v>
      </c>
    </row>
    <row r="150" spans="2:18" ht="1" customHeight="1">
      <c r="B150" s="8">
        <v>16</v>
      </c>
      <c r="C150" s="8" t="s">
        <v>36</v>
      </c>
      <c r="D150" s="8" t="str">
        <f t="shared" si="14"/>
        <v>16Argentina</v>
      </c>
      <c r="E150" s="8">
        <v>1</v>
      </c>
      <c r="F150" s="8">
        <v>0.87016070000000001</v>
      </c>
      <c r="G150" s="8">
        <v>0.85112980000000005</v>
      </c>
      <c r="H150" s="8">
        <v>0.80089279999999996</v>
      </c>
      <c r="I150" s="8">
        <v>0.69435639999999998</v>
      </c>
      <c r="K150" s="8">
        <v>16</v>
      </c>
      <c r="L150" s="8" t="s">
        <v>36</v>
      </c>
      <c r="M150" s="8" t="str">
        <f t="shared" si="15"/>
        <v>16Argentina</v>
      </c>
      <c r="N150" s="8">
        <v>1</v>
      </c>
      <c r="O150" s="8">
        <v>0.94190510000000005</v>
      </c>
      <c r="P150" s="8">
        <v>0.93229340000000005</v>
      </c>
      <c r="Q150" s="8">
        <v>0.88126950000000004</v>
      </c>
      <c r="R150" s="8">
        <v>0.49199900000000002</v>
      </c>
    </row>
    <row r="151" spans="2:18" ht="1" customHeight="1">
      <c r="B151" s="8">
        <v>17</v>
      </c>
      <c r="C151" s="8" t="s">
        <v>36</v>
      </c>
      <c r="D151" s="8" t="str">
        <f t="shared" si="14"/>
        <v>17Argentina</v>
      </c>
      <c r="E151" s="8">
        <v>1</v>
      </c>
      <c r="F151" s="8">
        <v>0.82593479999999997</v>
      </c>
      <c r="G151" s="8">
        <v>0.79437670000000005</v>
      </c>
      <c r="H151" s="8">
        <v>0.71116290000000004</v>
      </c>
      <c r="I151" s="8">
        <v>0.63051299999999999</v>
      </c>
      <c r="K151" s="8">
        <v>17</v>
      </c>
      <c r="L151" s="8" t="s">
        <v>36</v>
      </c>
      <c r="M151" s="8" t="str">
        <f t="shared" si="15"/>
        <v>17Argentina</v>
      </c>
      <c r="N151" s="8">
        <v>1</v>
      </c>
      <c r="O151" s="8">
        <v>0.92067010000000005</v>
      </c>
      <c r="P151" s="8">
        <v>0.90387839999999997</v>
      </c>
      <c r="Q151" s="8">
        <v>0.81187480000000001</v>
      </c>
      <c r="R151" s="8">
        <v>0.49947540000000001</v>
      </c>
    </row>
    <row r="152" spans="2:18" ht="1" customHeight="1">
      <c r="B152" s="8">
        <v>18</v>
      </c>
      <c r="C152" s="8" t="s">
        <v>36</v>
      </c>
      <c r="D152" s="8" t="str">
        <f t="shared" si="14"/>
        <v>18Argentina</v>
      </c>
      <c r="E152" s="8">
        <v>1</v>
      </c>
      <c r="F152" s="8">
        <v>0.7981163</v>
      </c>
      <c r="G152" s="8">
        <v>0.74100379999999999</v>
      </c>
      <c r="H152" s="8">
        <v>0.59980800000000001</v>
      </c>
      <c r="I152" s="8">
        <v>0.54712150000000004</v>
      </c>
      <c r="K152" s="8">
        <v>18</v>
      </c>
      <c r="L152" s="8" t="s">
        <v>36</v>
      </c>
      <c r="M152" s="8" t="str">
        <f t="shared" si="15"/>
        <v>18Argentina</v>
      </c>
      <c r="N152" s="8">
        <v>1</v>
      </c>
      <c r="O152" s="8">
        <v>0.91149539999999996</v>
      </c>
      <c r="P152" s="8">
        <v>0.88308169999999997</v>
      </c>
      <c r="Q152" s="8">
        <v>0.71454759999999995</v>
      </c>
      <c r="R152" s="8">
        <v>0.48067919999999997</v>
      </c>
    </row>
    <row r="153" spans="2:18" ht="1" customHeight="1">
      <c r="B153" s="8">
        <v>19</v>
      </c>
      <c r="C153" s="8" t="s">
        <v>36</v>
      </c>
      <c r="D153" s="8" t="str">
        <f t="shared" si="14"/>
        <v>19Argentina</v>
      </c>
      <c r="E153" s="8">
        <v>1</v>
      </c>
      <c r="F153" s="8">
        <v>0.77029780000000003</v>
      </c>
      <c r="G153" s="8">
        <v>0.68763070000000004</v>
      </c>
      <c r="H153" s="8">
        <v>0.48845300000000003</v>
      </c>
      <c r="I153" s="8">
        <v>0.46373009999999998</v>
      </c>
      <c r="K153" s="8">
        <v>19</v>
      </c>
      <c r="L153" s="8" t="s">
        <v>36</v>
      </c>
      <c r="M153" s="8" t="str">
        <f t="shared" si="15"/>
        <v>19Argentina</v>
      </c>
      <c r="N153" s="8">
        <v>1</v>
      </c>
      <c r="O153" s="8">
        <v>0.90232089999999998</v>
      </c>
      <c r="P153" s="8">
        <v>0.86228499999999997</v>
      </c>
      <c r="Q153" s="8">
        <v>0.6172204</v>
      </c>
      <c r="R153" s="8">
        <v>0.46188289999999999</v>
      </c>
    </row>
    <row r="154" spans="2:18" ht="1" customHeight="1">
      <c r="B154" s="8">
        <v>20</v>
      </c>
      <c r="C154" s="8" t="s">
        <v>36</v>
      </c>
      <c r="D154" s="8" t="str">
        <f t="shared" si="14"/>
        <v>20Argentina</v>
      </c>
      <c r="E154" s="8">
        <v>1</v>
      </c>
      <c r="F154" s="8">
        <v>0.76745260000000004</v>
      </c>
      <c r="G154" s="8">
        <v>0.66515329999999995</v>
      </c>
      <c r="H154" s="8">
        <v>0.41177140000000001</v>
      </c>
      <c r="I154" s="8">
        <v>0.39586250000000001</v>
      </c>
      <c r="K154" s="8">
        <v>20</v>
      </c>
      <c r="L154" s="8" t="s">
        <v>36</v>
      </c>
      <c r="M154" s="8" t="str">
        <f t="shared" si="15"/>
        <v>20Argentina</v>
      </c>
      <c r="N154" s="8">
        <v>1</v>
      </c>
      <c r="O154" s="8">
        <v>0.91019989999999995</v>
      </c>
      <c r="P154" s="8">
        <v>0.86807630000000002</v>
      </c>
      <c r="Q154" s="8">
        <v>0.56230930000000001</v>
      </c>
      <c r="R154" s="8">
        <v>0.44007020000000002</v>
      </c>
    </row>
    <row r="155" spans="2:18" ht="1" customHeight="1">
      <c r="B155" s="8">
        <v>21</v>
      </c>
      <c r="C155" s="8" t="s">
        <v>36</v>
      </c>
      <c r="D155" s="8" t="str">
        <f t="shared" si="14"/>
        <v>21Argentina</v>
      </c>
      <c r="E155" s="8">
        <v>1</v>
      </c>
      <c r="F155" s="8">
        <v>0.76460740000000005</v>
      </c>
      <c r="G155" s="8">
        <v>0.64267589999999997</v>
      </c>
      <c r="H155" s="8">
        <v>0.33508979999999999</v>
      </c>
      <c r="I155" s="8">
        <v>0.32799489999999998</v>
      </c>
      <c r="K155" s="8">
        <v>21</v>
      </c>
      <c r="L155" s="8" t="s">
        <v>36</v>
      </c>
      <c r="M155" s="8" t="str">
        <f t="shared" si="15"/>
        <v>21Argentina</v>
      </c>
      <c r="N155" s="8">
        <v>1</v>
      </c>
      <c r="O155" s="8">
        <v>0.91807879999999997</v>
      </c>
      <c r="P155" s="8">
        <v>0.87386770000000003</v>
      </c>
      <c r="Q155" s="8">
        <v>0.50739809999999996</v>
      </c>
      <c r="R155" s="8">
        <v>0.4182575</v>
      </c>
    </row>
    <row r="156" spans="2:18" ht="1" customHeight="1">
      <c r="B156" s="8">
        <v>22</v>
      </c>
      <c r="C156" s="8" t="s">
        <v>36</v>
      </c>
      <c r="D156" s="8" t="str">
        <f t="shared" si="14"/>
        <v>22Argentina</v>
      </c>
      <c r="E156" s="8">
        <v>1</v>
      </c>
      <c r="F156" s="8">
        <v>0.76072660000000003</v>
      </c>
      <c r="G156" s="8">
        <v>0.63887769999999999</v>
      </c>
      <c r="H156" s="8">
        <v>0.3000507</v>
      </c>
      <c r="I156" s="8">
        <v>0.29524339999999999</v>
      </c>
      <c r="K156" s="8">
        <v>22</v>
      </c>
      <c r="L156" s="8" t="s">
        <v>36</v>
      </c>
      <c r="M156" s="8" t="str">
        <f t="shared" si="15"/>
        <v>22Argentina</v>
      </c>
      <c r="N156" s="8">
        <v>1</v>
      </c>
      <c r="O156" s="8">
        <v>0.92463899999999999</v>
      </c>
      <c r="P156" s="8">
        <v>0.88446139999999995</v>
      </c>
      <c r="Q156" s="8">
        <v>0.47286119999999998</v>
      </c>
      <c r="R156" s="8">
        <v>0.38995259999999998</v>
      </c>
    </row>
    <row r="157" spans="2:18" ht="1" customHeight="1">
      <c r="B157" s="8">
        <v>23</v>
      </c>
      <c r="C157" s="8" t="s">
        <v>36</v>
      </c>
      <c r="D157" s="8" t="str">
        <f t="shared" si="14"/>
        <v>23Argentina</v>
      </c>
      <c r="E157" s="8">
        <v>1</v>
      </c>
      <c r="F157" s="8">
        <v>0.75684580000000001</v>
      </c>
      <c r="G157" s="8">
        <v>0.63507950000000002</v>
      </c>
      <c r="H157" s="8">
        <v>0.26501170000000002</v>
      </c>
      <c r="I157" s="8">
        <v>0.2624919</v>
      </c>
      <c r="K157" s="8">
        <v>23</v>
      </c>
      <c r="L157" s="8" t="s">
        <v>36</v>
      </c>
      <c r="M157" s="8" t="str">
        <f t="shared" si="15"/>
        <v>23Argentina</v>
      </c>
      <c r="N157" s="8">
        <v>1</v>
      </c>
      <c r="O157" s="8">
        <v>0.9311992</v>
      </c>
      <c r="P157" s="8">
        <v>0.89505509999999999</v>
      </c>
      <c r="Q157" s="8">
        <v>0.4383243</v>
      </c>
      <c r="R157" s="8">
        <v>0.36164770000000002</v>
      </c>
    </row>
    <row r="158" spans="2:18" ht="1" customHeight="1">
      <c r="B158" s="8">
        <v>24</v>
      </c>
      <c r="C158" s="8" t="s">
        <v>36</v>
      </c>
      <c r="D158" s="8" t="str">
        <f t="shared" ref="D158:D221" si="16">CONCATENATE(B158,C158)</f>
        <v>24Argentina</v>
      </c>
      <c r="E158" s="8">
        <v>1</v>
      </c>
      <c r="F158" s="8">
        <v>0.75146029999999997</v>
      </c>
      <c r="G158" s="8">
        <v>0.63950149999999994</v>
      </c>
      <c r="H158" s="8">
        <v>0.2404309</v>
      </c>
      <c r="I158" s="8">
        <v>0.2329669</v>
      </c>
      <c r="K158" s="8">
        <v>24</v>
      </c>
      <c r="L158" s="8" t="s">
        <v>36</v>
      </c>
      <c r="M158" s="8" t="str">
        <f t="shared" ref="M158:M221" si="17">CONCATENATE(K158,L158)</f>
        <v>24Argentina</v>
      </c>
      <c r="N158" s="8">
        <v>1</v>
      </c>
      <c r="O158" s="8">
        <v>0.93537369999999997</v>
      </c>
      <c r="P158" s="8">
        <v>0.89911569999999996</v>
      </c>
      <c r="Q158" s="8">
        <v>0.38400210000000001</v>
      </c>
      <c r="R158" s="8">
        <v>0.31802960000000002</v>
      </c>
    </row>
    <row r="159" spans="2:18" ht="1" customHeight="1">
      <c r="B159" s="8">
        <v>25</v>
      </c>
      <c r="C159" s="8" t="s">
        <v>36</v>
      </c>
      <c r="D159" s="8" t="str">
        <f t="shared" si="16"/>
        <v>25Argentina</v>
      </c>
      <c r="E159" s="8">
        <v>1</v>
      </c>
      <c r="F159" s="8">
        <v>0.74607480000000004</v>
      </c>
      <c r="G159" s="8">
        <v>0.64392340000000003</v>
      </c>
      <c r="H159" s="8">
        <v>0.21585009999999999</v>
      </c>
      <c r="I159" s="8">
        <v>0.20344180000000001</v>
      </c>
      <c r="K159" s="8">
        <v>25</v>
      </c>
      <c r="L159" s="8" t="s">
        <v>36</v>
      </c>
      <c r="M159" s="8" t="str">
        <f t="shared" si="17"/>
        <v>25Argentina</v>
      </c>
      <c r="N159" s="8">
        <v>1</v>
      </c>
      <c r="O159" s="8">
        <v>0.9395481</v>
      </c>
      <c r="P159" s="8">
        <v>0.90317630000000004</v>
      </c>
      <c r="Q159" s="8">
        <v>0.32967999999999997</v>
      </c>
      <c r="R159" s="8">
        <v>0.27441140000000003</v>
      </c>
    </row>
    <row r="160" spans="2:18" ht="1" customHeight="1">
      <c r="B160" s="8">
        <v>26</v>
      </c>
      <c r="C160" s="8" t="s">
        <v>36</v>
      </c>
      <c r="D160" s="8" t="str">
        <f t="shared" si="16"/>
        <v>26Argentina</v>
      </c>
      <c r="E160" s="8">
        <v>1</v>
      </c>
      <c r="F160" s="8">
        <v>0.74398109999999995</v>
      </c>
      <c r="G160" s="8">
        <v>0.65509689999999998</v>
      </c>
      <c r="H160" s="8">
        <v>0.19178120000000001</v>
      </c>
      <c r="I160" s="8">
        <v>0.17231250000000001</v>
      </c>
      <c r="K160" s="8">
        <v>26</v>
      </c>
      <c r="L160" s="8" t="s">
        <v>36</v>
      </c>
      <c r="M160" s="8" t="str">
        <f t="shared" si="17"/>
        <v>26Argentina</v>
      </c>
      <c r="N160" s="8">
        <v>1</v>
      </c>
      <c r="O160" s="8">
        <v>0.94230080000000005</v>
      </c>
      <c r="P160" s="8">
        <v>0.90815900000000005</v>
      </c>
      <c r="Q160" s="8">
        <v>0.27886660000000002</v>
      </c>
      <c r="R160" s="8">
        <v>0.22994120000000001</v>
      </c>
    </row>
    <row r="161" spans="2:18" ht="1" customHeight="1">
      <c r="B161" s="8">
        <v>27</v>
      </c>
      <c r="C161" s="8" t="s">
        <v>36</v>
      </c>
      <c r="D161" s="8" t="str">
        <f t="shared" si="16"/>
        <v>27Argentina</v>
      </c>
      <c r="E161" s="8">
        <v>1</v>
      </c>
      <c r="F161" s="8">
        <v>0.74188730000000003</v>
      </c>
      <c r="G161" s="8">
        <v>0.66627040000000004</v>
      </c>
      <c r="H161" s="8">
        <v>0.16771230000000001</v>
      </c>
      <c r="I161" s="8">
        <v>0.14118320000000001</v>
      </c>
      <c r="K161" s="8">
        <v>27</v>
      </c>
      <c r="L161" s="8" t="s">
        <v>36</v>
      </c>
      <c r="M161" s="8" t="str">
        <f t="shared" si="17"/>
        <v>27Argentina</v>
      </c>
      <c r="N161" s="8">
        <v>1</v>
      </c>
      <c r="O161" s="8">
        <v>0.94505349999999999</v>
      </c>
      <c r="P161" s="8">
        <v>0.91314169999999995</v>
      </c>
      <c r="Q161" s="8">
        <v>0.22805329999999999</v>
      </c>
      <c r="R161" s="8">
        <v>0.1854711</v>
      </c>
    </row>
    <row r="162" spans="2:18" ht="1" customHeight="1">
      <c r="B162" s="8">
        <v>28</v>
      </c>
      <c r="C162" s="8" t="s">
        <v>36</v>
      </c>
      <c r="D162" s="8" t="str">
        <f t="shared" si="16"/>
        <v>28Argentina</v>
      </c>
      <c r="E162" s="8">
        <v>1</v>
      </c>
      <c r="F162" s="8">
        <v>0.74313790000000002</v>
      </c>
      <c r="G162" s="8">
        <v>0.67282830000000005</v>
      </c>
      <c r="H162" s="8">
        <v>0.14959790000000001</v>
      </c>
      <c r="I162" s="8">
        <v>0.13103509999999999</v>
      </c>
      <c r="K162" s="8">
        <v>28</v>
      </c>
      <c r="L162" s="8" t="s">
        <v>36</v>
      </c>
      <c r="M162" s="8" t="str">
        <f t="shared" si="17"/>
        <v>28Argentina</v>
      </c>
      <c r="N162" s="8">
        <v>1</v>
      </c>
      <c r="O162" s="8">
        <v>0.94965980000000005</v>
      </c>
      <c r="P162" s="8">
        <v>0.92279339999999999</v>
      </c>
      <c r="Q162" s="8">
        <v>0.2064397</v>
      </c>
      <c r="R162" s="8">
        <v>0.16286729999999999</v>
      </c>
    </row>
    <row r="163" spans="2:18" ht="1" customHeight="1">
      <c r="B163" s="8">
        <v>29</v>
      </c>
      <c r="C163" s="8" t="s">
        <v>36</v>
      </c>
      <c r="D163" s="8" t="str">
        <f t="shared" si="16"/>
        <v>29Argentina</v>
      </c>
      <c r="E163" s="8">
        <v>1</v>
      </c>
      <c r="F163" s="8">
        <v>0.74438850000000001</v>
      </c>
      <c r="G163" s="8">
        <v>0.67938609999999999</v>
      </c>
      <c r="H163" s="8">
        <v>0.1314835</v>
      </c>
      <c r="I163" s="8">
        <v>0.12088699999999999</v>
      </c>
      <c r="K163" s="8">
        <v>29</v>
      </c>
      <c r="L163" s="8" t="s">
        <v>36</v>
      </c>
      <c r="M163" s="8" t="str">
        <f t="shared" si="17"/>
        <v>29Argentina</v>
      </c>
      <c r="N163" s="8">
        <v>1</v>
      </c>
      <c r="O163" s="8">
        <v>0.95426619999999995</v>
      </c>
      <c r="P163" s="8">
        <v>0.93244519999999997</v>
      </c>
      <c r="Q163" s="8">
        <v>0.18482599999999999</v>
      </c>
      <c r="R163" s="8">
        <v>0.14026350000000001</v>
      </c>
    </row>
    <row r="164" spans="2:18" ht="1" customHeight="1">
      <c r="B164" s="8">
        <v>30</v>
      </c>
      <c r="C164" s="8" t="s">
        <v>36</v>
      </c>
      <c r="D164" s="8" t="str">
        <f t="shared" si="16"/>
        <v>30Argentina</v>
      </c>
      <c r="E164" s="8">
        <v>1</v>
      </c>
      <c r="F164" s="8">
        <v>0.75805509999999998</v>
      </c>
      <c r="G164" s="8">
        <v>0.68900980000000001</v>
      </c>
      <c r="H164" s="8">
        <v>0.12232410000000001</v>
      </c>
      <c r="I164" s="8">
        <v>0.1185358</v>
      </c>
      <c r="K164" s="8">
        <v>30</v>
      </c>
      <c r="L164" s="8" t="s">
        <v>36</v>
      </c>
      <c r="M164" s="8" t="str">
        <f t="shared" si="17"/>
        <v>30Argentina</v>
      </c>
      <c r="N164" s="8">
        <v>1</v>
      </c>
      <c r="O164" s="8">
        <v>0.95920950000000005</v>
      </c>
      <c r="P164" s="8">
        <v>0.94283870000000003</v>
      </c>
      <c r="Q164" s="8">
        <v>0.1665305</v>
      </c>
      <c r="R164" s="8">
        <v>0.1230364</v>
      </c>
    </row>
    <row r="165" spans="2:18" ht="1" customHeight="1">
      <c r="B165" s="8">
        <v>31</v>
      </c>
      <c r="C165" s="8" t="s">
        <v>36</v>
      </c>
      <c r="D165" s="8" t="str">
        <f t="shared" si="16"/>
        <v>31Argentina</v>
      </c>
      <c r="E165" s="8">
        <v>1</v>
      </c>
      <c r="F165" s="8">
        <v>0.77172169999999995</v>
      </c>
      <c r="G165" s="8">
        <v>0.69863339999999996</v>
      </c>
      <c r="H165" s="8">
        <v>0.11316469999999999</v>
      </c>
      <c r="I165" s="8">
        <v>0.1161846</v>
      </c>
      <c r="K165" s="8">
        <v>31</v>
      </c>
      <c r="L165" s="8" t="s">
        <v>36</v>
      </c>
      <c r="M165" s="8" t="str">
        <f t="shared" si="17"/>
        <v>31Argentina</v>
      </c>
      <c r="N165" s="8">
        <v>1</v>
      </c>
      <c r="O165" s="8">
        <v>0.96415280000000003</v>
      </c>
      <c r="P165" s="8">
        <v>0.95323219999999997</v>
      </c>
      <c r="Q165" s="8">
        <v>0.14823500000000001</v>
      </c>
      <c r="R165" s="8">
        <v>0.10580920000000001</v>
      </c>
    </row>
    <row r="166" spans="2:18" ht="1" customHeight="1">
      <c r="B166" s="8">
        <v>32</v>
      </c>
      <c r="C166" s="8" t="s">
        <v>36</v>
      </c>
      <c r="D166" s="8" t="str">
        <f t="shared" si="16"/>
        <v>32Argentina</v>
      </c>
      <c r="E166" s="8">
        <v>1</v>
      </c>
      <c r="F166" s="8">
        <v>0.76998900000000003</v>
      </c>
      <c r="G166" s="8">
        <v>0.70345349999999995</v>
      </c>
      <c r="H166" s="8">
        <v>0.10682410000000001</v>
      </c>
      <c r="I166" s="8">
        <v>0.1051062</v>
      </c>
      <c r="K166" s="8">
        <v>32</v>
      </c>
      <c r="L166" s="8" t="s">
        <v>36</v>
      </c>
      <c r="M166" s="8" t="str">
        <f t="shared" si="17"/>
        <v>32Argentina</v>
      </c>
      <c r="N166" s="8">
        <v>1</v>
      </c>
      <c r="O166" s="8">
        <v>0.96118899999999996</v>
      </c>
      <c r="P166" s="8">
        <v>0.95250270000000004</v>
      </c>
      <c r="Q166" s="8">
        <v>0.1190243</v>
      </c>
      <c r="R166" s="8">
        <v>8.1771300000000005E-2</v>
      </c>
    </row>
    <row r="167" spans="2:18" ht="1" customHeight="1">
      <c r="B167" s="8">
        <v>33</v>
      </c>
      <c r="C167" s="8" t="s">
        <v>36</v>
      </c>
      <c r="D167" s="8" t="str">
        <f t="shared" si="16"/>
        <v>33Argentina</v>
      </c>
      <c r="E167" s="8">
        <v>1</v>
      </c>
      <c r="F167" s="8">
        <v>0.76825619999999994</v>
      </c>
      <c r="G167" s="8">
        <v>0.70827359999999995</v>
      </c>
      <c r="H167" s="8">
        <v>0.1004834</v>
      </c>
      <c r="I167" s="8">
        <v>9.4027700000000006E-2</v>
      </c>
      <c r="K167" s="8">
        <v>33</v>
      </c>
      <c r="L167" s="8" t="s">
        <v>36</v>
      </c>
      <c r="M167" s="8" t="str">
        <f t="shared" si="17"/>
        <v>33Argentina</v>
      </c>
      <c r="N167" s="8">
        <v>1</v>
      </c>
      <c r="O167" s="8">
        <v>0.95822510000000005</v>
      </c>
      <c r="P167" s="8">
        <v>0.95177330000000004</v>
      </c>
      <c r="Q167" s="8">
        <v>8.9813599999999993E-2</v>
      </c>
      <c r="R167" s="8">
        <v>5.7733399999999997E-2</v>
      </c>
    </row>
    <row r="168" spans="2:18" ht="1" customHeight="1">
      <c r="B168" s="8">
        <v>34</v>
      </c>
      <c r="C168" s="8" t="s">
        <v>36</v>
      </c>
      <c r="D168" s="8" t="str">
        <f t="shared" si="16"/>
        <v>34Argentina</v>
      </c>
      <c r="E168" s="8">
        <v>1</v>
      </c>
      <c r="F168" s="8">
        <v>0.7489306</v>
      </c>
      <c r="G168" s="8">
        <v>0.69676700000000003</v>
      </c>
      <c r="H168" s="8">
        <v>9.0540499999999996E-2</v>
      </c>
      <c r="I168" s="8">
        <v>8.2558300000000001E-2</v>
      </c>
      <c r="K168" s="8">
        <v>34</v>
      </c>
      <c r="L168" s="8" t="s">
        <v>36</v>
      </c>
      <c r="M168" s="8" t="str">
        <f t="shared" si="17"/>
        <v>34Argentina</v>
      </c>
      <c r="N168" s="8">
        <v>1</v>
      </c>
      <c r="O168" s="8">
        <v>0.94804639999999996</v>
      </c>
      <c r="P168" s="8">
        <v>0.9392819</v>
      </c>
      <c r="Q168" s="8">
        <v>7.7214000000000005E-2</v>
      </c>
      <c r="R168" s="8">
        <v>4.7855599999999998E-2</v>
      </c>
    </row>
    <row r="169" spans="2:18" ht="1" customHeight="1">
      <c r="B169" s="8">
        <v>35</v>
      </c>
      <c r="C169" s="8" t="s">
        <v>36</v>
      </c>
      <c r="D169" s="8" t="str">
        <f t="shared" si="16"/>
        <v>35Argentina</v>
      </c>
      <c r="E169" s="8">
        <v>1</v>
      </c>
      <c r="F169" s="8">
        <v>0.72960499999999995</v>
      </c>
      <c r="G169" s="8">
        <v>0.68526050000000005</v>
      </c>
      <c r="H169" s="8">
        <v>8.0597699999999994E-2</v>
      </c>
      <c r="I169" s="8">
        <v>7.1088899999999997E-2</v>
      </c>
      <c r="K169" s="8">
        <v>35</v>
      </c>
      <c r="L169" s="8" t="s">
        <v>36</v>
      </c>
      <c r="M169" s="8" t="str">
        <f t="shared" si="17"/>
        <v>35Argentina</v>
      </c>
      <c r="N169" s="8">
        <v>1</v>
      </c>
      <c r="O169" s="8">
        <v>0.93786760000000002</v>
      </c>
      <c r="P169" s="8">
        <v>0.92679060000000002</v>
      </c>
      <c r="Q169" s="8">
        <v>6.4614500000000005E-2</v>
      </c>
      <c r="R169" s="8">
        <v>3.7977799999999999E-2</v>
      </c>
    </row>
    <row r="170" spans="2:18" ht="1" customHeight="1">
      <c r="B170" s="8">
        <v>36</v>
      </c>
      <c r="C170" s="8" t="s">
        <v>36</v>
      </c>
      <c r="D170" s="8" t="str">
        <f t="shared" si="16"/>
        <v>36Argentina</v>
      </c>
      <c r="E170" s="8">
        <v>1</v>
      </c>
      <c r="F170" s="8">
        <v>0.73127390000000003</v>
      </c>
      <c r="G170" s="8">
        <v>0.68595289999999998</v>
      </c>
      <c r="H170" s="8">
        <v>7.0480200000000007E-2</v>
      </c>
      <c r="I170" s="8">
        <v>6.4465499999999995E-2</v>
      </c>
      <c r="K170" s="8">
        <v>36</v>
      </c>
      <c r="L170" s="8" t="s">
        <v>36</v>
      </c>
      <c r="M170" s="8" t="str">
        <f t="shared" si="17"/>
        <v>36Argentina</v>
      </c>
      <c r="N170" s="8">
        <v>1</v>
      </c>
      <c r="O170" s="8">
        <v>0.93498270000000006</v>
      </c>
      <c r="P170" s="8">
        <v>0.92411489999999996</v>
      </c>
      <c r="Q170" s="8">
        <v>6.1330299999999997E-2</v>
      </c>
      <c r="R170" s="8">
        <v>3.5752399999999997E-2</v>
      </c>
    </row>
    <row r="171" spans="2:18" ht="1" customHeight="1">
      <c r="B171" s="8">
        <v>37</v>
      </c>
      <c r="C171" s="8" t="s">
        <v>36</v>
      </c>
      <c r="D171" s="8" t="str">
        <f t="shared" si="16"/>
        <v>37Argentina</v>
      </c>
      <c r="E171" s="8">
        <v>1</v>
      </c>
      <c r="F171" s="8">
        <v>0.73294289999999995</v>
      </c>
      <c r="G171" s="8">
        <v>0.68664530000000001</v>
      </c>
      <c r="H171" s="8">
        <v>6.0362800000000001E-2</v>
      </c>
      <c r="I171" s="8">
        <v>5.78421E-2</v>
      </c>
      <c r="K171" s="8">
        <v>37</v>
      </c>
      <c r="L171" s="8" t="s">
        <v>36</v>
      </c>
      <c r="M171" s="8" t="str">
        <f t="shared" si="17"/>
        <v>37Argentina</v>
      </c>
      <c r="N171" s="8">
        <v>1</v>
      </c>
      <c r="O171" s="8">
        <v>0.93209770000000003</v>
      </c>
      <c r="P171" s="8">
        <v>0.92143920000000001</v>
      </c>
      <c r="Q171" s="8">
        <v>5.8046100000000003E-2</v>
      </c>
      <c r="R171" s="8">
        <v>3.3527000000000001E-2</v>
      </c>
    </row>
    <row r="172" spans="2:18" ht="1" customHeight="1">
      <c r="B172" s="8">
        <v>38</v>
      </c>
      <c r="C172" s="8" t="s">
        <v>36</v>
      </c>
      <c r="D172" s="8" t="str">
        <f t="shared" si="16"/>
        <v>38Argentina</v>
      </c>
      <c r="E172" s="8">
        <v>1</v>
      </c>
      <c r="F172" s="8">
        <v>0.75770159999999998</v>
      </c>
      <c r="G172" s="8">
        <v>0.71091289999999996</v>
      </c>
      <c r="H172" s="8">
        <v>5.2379799999999997E-2</v>
      </c>
      <c r="I172" s="8">
        <v>5.0495600000000002E-2</v>
      </c>
      <c r="K172" s="8">
        <v>38</v>
      </c>
      <c r="L172" s="8" t="s">
        <v>36</v>
      </c>
      <c r="M172" s="8" t="str">
        <f t="shared" si="17"/>
        <v>38Argentina</v>
      </c>
      <c r="N172" s="8">
        <v>1</v>
      </c>
      <c r="O172" s="8">
        <v>0.93959029999999999</v>
      </c>
      <c r="P172" s="8">
        <v>0.93088130000000002</v>
      </c>
      <c r="Q172" s="8">
        <v>4.72758E-2</v>
      </c>
      <c r="R172" s="8">
        <v>2.6947100000000002E-2</v>
      </c>
    </row>
    <row r="173" spans="2:18" ht="1" customHeight="1">
      <c r="B173" s="8">
        <v>39</v>
      </c>
      <c r="C173" s="8" t="s">
        <v>36</v>
      </c>
      <c r="D173" s="8" t="str">
        <f t="shared" si="16"/>
        <v>39Argentina</v>
      </c>
      <c r="E173" s="8">
        <v>1</v>
      </c>
      <c r="F173" s="8">
        <v>0.7824603</v>
      </c>
      <c r="G173" s="8">
        <v>0.73518050000000001</v>
      </c>
      <c r="H173" s="8">
        <v>4.43968E-2</v>
      </c>
      <c r="I173" s="8">
        <v>4.3149199999999999E-2</v>
      </c>
      <c r="K173" s="8">
        <v>39</v>
      </c>
      <c r="L173" s="8" t="s">
        <v>36</v>
      </c>
      <c r="M173" s="8" t="str">
        <f t="shared" si="17"/>
        <v>39Argentina</v>
      </c>
      <c r="N173" s="8">
        <v>1</v>
      </c>
      <c r="O173" s="8">
        <v>0.94708300000000001</v>
      </c>
      <c r="P173" s="8">
        <v>0.94032349999999998</v>
      </c>
      <c r="Q173" s="8">
        <v>3.6505500000000003E-2</v>
      </c>
      <c r="R173" s="8">
        <v>2.0367199999999998E-2</v>
      </c>
    </row>
    <row r="174" spans="2:18" ht="1" customHeight="1">
      <c r="B174" s="8">
        <v>40</v>
      </c>
      <c r="C174" s="8" t="s">
        <v>36</v>
      </c>
      <c r="D174" s="8" t="str">
        <f t="shared" si="16"/>
        <v>40Argentina</v>
      </c>
      <c r="E174" s="8">
        <v>1</v>
      </c>
      <c r="F174" s="8">
        <v>0.80935440000000003</v>
      </c>
      <c r="G174" s="8">
        <v>0.76198370000000004</v>
      </c>
      <c r="H174" s="8">
        <v>4.3652999999999997E-2</v>
      </c>
      <c r="I174" s="8">
        <v>4.0394800000000002E-2</v>
      </c>
      <c r="K174" s="8">
        <v>40</v>
      </c>
      <c r="L174" s="8" t="s">
        <v>36</v>
      </c>
      <c r="M174" s="8" t="str">
        <f t="shared" si="17"/>
        <v>40Argentina</v>
      </c>
      <c r="N174" s="8">
        <v>1</v>
      </c>
      <c r="O174" s="8">
        <v>0.94846019999999998</v>
      </c>
      <c r="P174" s="8">
        <v>0.94033089999999997</v>
      </c>
      <c r="Q174" s="8">
        <v>3.03101E-2</v>
      </c>
      <c r="R174" s="8">
        <v>1.9149099999999999E-2</v>
      </c>
    </row>
    <row r="175" spans="2:18" ht="1" customHeight="1">
      <c r="B175" s="8">
        <v>0</v>
      </c>
      <c r="C175" s="8" t="s">
        <v>39</v>
      </c>
      <c r="D175" s="8" t="str">
        <f t="shared" si="16"/>
        <v>0Bolivia</v>
      </c>
      <c r="E175" s="8"/>
      <c r="F175" s="8"/>
      <c r="G175" s="8"/>
      <c r="H175" s="8"/>
      <c r="I175" s="8"/>
      <c r="K175" s="8">
        <v>0</v>
      </c>
      <c r="L175" s="8" t="s">
        <v>39</v>
      </c>
      <c r="M175" s="8" t="str">
        <f t="shared" si="17"/>
        <v>0Bolivia</v>
      </c>
      <c r="N175" s="8"/>
      <c r="O175" s="8"/>
      <c r="P175" s="8"/>
      <c r="Q175" s="8"/>
      <c r="R175" s="8"/>
    </row>
    <row r="176" spans="2:18" ht="1" customHeight="1">
      <c r="B176" s="8">
        <v>1</v>
      </c>
      <c r="C176" s="8" t="s">
        <v>39</v>
      </c>
      <c r="D176" s="8" t="str">
        <f t="shared" si="16"/>
        <v>1Bolivia</v>
      </c>
      <c r="E176" s="8"/>
      <c r="F176" s="8"/>
      <c r="G176" s="8"/>
      <c r="H176" s="8"/>
      <c r="I176" s="8"/>
      <c r="K176" s="8">
        <v>1</v>
      </c>
      <c r="L176" s="8" t="s">
        <v>39</v>
      </c>
      <c r="M176" s="8" t="str">
        <f t="shared" si="17"/>
        <v>1Bolivia</v>
      </c>
      <c r="N176" s="8"/>
      <c r="O176" s="8"/>
      <c r="P176" s="8"/>
      <c r="Q176" s="8"/>
      <c r="R176" s="8"/>
    </row>
    <row r="177" spans="2:18" ht="1" customHeight="1">
      <c r="B177" s="8">
        <v>2</v>
      </c>
      <c r="C177" s="8" t="s">
        <v>39</v>
      </c>
      <c r="D177" s="8" t="str">
        <f t="shared" si="16"/>
        <v>2Bolivia</v>
      </c>
      <c r="E177" s="8"/>
      <c r="F177" s="8"/>
      <c r="G177" s="8"/>
      <c r="H177" s="8"/>
      <c r="I177" s="8"/>
      <c r="K177" s="8">
        <v>2</v>
      </c>
      <c r="L177" s="8" t="s">
        <v>39</v>
      </c>
      <c r="M177" s="8" t="str">
        <f t="shared" si="17"/>
        <v>2Bolivia</v>
      </c>
      <c r="N177" s="8"/>
      <c r="O177" s="8"/>
      <c r="P177" s="8"/>
      <c r="Q177" s="8"/>
      <c r="R177" s="8"/>
    </row>
    <row r="178" spans="2:18" ht="1" customHeight="1">
      <c r="B178" s="8">
        <v>3</v>
      </c>
      <c r="C178" s="8" t="s">
        <v>39</v>
      </c>
      <c r="D178" s="8" t="str">
        <f t="shared" si="16"/>
        <v>3Bolivia</v>
      </c>
      <c r="E178" s="8"/>
      <c r="F178" s="8"/>
      <c r="G178" s="8"/>
      <c r="H178" s="8"/>
      <c r="I178" s="8"/>
      <c r="K178" s="8">
        <v>3</v>
      </c>
      <c r="L178" s="8" t="s">
        <v>39</v>
      </c>
      <c r="M178" s="8" t="str">
        <f t="shared" si="17"/>
        <v>3Bolivia</v>
      </c>
      <c r="N178" s="8"/>
      <c r="O178" s="8"/>
      <c r="P178" s="8"/>
      <c r="Q178" s="8"/>
      <c r="R178" s="8"/>
    </row>
    <row r="179" spans="2:18" ht="1" customHeight="1">
      <c r="B179" s="8">
        <v>4</v>
      </c>
      <c r="C179" s="8" t="s">
        <v>39</v>
      </c>
      <c r="D179" s="8" t="str">
        <f t="shared" si="16"/>
        <v>4Bolivia</v>
      </c>
      <c r="E179" s="8"/>
      <c r="F179" s="8"/>
      <c r="G179" s="8"/>
      <c r="H179" s="8"/>
      <c r="I179" s="8"/>
      <c r="K179" s="8">
        <v>4</v>
      </c>
      <c r="L179" s="8" t="s">
        <v>39</v>
      </c>
      <c r="M179" s="8" t="str">
        <f t="shared" si="17"/>
        <v>4Bolivia</v>
      </c>
      <c r="N179" s="8"/>
      <c r="O179" s="8"/>
      <c r="P179" s="8"/>
      <c r="Q179" s="8"/>
      <c r="R179" s="8"/>
    </row>
    <row r="180" spans="2:18" ht="1" customHeight="1">
      <c r="B180" s="8">
        <v>5</v>
      </c>
      <c r="C180" s="8" t="s">
        <v>39</v>
      </c>
      <c r="D180" s="8" t="str">
        <f t="shared" si="16"/>
        <v>5Bolivia</v>
      </c>
      <c r="E180" s="8">
        <v>1</v>
      </c>
      <c r="F180" s="8">
        <v>0.61153469999999999</v>
      </c>
      <c r="G180" s="8">
        <v>0.61153469999999999</v>
      </c>
      <c r="H180" s="8">
        <v>0.61153469999999999</v>
      </c>
      <c r="I180" s="8">
        <v>0.60141999999999995</v>
      </c>
      <c r="K180" s="8">
        <v>5</v>
      </c>
      <c r="L180" s="8" t="s">
        <v>39</v>
      </c>
      <c r="M180" s="8" t="str">
        <f t="shared" si="17"/>
        <v>5Bolivia</v>
      </c>
      <c r="N180" s="8">
        <v>1</v>
      </c>
      <c r="O180" s="8">
        <v>0.79164619999999997</v>
      </c>
      <c r="P180" s="8">
        <v>0.79164619999999997</v>
      </c>
      <c r="Q180" s="8">
        <v>0.79164619999999997</v>
      </c>
      <c r="R180" s="8">
        <v>0.55562210000000001</v>
      </c>
    </row>
    <row r="181" spans="2:18" ht="1" customHeight="1">
      <c r="B181" s="8">
        <v>6</v>
      </c>
      <c r="C181" s="8" t="s">
        <v>39</v>
      </c>
      <c r="D181" s="8" t="str">
        <f t="shared" si="16"/>
        <v>6Bolivia</v>
      </c>
      <c r="E181" s="8">
        <v>1</v>
      </c>
      <c r="F181" s="8">
        <v>0.74526820000000005</v>
      </c>
      <c r="G181" s="8">
        <v>0.74526820000000005</v>
      </c>
      <c r="H181" s="8">
        <v>0.74051109999999998</v>
      </c>
      <c r="I181" s="8">
        <v>0.73145649999999995</v>
      </c>
      <c r="K181" s="8">
        <v>6</v>
      </c>
      <c r="L181" s="8" t="s">
        <v>39</v>
      </c>
      <c r="M181" s="8" t="str">
        <f t="shared" si="17"/>
        <v>6Bolivia</v>
      </c>
      <c r="N181" s="8">
        <v>1</v>
      </c>
      <c r="O181" s="8">
        <v>0.86782999999999999</v>
      </c>
      <c r="P181" s="8">
        <v>0.86782999999999999</v>
      </c>
      <c r="Q181" s="8">
        <v>0.86536820000000003</v>
      </c>
      <c r="R181" s="8">
        <v>0.65683519999999995</v>
      </c>
    </row>
    <row r="182" spans="2:18" ht="1" customHeight="1">
      <c r="B182" s="8">
        <v>7</v>
      </c>
      <c r="C182" s="8" t="s">
        <v>39</v>
      </c>
      <c r="D182" s="8" t="str">
        <f t="shared" si="16"/>
        <v>7Bolivia</v>
      </c>
      <c r="E182" s="8">
        <v>1</v>
      </c>
      <c r="F182" s="8">
        <v>0.8790017</v>
      </c>
      <c r="G182" s="8">
        <v>0.8790017</v>
      </c>
      <c r="H182" s="8">
        <v>0.86948749999999997</v>
      </c>
      <c r="I182" s="8">
        <v>0.86149290000000001</v>
      </c>
      <c r="K182" s="8">
        <v>7</v>
      </c>
      <c r="L182" s="8" t="s">
        <v>39</v>
      </c>
      <c r="M182" s="8" t="str">
        <f t="shared" si="17"/>
        <v>7Bolivia</v>
      </c>
      <c r="N182" s="8">
        <v>1</v>
      </c>
      <c r="O182" s="8">
        <v>0.94401380000000001</v>
      </c>
      <c r="P182" s="8">
        <v>0.94401380000000001</v>
      </c>
      <c r="Q182" s="8">
        <v>0.93909010000000004</v>
      </c>
      <c r="R182" s="8">
        <v>0.75804830000000001</v>
      </c>
    </row>
    <row r="183" spans="2:18" ht="1" customHeight="1">
      <c r="B183" s="8">
        <v>8</v>
      </c>
      <c r="C183" s="8" t="s">
        <v>39</v>
      </c>
      <c r="D183" s="8" t="str">
        <f t="shared" si="16"/>
        <v>8Bolivia</v>
      </c>
      <c r="E183" s="8">
        <v>1</v>
      </c>
      <c r="F183" s="8">
        <v>0.93088340000000003</v>
      </c>
      <c r="G183" s="8">
        <v>0.93088340000000003</v>
      </c>
      <c r="H183" s="8">
        <v>0.92020270000000004</v>
      </c>
      <c r="I183" s="8">
        <v>0.91087910000000005</v>
      </c>
      <c r="K183" s="8">
        <v>8</v>
      </c>
      <c r="L183" s="8" t="s">
        <v>39</v>
      </c>
      <c r="M183" s="8" t="str">
        <f t="shared" si="17"/>
        <v>8Bolivia</v>
      </c>
      <c r="N183" s="8">
        <v>1</v>
      </c>
      <c r="O183" s="8">
        <v>0.96794349999999996</v>
      </c>
      <c r="P183" s="8">
        <v>0.96794349999999996</v>
      </c>
      <c r="Q183" s="8">
        <v>0.96303309999999998</v>
      </c>
      <c r="R183" s="8">
        <v>0.79516600000000004</v>
      </c>
    </row>
    <row r="184" spans="2:18" ht="1" customHeight="1">
      <c r="B184" s="8">
        <v>9</v>
      </c>
      <c r="C184" s="8" t="s">
        <v>39</v>
      </c>
      <c r="D184" s="8" t="str">
        <f t="shared" si="16"/>
        <v>9Bolivia</v>
      </c>
      <c r="E184" s="8">
        <v>1</v>
      </c>
      <c r="F184" s="8">
        <v>0.98276509999999995</v>
      </c>
      <c r="G184" s="8">
        <v>0.98276509999999995</v>
      </c>
      <c r="H184" s="8">
        <v>0.97091780000000005</v>
      </c>
      <c r="I184" s="8">
        <v>0.96026549999999999</v>
      </c>
      <c r="K184" s="8">
        <v>9</v>
      </c>
      <c r="L184" s="8" t="s">
        <v>39</v>
      </c>
      <c r="M184" s="8" t="str">
        <f t="shared" si="17"/>
        <v>9Bolivia</v>
      </c>
      <c r="N184" s="8">
        <v>1</v>
      </c>
      <c r="O184" s="8">
        <v>0.99187309999999995</v>
      </c>
      <c r="P184" s="8">
        <v>0.99187309999999995</v>
      </c>
      <c r="Q184" s="8">
        <v>0.98697599999999996</v>
      </c>
      <c r="R184" s="8">
        <v>0.83228360000000001</v>
      </c>
    </row>
    <row r="185" spans="2:18" ht="1" customHeight="1">
      <c r="B185" s="8">
        <v>10</v>
      </c>
      <c r="C185" s="8" t="s">
        <v>39</v>
      </c>
      <c r="D185" s="8" t="str">
        <f t="shared" si="16"/>
        <v>10Bolivia</v>
      </c>
      <c r="E185" s="8">
        <v>1</v>
      </c>
      <c r="F185" s="8">
        <v>0.98856659999999996</v>
      </c>
      <c r="G185" s="8">
        <v>0.98856659999999996</v>
      </c>
      <c r="H185" s="8">
        <v>0.96119319999999997</v>
      </c>
      <c r="I185" s="8">
        <v>0.95006040000000003</v>
      </c>
      <c r="K185" s="8">
        <v>10</v>
      </c>
      <c r="L185" s="8" t="s">
        <v>39</v>
      </c>
      <c r="M185" s="8" t="str">
        <f t="shared" si="17"/>
        <v>10Bolivia</v>
      </c>
      <c r="N185" s="8">
        <v>1</v>
      </c>
      <c r="O185" s="8">
        <v>0.98815090000000005</v>
      </c>
      <c r="P185" s="8">
        <v>0.98815090000000005</v>
      </c>
      <c r="Q185" s="8">
        <v>0.97899650000000005</v>
      </c>
      <c r="R185" s="8">
        <v>0.82104460000000001</v>
      </c>
    </row>
    <row r="186" spans="2:18" ht="1" customHeight="1">
      <c r="B186" s="8">
        <v>11</v>
      </c>
      <c r="C186" s="8" t="s">
        <v>39</v>
      </c>
      <c r="D186" s="8" t="str">
        <f t="shared" si="16"/>
        <v>11Bolivia</v>
      </c>
      <c r="E186" s="8">
        <v>1</v>
      </c>
      <c r="F186" s="8">
        <v>0.99436809999999998</v>
      </c>
      <c r="G186" s="8">
        <v>0.99436809999999998</v>
      </c>
      <c r="H186" s="8">
        <v>0.95146850000000005</v>
      </c>
      <c r="I186" s="8">
        <v>0.93985540000000001</v>
      </c>
      <c r="K186" s="8">
        <v>11</v>
      </c>
      <c r="L186" s="8" t="s">
        <v>39</v>
      </c>
      <c r="M186" s="8" t="str">
        <f t="shared" si="17"/>
        <v>11Bolivia</v>
      </c>
      <c r="N186" s="8">
        <v>1</v>
      </c>
      <c r="O186" s="8">
        <v>0.98442859999999999</v>
      </c>
      <c r="P186" s="8">
        <v>0.98442859999999999</v>
      </c>
      <c r="Q186" s="8">
        <v>0.97101689999999996</v>
      </c>
      <c r="R186" s="8">
        <v>0.80980549999999996</v>
      </c>
    </row>
    <row r="187" spans="2:18" ht="1" customHeight="1">
      <c r="B187" s="8">
        <v>12</v>
      </c>
      <c r="C187" s="8" t="s">
        <v>39</v>
      </c>
      <c r="D187" s="8" t="str">
        <f t="shared" si="16"/>
        <v>12Bolivia</v>
      </c>
      <c r="E187" s="8">
        <v>1</v>
      </c>
      <c r="F187" s="8">
        <v>0.99185420000000002</v>
      </c>
      <c r="G187" s="8">
        <v>0.99185420000000002</v>
      </c>
      <c r="H187" s="8">
        <v>0.92489339999999998</v>
      </c>
      <c r="I187" s="8">
        <v>0.91305340000000001</v>
      </c>
      <c r="K187" s="8">
        <v>12</v>
      </c>
      <c r="L187" s="8" t="s">
        <v>39</v>
      </c>
      <c r="M187" s="8" t="str">
        <f t="shared" si="17"/>
        <v>12Bolivia</v>
      </c>
      <c r="N187" s="8">
        <v>1</v>
      </c>
      <c r="O187" s="8">
        <v>0.97982009999999997</v>
      </c>
      <c r="P187" s="8">
        <v>0.97982009999999997</v>
      </c>
      <c r="Q187" s="8">
        <v>0.96097869999999996</v>
      </c>
      <c r="R187" s="8">
        <v>0.79234680000000002</v>
      </c>
    </row>
    <row r="188" spans="2:18" ht="1" customHeight="1">
      <c r="B188" s="8">
        <v>13</v>
      </c>
      <c r="C188" s="8" t="s">
        <v>39</v>
      </c>
      <c r="D188" s="8" t="str">
        <f t="shared" si="16"/>
        <v>13Bolivia</v>
      </c>
      <c r="E188" s="8">
        <v>1</v>
      </c>
      <c r="F188" s="8">
        <v>0.98934029999999995</v>
      </c>
      <c r="G188" s="8">
        <v>0.98934029999999995</v>
      </c>
      <c r="H188" s="8">
        <v>0.89831819999999996</v>
      </c>
      <c r="I188" s="8">
        <v>0.88625129999999996</v>
      </c>
      <c r="K188" s="8">
        <v>13</v>
      </c>
      <c r="L188" s="8" t="s">
        <v>39</v>
      </c>
      <c r="M188" s="8" t="str">
        <f t="shared" si="17"/>
        <v>13Bolivia</v>
      </c>
      <c r="N188" s="8">
        <v>1</v>
      </c>
      <c r="O188" s="8">
        <v>0.97521170000000001</v>
      </c>
      <c r="P188" s="8">
        <v>0.97521170000000001</v>
      </c>
      <c r="Q188" s="8">
        <v>0.95094049999999997</v>
      </c>
      <c r="R188" s="8">
        <v>0.77488820000000003</v>
      </c>
    </row>
    <row r="189" spans="2:18" ht="1" customHeight="1">
      <c r="B189" s="8">
        <v>14</v>
      </c>
      <c r="C189" s="8" t="s">
        <v>39</v>
      </c>
      <c r="D189" s="8" t="str">
        <f t="shared" si="16"/>
        <v>14Bolivia</v>
      </c>
      <c r="E189" s="8">
        <v>1</v>
      </c>
      <c r="F189" s="8">
        <v>0.98389459999999995</v>
      </c>
      <c r="G189" s="8">
        <v>0.98389459999999995</v>
      </c>
      <c r="H189" s="8">
        <v>0.87315730000000003</v>
      </c>
      <c r="I189" s="8">
        <v>0.86081370000000001</v>
      </c>
      <c r="K189" s="8">
        <v>14</v>
      </c>
      <c r="L189" s="8" t="s">
        <v>39</v>
      </c>
      <c r="M189" s="8" t="str">
        <f t="shared" si="17"/>
        <v>14Bolivia</v>
      </c>
      <c r="N189" s="8">
        <v>1</v>
      </c>
      <c r="O189" s="8">
        <v>0.97417279999999995</v>
      </c>
      <c r="P189" s="8">
        <v>0.97336029999999996</v>
      </c>
      <c r="Q189" s="8">
        <v>0.9364015</v>
      </c>
      <c r="R189" s="8">
        <v>0.75634760000000001</v>
      </c>
    </row>
    <row r="190" spans="2:18" ht="1" customHeight="1">
      <c r="B190" s="8">
        <v>15</v>
      </c>
      <c r="C190" s="8" t="s">
        <v>39</v>
      </c>
      <c r="D190" s="8" t="str">
        <f t="shared" si="16"/>
        <v>15Bolivia</v>
      </c>
      <c r="E190" s="8">
        <v>1</v>
      </c>
      <c r="F190" s="8">
        <v>0.97844889999999995</v>
      </c>
      <c r="G190" s="8">
        <v>0.97844889999999995</v>
      </c>
      <c r="H190" s="8">
        <v>0.84799639999999998</v>
      </c>
      <c r="I190" s="8">
        <v>0.83537600000000001</v>
      </c>
      <c r="K190" s="8">
        <v>15</v>
      </c>
      <c r="L190" s="8" t="s">
        <v>39</v>
      </c>
      <c r="M190" s="8" t="str">
        <f t="shared" si="17"/>
        <v>15Bolivia</v>
      </c>
      <c r="N190" s="8">
        <v>1</v>
      </c>
      <c r="O190" s="8">
        <v>0.97313400000000005</v>
      </c>
      <c r="P190" s="8">
        <v>0.97150890000000001</v>
      </c>
      <c r="Q190" s="8">
        <v>0.92186250000000003</v>
      </c>
      <c r="R190" s="8">
        <v>0.73780699999999999</v>
      </c>
    </row>
    <row r="191" spans="2:18" ht="1" customHeight="1">
      <c r="B191" s="8">
        <v>16</v>
      </c>
      <c r="C191" s="8" t="s">
        <v>39</v>
      </c>
      <c r="D191" s="8" t="str">
        <f t="shared" si="16"/>
        <v>16Bolivia</v>
      </c>
      <c r="E191" s="8">
        <v>1</v>
      </c>
      <c r="F191" s="8">
        <v>0.97081919999999999</v>
      </c>
      <c r="G191" s="8">
        <v>0.97081919999999999</v>
      </c>
      <c r="H191" s="8">
        <v>0.79251539999999998</v>
      </c>
      <c r="I191" s="8">
        <v>0.7762561</v>
      </c>
      <c r="K191" s="8">
        <v>16</v>
      </c>
      <c r="L191" s="8" t="s">
        <v>39</v>
      </c>
      <c r="M191" s="8" t="str">
        <f t="shared" si="17"/>
        <v>16Bolivia</v>
      </c>
      <c r="N191" s="8">
        <v>1</v>
      </c>
      <c r="O191" s="8">
        <v>0.96891669999999996</v>
      </c>
      <c r="P191" s="8">
        <v>0.96465120000000004</v>
      </c>
      <c r="Q191" s="8">
        <v>0.86594740000000003</v>
      </c>
      <c r="R191" s="8">
        <v>0.69245389999999996</v>
      </c>
    </row>
    <row r="192" spans="2:18" ht="1" customHeight="1">
      <c r="B192" s="8">
        <v>17</v>
      </c>
      <c r="C192" s="8" t="s">
        <v>39</v>
      </c>
      <c r="D192" s="8" t="str">
        <f t="shared" si="16"/>
        <v>17Bolivia</v>
      </c>
      <c r="E192" s="8">
        <v>1</v>
      </c>
      <c r="F192" s="8">
        <v>0.96318959999999998</v>
      </c>
      <c r="G192" s="8">
        <v>0.96318959999999998</v>
      </c>
      <c r="H192" s="8">
        <v>0.73703430000000003</v>
      </c>
      <c r="I192" s="8">
        <v>0.71713610000000005</v>
      </c>
      <c r="K192" s="8">
        <v>17</v>
      </c>
      <c r="L192" s="8" t="s">
        <v>39</v>
      </c>
      <c r="M192" s="8" t="str">
        <f t="shared" si="17"/>
        <v>17Bolivia</v>
      </c>
      <c r="N192" s="8">
        <v>1</v>
      </c>
      <c r="O192" s="8">
        <v>0.96469930000000004</v>
      </c>
      <c r="P192" s="8">
        <v>0.95779369999999997</v>
      </c>
      <c r="Q192" s="8">
        <v>0.81003210000000003</v>
      </c>
      <c r="R192" s="8">
        <v>0.64710080000000003</v>
      </c>
    </row>
    <row r="193" spans="2:18" ht="1" customHeight="1">
      <c r="B193" s="8">
        <v>18</v>
      </c>
      <c r="C193" s="8" t="s">
        <v>39</v>
      </c>
      <c r="D193" s="8" t="str">
        <f t="shared" si="16"/>
        <v>18Bolivia</v>
      </c>
      <c r="E193" s="8">
        <v>1</v>
      </c>
      <c r="F193" s="8">
        <v>0.95448520000000003</v>
      </c>
      <c r="G193" s="8">
        <v>0.95117560000000001</v>
      </c>
      <c r="H193" s="8">
        <v>0.65645050000000005</v>
      </c>
      <c r="I193" s="8">
        <v>0.63092320000000002</v>
      </c>
      <c r="K193" s="8">
        <v>18</v>
      </c>
      <c r="L193" s="8" t="s">
        <v>39</v>
      </c>
      <c r="M193" s="8" t="str">
        <f t="shared" si="17"/>
        <v>18Bolivia</v>
      </c>
      <c r="N193" s="8">
        <v>1</v>
      </c>
      <c r="O193" s="8">
        <v>0.95711080000000004</v>
      </c>
      <c r="P193" s="8">
        <v>0.94873320000000005</v>
      </c>
      <c r="Q193" s="8">
        <v>0.73044030000000004</v>
      </c>
      <c r="R193" s="8">
        <v>0.57928930000000001</v>
      </c>
    </row>
    <row r="194" spans="2:18" ht="1" customHeight="1">
      <c r="B194" s="8">
        <v>19</v>
      </c>
      <c r="C194" s="8" t="s">
        <v>39</v>
      </c>
      <c r="D194" s="8" t="str">
        <f t="shared" si="16"/>
        <v>19Bolivia</v>
      </c>
      <c r="E194" s="8">
        <v>1</v>
      </c>
      <c r="F194" s="8">
        <v>0.94578079999999998</v>
      </c>
      <c r="G194" s="8">
        <v>0.93916149999999998</v>
      </c>
      <c r="H194" s="8">
        <v>0.57586669999999995</v>
      </c>
      <c r="I194" s="8">
        <v>0.54471020000000003</v>
      </c>
      <c r="K194" s="8">
        <v>19</v>
      </c>
      <c r="L194" s="8" t="s">
        <v>39</v>
      </c>
      <c r="M194" s="8" t="str">
        <f t="shared" si="17"/>
        <v>19Bolivia</v>
      </c>
      <c r="N194" s="8">
        <v>1</v>
      </c>
      <c r="O194" s="8">
        <v>0.94952230000000004</v>
      </c>
      <c r="P194" s="8">
        <v>0.93967270000000003</v>
      </c>
      <c r="Q194" s="8">
        <v>0.65084850000000005</v>
      </c>
      <c r="R194" s="8">
        <v>0.51147770000000004</v>
      </c>
    </row>
    <row r="195" spans="2:18" ht="1" customHeight="1">
      <c r="B195" s="8">
        <v>20</v>
      </c>
      <c r="C195" s="8" t="s">
        <v>39</v>
      </c>
      <c r="D195" s="8" t="str">
        <f t="shared" si="16"/>
        <v>20Bolivia</v>
      </c>
      <c r="E195" s="8">
        <v>1</v>
      </c>
      <c r="F195" s="8">
        <v>0.94195070000000003</v>
      </c>
      <c r="G195" s="8">
        <v>0.93202169999999995</v>
      </c>
      <c r="H195" s="8">
        <v>0.50534250000000003</v>
      </c>
      <c r="I195" s="8">
        <v>0.4718077</v>
      </c>
      <c r="K195" s="8">
        <v>20</v>
      </c>
      <c r="L195" s="8" t="s">
        <v>39</v>
      </c>
      <c r="M195" s="8" t="str">
        <f t="shared" si="17"/>
        <v>20Bolivia</v>
      </c>
      <c r="N195" s="8">
        <v>1</v>
      </c>
      <c r="O195" s="8">
        <v>0.93836370000000002</v>
      </c>
      <c r="P195" s="8">
        <v>0.9297723</v>
      </c>
      <c r="Q195" s="8">
        <v>0.59047099999999997</v>
      </c>
      <c r="R195" s="8">
        <v>0.44654899999999997</v>
      </c>
    </row>
    <row r="196" spans="2:18" ht="1" customHeight="1">
      <c r="B196" s="8">
        <v>21</v>
      </c>
      <c r="C196" s="8" t="s">
        <v>39</v>
      </c>
      <c r="D196" s="8" t="str">
        <f t="shared" si="16"/>
        <v>21Bolivia</v>
      </c>
      <c r="E196" s="8">
        <v>1</v>
      </c>
      <c r="F196" s="8">
        <v>0.93812050000000002</v>
      </c>
      <c r="G196" s="8">
        <v>0.92488190000000003</v>
      </c>
      <c r="H196" s="8">
        <v>0.43481819999999999</v>
      </c>
      <c r="I196" s="8">
        <v>0.39890520000000002</v>
      </c>
      <c r="K196" s="8">
        <v>21</v>
      </c>
      <c r="L196" s="8" t="s">
        <v>39</v>
      </c>
      <c r="M196" s="8" t="str">
        <f t="shared" si="17"/>
        <v>21Bolivia</v>
      </c>
      <c r="N196" s="8">
        <v>1</v>
      </c>
      <c r="O196" s="8">
        <v>0.92720519999999995</v>
      </c>
      <c r="P196" s="8">
        <v>0.91987189999999996</v>
      </c>
      <c r="Q196" s="8">
        <v>0.53009360000000005</v>
      </c>
      <c r="R196" s="8">
        <v>0.38162020000000002</v>
      </c>
    </row>
    <row r="197" spans="2:18" ht="1" customHeight="1">
      <c r="B197" s="8">
        <v>22</v>
      </c>
      <c r="C197" s="8" t="s">
        <v>39</v>
      </c>
      <c r="D197" s="8" t="str">
        <f t="shared" si="16"/>
        <v>22Bolivia</v>
      </c>
      <c r="E197" s="8">
        <v>1</v>
      </c>
      <c r="F197" s="8">
        <v>0.92679800000000001</v>
      </c>
      <c r="G197" s="8">
        <v>0.91686900000000005</v>
      </c>
      <c r="H197" s="8">
        <v>0.35827520000000002</v>
      </c>
      <c r="I197" s="8">
        <v>0.32244299999999998</v>
      </c>
      <c r="K197" s="8">
        <v>22</v>
      </c>
      <c r="L197" s="8" t="s">
        <v>39</v>
      </c>
      <c r="M197" s="8" t="str">
        <f t="shared" si="17"/>
        <v>22Bolivia</v>
      </c>
      <c r="N197" s="8">
        <v>1</v>
      </c>
      <c r="O197" s="8">
        <v>0.92141249999999997</v>
      </c>
      <c r="P197" s="8">
        <v>0.91322170000000003</v>
      </c>
      <c r="Q197" s="8">
        <v>0.47724149999999999</v>
      </c>
      <c r="R197" s="8">
        <v>0.3289977</v>
      </c>
    </row>
    <row r="198" spans="2:18" ht="1" customHeight="1">
      <c r="B198" s="8">
        <v>23</v>
      </c>
      <c r="C198" s="8" t="s">
        <v>39</v>
      </c>
      <c r="D198" s="8" t="str">
        <f t="shared" si="16"/>
        <v>23Bolivia</v>
      </c>
      <c r="E198" s="8">
        <v>1</v>
      </c>
      <c r="F198" s="8">
        <v>0.91547540000000005</v>
      </c>
      <c r="G198" s="8">
        <v>0.9088562</v>
      </c>
      <c r="H198" s="8">
        <v>0.28173229999999999</v>
      </c>
      <c r="I198" s="8">
        <v>0.2459808</v>
      </c>
      <c r="K198" s="8">
        <v>23</v>
      </c>
      <c r="L198" s="8" t="s">
        <v>39</v>
      </c>
      <c r="M198" s="8" t="str">
        <f t="shared" si="17"/>
        <v>23Bolivia</v>
      </c>
      <c r="N198" s="8">
        <v>1</v>
      </c>
      <c r="O198" s="8">
        <v>0.91561970000000004</v>
      </c>
      <c r="P198" s="8">
        <v>0.90657140000000003</v>
      </c>
      <c r="Q198" s="8">
        <v>0.42438949999999998</v>
      </c>
      <c r="R198" s="8">
        <v>0.27637519999999999</v>
      </c>
    </row>
    <row r="199" spans="2:18" ht="1" customHeight="1">
      <c r="B199" s="8">
        <v>24</v>
      </c>
      <c r="C199" s="8" t="s">
        <v>39</v>
      </c>
      <c r="D199" s="8" t="str">
        <f t="shared" si="16"/>
        <v>24Bolivia</v>
      </c>
      <c r="E199" s="8">
        <v>1</v>
      </c>
      <c r="F199" s="8">
        <v>0.89201509999999995</v>
      </c>
      <c r="G199" s="8">
        <v>0.88870550000000004</v>
      </c>
      <c r="H199" s="8">
        <v>0.21178069999999999</v>
      </c>
      <c r="I199" s="8">
        <v>0.17932960000000001</v>
      </c>
      <c r="K199" s="8">
        <v>24</v>
      </c>
      <c r="L199" s="8" t="s">
        <v>39</v>
      </c>
      <c r="M199" s="8" t="str">
        <f t="shared" si="17"/>
        <v>24Bolivia</v>
      </c>
      <c r="N199" s="8">
        <v>1</v>
      </c>
      <c r="O199" s="8">
        <v>0.91496630000000001</v>
      </c>
      <c r="P199" s="8">
        <v>0.90508330000000004</v>
      </c>
      <c r="Q199" s="8">
        <v>0.37043359999999997</v>
      </c>
      <c r="R199" s="8">
        <v>0.23615520000000001</v>
      </c>
    </row>
    <row r="200" spans="2:18" ht="1" customHeight="1">
      <c r="B200" s="8">
        <v>25</v>
      </c>
      <c r="C200" s="8" t="s">
        <v>39</v>
      </c>
      <c r="D200" s="8" t="str">
        <f t="shared" si="16"/>
        <v>25Bolivia</v>
      </c>
      <c r="E200" s="8">
        <v>1</v>
      </c>
      <c r="F200" s="8">
        <v>0.86855479999999996</v>
      </c>
      <c r="G200" s="8">
        <v>0.86855479999999996</v>
      </c>
      <c r="H200" s="8">
        <v>0.14182919999999999</v>
      </c>
      <c r="I200" s="8">
        <v>0.1126784</v>
      </c>
      <c r="K200" s="8">
        <v>25</v>
      </c>
      <c r="L200" s="8" t="s">
        <v>39</v>
      </c>
      <c r="M200" s="8" t="str">
        <f t="shared" si="17"/>
        <v>25Bolivia</v>
      </c>
      <c r="N200" s="8">
        <v>1</v>
      </c>
      <c r="O200" s="8">
        <v>0.91431280000000004</v>
      </c>
      <c r="P200" s="8">
        <v>0.90359520000000004</v>
      </c>
      <c r="Q200" s="8">
        <v>0.31647769999999997</v>
      </c>
      <c r="R200" s="8">
        <v>0.1959351</v>
      </c>
    </row>
    <row r="201" spans="2:18" ht="1" customHeight="1">
      <c r="B201" s="8">
        <v>26</v>
      </c>
      <c r="C201" s="8" t="s">
        <v>39</v>
      </c>
      <c r="D201" s="8" t="str">
        <f t="shared" si="16"/>
        <v>26Bolivia</v>
      </c>
      <c r="E201" s="8">
        <v>1</v>
      </c>
      <c r="F201" s="8">
        <v>0.84971209999999997</v>
      </c>
      <c r="G201" s="8">
        <v>0.84971209999999997</v>
      </c>
      <c r="H201" s="8">
        <v>0.1064923</v>
      </c>
      <c r="I201" s="8">
        <v>8.1424999999999997E-2</v>
      </c>
      <c r="K201" s="8">
        <v>26</v>
      </c>
      <c r="L201" s="8" t="s">
        <v>39</v>
      </c>
      <c r="M201" s="8" t="str">
        <f t="shared" si="17"/>
        <v>26Bolivia</v>
      </c>
      <c r="N201" s="8">
        <v>1</v>
      </c>
      <c r="O201" s="8">
        <v>0.90240240000000005</v>
      </c>
      <c r="P201" s="8">
        <v>0.89070519999999997</v>
      </c>
      <c r="Q201" s="8">
        <v>0.27056750000000002</v>
      </c>
      <c r="R201" s="8">
        <v>0.16539039999999999</v>
      </c>
    </row>
    <row r="202" spans="2:18" ht="1" customHeight="1">
      <c r="B202" s="8">
        <v>27</v>
      </c>
      <c r="C202" s="8" t="s">
        <v>39</v>
      </c>
      <c r="D202" s="8" t="str">
        <f t="shared" si="16"/>
        <v>27Bolivia</v>
      </c>
      <c r="E202" s="8">
        <v>1</v>
      </c>
      <c r="F202" s="8">
        <v>0.83086930000000003</v>
      </c>
      <c r="G202" s="8">
        <v>0.83086930000000003</v>
      </c>
      <c r="H202" s="8">
        <v>7.1155399999999994E-2</v>
      </c>
      <c r="I202" s="8">
        <v>5.0171599999999997E-2</v>
      </c>
      <c r="K202" s="8">
        <v>27</v>
      </c>
      <c r="L202" s="8" t="s">
        <v>39</v>
      </c>
      <c r="M202" s="8" t="str">
        <f t="shared" si="17"/>
        <v>27Bolivia</v>
      </c>
      <c r="N202" s="8">
        <v>1</v>
      </c>
      <c r="O202" s="8">
        <v>0.89049199999999995</v>
      </c>
      <c r="P202" s="8">
        <v>0.87781520000000002</v>
      </c>
      <c r="Q202" s="8">
        <v>0.2246573</v>
      </c>
      <c r="R202" s="8">
        <v>0.13484579999999999</v>
      </c>
    </row>
    <row r="203" spans="2:18" ht="1" customHeight="1">
      <c r="B203" s="8">
        <v>28</v>
      </c>
      <c r="C203" s="8" t="s">
        <v>39</v>
      </c>
      <c r="D203" s="8" t="str">
        <f t="shared" si="16"/>
        <v>28Bolivia</v>
      </c>
      <c r="E203" s="8">
        <v>1</v>
      </c>
      <c r="F203" s="8">
        <v>0.83456370000000002</v>
      </c>
      <c r="G203" s="8">
        <v>0.83456370000000002</v>
      </c>
      <c r="H203" s="8">
        <v>6.0595499999999997E-2</v>
      </c>
      <c r="I203" s="8">
        <v>4.2153200000000002E-2</v>
      </c>
      <c r="K203" s="8">
        <v>28</v>
      </c>
      <c r="L203" s="8" t="s">
        <v>39</v>
      </c>
      <c r="M203" s="8" t="str">
        <f t="shared" si="17"/>
        <v>28Bolivia</v>
      </c>
      <c r="N203" s="8">
        <v>1</v>
      </c>
      <c r="O203" s="8">
        <v>0.88722710000000005</v>
      </c>
      <c r="P203" s="8">
        <v>0.87210290000000001</v>
      </c>
      <c r="Q203" s="8">
        <v>0.19695750000000001</v>
      </c>
      <c r="R203" s="8">
        <v>0.115733</v>
      </c>
    </row>
    <row r="204" spans="2:18" ht="1" customHeight="1">
      <c r="B204" s="8">
        <v>29</v>
      </c>
      <c r="C204" s="8" t="s">
        <v>39</v>
      </c>
      <c r="D204" s="8" t="str">
        <f t="shared" si="16"/>
        <v>29Bolivia</v>
      </c>
      <c r="E204" s="8">
        <v>1</v>
      </c>
      <c r="F204" s="8">
        <v>0.83825799999999995</v>
      </c>
      <c r="G204" s="8">
        <v>0.83825799999999995</v>
      </c>
      <c r="H204" s="8">
        <v>5.0035700000000002E-2</v>
      </c>
      <c r="I204" s="8">
        <v>3.4134699999999997E-2</v>
      </c>
      <c r="K204" s="8">
        <v>29</v>
      </c>
      <c r="L204" s="8" t="s">
        <v>39</v>
      </c>
      <c r="M204" s="8" t="str">
        <f t="shared" si="17"/>
        <v>29Bolivia</v>
      </c>
      <c r="N204" s="8">
        <v>1</v>
      </c>
      <c r="O204" s="8">
        <v>0.88396229999999998</v>
      </c>
      <c r="P204" s="8">
        <v>0.86639049999999995</v>
      </c>
      <c r="Q204" s="8">
        <v>0.16925780000000001</v>
      </c>
      <c r="R204" s="8">
        <v>9.6620200000000003E-2</v>
      </c>
    </row>
    <row r="205" spans="2:18" ht="1" customHeight="1">
      <c r="B205" s="8">
        <v>30</v>
      </c>
      <c r="C205" s="8" t="s">
        <v>39</v>
      </c>
      <c r="D205" s="8" t="str">
        <f t="shared" si="16"/>
        <v>30Bolivia</v>
      </c>
      <c r="E205" s="8">
        <v>1</v>
      </c>
      <c r="F205" s="8">
        <v>0.86059810000000003</v>
      </c>
      <c r="G205" s="8">
        <v>0.85801890000000003</v>
      </c>
      <c r="H205" s="8">
        <v>4.2125599999999999E-2</v>
      </c>
      <c r="I205" s="8">
        <v>3.0964100000000001E-2</v>
      </c>
      <c r="K205" s="8">
        <v>30</v>
      </c>
      <c r="L205" s="8" t="s">
        <v>39</v>
      </c>
      <c r="M205" s="8" t="str">
        <f t="shared" si="17"/>
        <v>30Bolivia</v>
      </c>
      <c r="N205" s="8">
        <v>1</v>
      </c>
      <c r="O205" s="8">
        <v>0.89676829999999996</v>
      </c>
      <c r="P205" s="8">
        <v>0.88125070000000005</v>
      </c>
      <c r="Q205" s="8">
        <v>0.1623174</v>
      </c>
      <c r="R205" s="8">
        <v>8.9329500000000006E-2</v>
      </c>
    </row>
    <row r="206" spans="2:18" ht="1" customHeight="1">
      <c r="B206" s="8">
        <v>31</v>
      </c>
      <c r="C206" s="8" t="s">
        <v>39</v>
      </c>
      <c r="D206" s="8" t="str">
        <f t="shared" si="16"/>
        <v>31Bolivia</v>
      </c>
      <c r="E206" s="8">
        <v>1</v>
      </c>
      <c r="F206" s="8">
        <v>0.88293809999999995</v>
      </c>
      <c r="G206" s="8">
        <v>0.87777970000000005</v>
      </c>
      <c r="H206" s="8">
        <v>3.4215599999999999E-2</v>
      </c>
      <c r="I206" s="8">
        <v>2.7793399999999999E-2</v>
      </c>
      <c r="K206" s="8">
        <v>31</v>
      </c>
      <c r="L206" s="8" t="s">
        <v>39</v>
      </c>
      <c r="M206" s="8" t="str">
        <f t="shared" si="17"/>
        <v>31Bolivia</v>
      </c>
      <c r="N206" s="8">
        <v>1</v>
      </c>
      <c r="O206" s="8">
        <v>0.90957440000000001</v>
      </c>
      <c r="P206" s="8">
        <v>0.89611090000000004</v>
      </c>
      <c r="Q206" s="8">
        <v>0.15537709999999999</v>
      </c>
      <c r="R206" s="8">
        <v>8.2038799999999995E-2</v>
      </c>
    </row>
    <row r="207" spans="2:18" ht="1" customHeight="1">
      <c r="B207" s="8">
        <v>32</v>
      </c>
      <c r="C207" s="8" t="s">
        <v>39</v>
      </c>
      <c r="D207" s="8" t="str">
        <f t="shared" si="16"/>
        <v>32Bolivia</v>
      </c>
      <c r="E207" s="8">
        <v>1</v>
      </c>
      <c r="F207" s="8">
        <v>0.89125670000000001</v>
      </c>
      <c r="G207" s="8">
        <v>0.8835191</v>
      </c>
      <c r="H207" s="8">
        <v>3.2926499999999997E-2</v>
      </c>
      <c r="I207" s="8">
        <v>2.9792900000000001E-2</v>
      </c>
      <c r="K207" s="8">
        <v>32</v>
      </c>
      <c r="L207" s="8" t="s">
        <v>39</v>
      </c>
      <c r="M207" s="8" t="str">
        <f t="shared" si="17"/>
        <v>32Bolivia</v>
      </c>
      <c r="N207" s="8">
        <v>1</v>
      </c>
      <c r="O207" s="8">
        <v>0.91579719999999998</v>
      </c>
      <c r="P207" s="8">
        <v>0.90402720000000003</v>
      </c>
      <c r="Q207" s="8">
        <v>0.14941679999999999</v>
      </c>
      <c r="R207" s="8">
        <v>7.7163800000000005E-2</v>
      </c>
    </row>
    <row r="208" spans="2:18" ht="1" customHeight="1">
      <c r="B208" s="8">
        <v>33</v>
      </c>
      <c r="C208" s="8" t="s">
        <v>39</v>
      </c>
      <c r="D208" s="8" t="str">
        <f t="shared" si="16"/>
        <v>33Bolivia</v>
      </c>
      <c r="E208" s="8">
        <v>1</v>
      </c>
      <c r="F208" s="8">
        <v>0.89957529999999997</v>
      </c>
      <c r="G208" s="8">
        <v>0.88925829999999995</v>
      </c>
      <c r="H208" s="8">
        <v>3.16373E-2</v>
      </c>
      <c r="I208" s="8">
        <v>3.1792500000000001E-2</v>
      </c>
      <c r="K208" s="8">
        <v>33</v>
      </c>
      <c r="L208" s="8" t="s">
        <v>39</v>
      </c>
      <c r="M208" s="8" t="str">
        <f t="shared" si="17"/>
        <v>33Bolivia</v>
      </c>
      <c r="N208" s="8">
        <v>1</v>
      </c>
      <c r="O208" s="8">
        <v>0.92201999999999995</v>
      </c>
      <c r="P208" s="8">
        <v>0.91194350000000002</v>
      </c>
      <c r="Q208" s="8">
        <v>0.14345649999999999</v>
      </c>
      <c r="R208" s="8">
        <v>7.2288699999999997E-2</v>
      </c>
    </row>
    <row r="209" spans="2:18" ht="1" customHeight="1">
      <c r="B209" s="8">
        <v>34</v>
      </c>
      <c r="C209" s="8" t="s">
        <v>39</v>
      </c>
      <c r="D209" s="8" t="str">
        <f t="shared" si="16"/>
        <v>34Bolivia</v>
      </c>
      <c r="E209" s="8">
        <v>1</v>
      </c>
      <c r="F209" s="8">
        <v>0.89046760000000003</v>
      </c>
      <c r="G209" s="8">
        <v>0.88272989999999996</v>
      </c>
      <c r="H209" s="8">
        <v>3.4595899999999999E-2</v>
      </c>
      <c r="I209" s="8">
        <v>3.4712300000000001E-2</v>
      </c>
      <c r="K209" s="8">
        <v>34</v>
      </c>
      <c r="L209" s="8" t="s">
        <v>39</v>
      </c>
      <c r="M209" s="8" t="str">
        <f t="shared" si="17"/>
        <v>34Bolivia</v>
      </c>
      <c r="N209" s="8">
        <v>1</v>
      </c>
      <c r="O209" s="8">
        <v>0.92390969999999994</v>
      </c>
      <c r="P209" s="8">
        <v>0.91344800000000004</v>
      </c>
      <c r="Q209" s="8">
        <v>0.1303388</v>
      </c>
      <c r="R209" s="8">
        <v>6.6171199999999999E-2</v>
      </c>
    </row>
    <row r="210" spans="2:18" ht="1" customHeight="1">
      <c r="B210" s="8">
        <v>35</v>
      </c>
      <c r="C210" s="8" t="s">
        <v>39</v>
      </c>
      <c r="D210" s="8" t="str">
        <f t="shared" si="16"/>
        <v>35Bolivia</v>
      </c>
      <c r="E210" s="8">
        <v>1</v>
      </c>
      <c r="F210" s="8">
        <v>0.88135989999999997</v>
      </c>
      <c r="G210" s="8">
        <v>0.87620140000000002</v>
      </c>
      <c r="H210" s="8">
        <v>3.75546E-2</v>
      </c>
      <c r="I210" s="8">
        <v>3.7632100000000002E-2</v>
      </c>
      <c r="K210" s="8">
        <v>35</v>
      </c>
      <c r="L210" s="8" t="s">
        <v>39</v>
      </c>
      <c r="M210" s="8" t="str">
        <f t="shared" si="17"/>
        <v>35Bolivia</v>
      </c>
      <c r="N210" s="8">
        <v>1</v>
      </c>
      <c r="O210" s="8">
        <v>0.92579929999999999</v>
      </c>
      <c r="P210" s="8">
        <v>0.91495249999999995</v>
      </c>
      <c r="Q210" s="8">
        <v>0.1172212</v>
      </c>
      <c r="R210" s="8">
        <v>6.0053599999999999E-2</v>
      </c>
    </row>
    <row r="211" spans="2:18" ht="1" customHeight="1">
      <c r="B211" s="8">
        <v>36</v>
      </c>
      <c r="C211" s="8" t="s">
        <v>39</v>
      </c>
      <c r="D211" s="8" t="str">
        <f t="shared" si="16"/>
        <v>36Bolivia</v>
      </c>
      <c r="E211" s="8">
        <v>1</v>
      </c>
      <c r="F211" s="8">
        <v>0.88402099999999995</v>
      </c>
      <c r="G211" s="8">
        <v>0.87962969999999996</v>
      </c>
      <c r="H211" s="8">
        <v>2.72453E-2</v>
      </c>
      <c r="I211" s="8">
        <v>2.7284099999999999E-2</v>
      </c>
      <c r="K211" s="8">
        <v>36</v>
      </c>
      <c r="L211" s="8" t="s">
        <v>39</v>
      </c>
      <c r="M211" s="8" t="str">
        <f t="shared" si="17"/>
        <v>36Bolivia</v>
      </c>
      <c r="N211" s="8">
        <v>1</v>
      </c>
      <c r="O211" s="8">
        <v>0.93057840000000003</v>
      </c>
      <c r="P211" s="8">
        <v>0.92106529999999998</v>
      </c>
      <c r="Q211" s="8">
        <v>0.10968700000000001</v>
      </c>
      <c r="R211" s="8">
        <v>6.0242799999999999E-2</v>
      </c>
    </row>
    <row r="212" spans="2:18" ht="1" customHeight="1">
      <c r="B212" s="8">
        <v>37</v>
      </c>
      <c r="C212" s="8" t="s">
        <v>39</v>
      </c>
      <c r="D212" s="8" t="str">
        <f t="shared" si="16"/>
        <v>37Bolivia</v>
      </c>
      <c r="E212" s="8">
        <v>1</v>
      </c>
      <c r="F212" s="8">
        <v>0.88668219999999998</v>
      </c>
      <c r="G212" s="8">
        <v>0.88305800000000001</v>
      </c>
      <c r="H212" s="8">
        <v>1.6936099999999999E-2</v>
      </c>
      <c r="I212" s="8">
        <v>1.6936099999999999E-2</v>
      </c>
      <c r="K212" s="8">
        <v>37</v>
      </c>
      <c r="L212" s="8" t="s">
        <v>39</v>
      </c>
      <c r="M212" s="8" t="str">
        <f t="shared" si="17"/>
        <v>37Bolivia</v>
      </c>
      <c r="N212" s="8">
        <v>1</v>
      </c>
      <c r="O212" s="8">
        <v>0.93535740000000001</v>
      </c>
      <c r="P212" s="8">
        <v>0.92717819999999995</v>
      </c>
      <c r="Q212" s="8">
        <v>0.1021528</v>
      </c>
      <c r="R212" s="8">
        <v>6.0432E-2</v>
      </c>
    </row>
    <row r="213" spans="2:18" ht="1" customHeight="1">
      <c r="B213" s="8">
        <v>38</v>
      </c>
      <c r="C213" s="8" t="s">
        <v>39</v>
      </c>
      <c r="D213" s="8" t="str">
        <f t="shared" si="16"/>
        <v>38Bolivia</v>
      </c>
      <c r="E213" s="8">
        <v>1</v>
      </c>
      <c r="F213" s="8">
        <v>0.90569650000000002</v>
      </c>
      <c r="G213" s="8">
        <v>0.90026019999999995</v>
      </c>
      <c r="H213" s="8">
        <v>1.28775E-2</v>
      </c>
      <c r="I213" s="8">
        <v>1.1570799999999999E-2</v>
      </c>
      <c r="K213" s="8">
        <v>38</v>
      </c>
      <c r="L213" s="8" t="s">
        <v>39</v>
      </c>
      <c r="M213" s="8" t="str">
        <f t="shared" si="17"/>
        <v>38Bolivia</v>
      </c>
      <c r="N213" s="8">
        <v>1</v>
      </c>
      <c r="O213" s="8">
        <v>0.93053580000000002</v>
      </c>
      <c r="P213" s="8">
        <v>0.9241781</v>
      </c>
      <c r="Q213" s="8">
        <v>0.101454</v>
      </c>
      <c r="R213" s="8">
        <v>6.0606300000000002E-2</v>
      </c>
    </row>
    <row r="214" spans="2:18" ht="1" customHeight="1">
      <c r="B214" s="8">
        <v>39</v>
      </c>
      <c r="C214" s="8" t="s">
        <v>39</v>
      </c>
      <c r="D214" s="8" t="str">
        <f t="shared" si="16"/>
        <v>39Bolivia</v>
      </c>
      <c r="E214" s="8">
        <v>1</v>
      </c>
      <c r="F214" s="8">
        <v>0.92471080000000005</v>
      </c>
      <c r="G214" s="8">
        <v>0.91746249999999996</v>
      </c>
      <c r="H214" s="8">
        <v>8.8190000000000004E-3</v>
      </c>
      <c r="I214" s="8">
        <v>6.2053999999999998E-3</v>
      </c>
      <c r="K214" s="8">
        <v>39</v>
      </c>
      <c r="L214" s="8" t="s">
        <v>39</v>
      </c>
      <c r="M214" s="8" t="str">
        <f t="shared" si="17"/>
        <v>39Bolivia</v>
      </c>
      <c r="N214" s="8">
        <v>1</v>
      </c>
      <c r="O214" s="8">
        <v>0.92571420000000004</v>
      </c>
      <c r="P214" s="8">
        <v>0.9211781</v>
      </c>
      <c r="Q214" s="8">
        <v>0.1007551</v>
      </c>
      <c r="R214" s="8">
        <v>6.07807E-2</v>
      </c>
    </row>
    <row r="215" spans="2:18" ht="1" customHeight="1">
      <c r="B215" s="8">
        <v>40</v>
      </c>
      <c r="C215" s="8" t="s">
        <v>39</v>
      </c>
      <c r="D215" s="8" t="str">
        <f t="shared" si="16"/>
        <v>40Bolivia</v>
      </c>
      <c r="E215" s="8">
        <v>1</v>
      </c>
      <c r="F215" s="8">
        <v>0.94231989999999999</v>
      </c>
      <c r="G215" s="8">
        <v>0.93688369999999999</v>
      </c>
      <c r="H215" s="8">
        <v>2.0387599999999999E-2</v>
      </c>
      <c r="I215" s="8">
        <v>1.6467300000000001E-2</v>
      </c>
      <c r="K215" s="8">
        <v>40</v>
      </c>
      <c r="L215" s="8" t="s">
        <v>39</v>
      </c>
      <c r="M215" s="8" t="str">
        <f t="shared" si="17"/>
        <v>40Bolivia</v>
      </c>
      <c r="N215" s="8">
        <v>1</v>
      </c>
      <c r="O215" s="8">
        <v>0.91718569999999999</v>
      </c>
      <c r="P215" s="8">
        <v>0.91428659999999995</v>
      </c>
      <c r="Q215" s="8">
        <v>9.8219200000000007E-2</v>
      </c>
      <c r="R215" s="8">
        <v>5.7870699999999997E-2</v>
      </c>
    </row>
    <row r="216" spans="2:18" ht="1" customHeight="1">
      <c r="B216" s="8">
        <v>0</v>
      </c>
      <c r="C216" s="8" t="s">
        <v>40</v>
      </c>
      <c r="D216" s="8" t="str">
        <f t="shared" si="16"/>
        <v>0Brazil</v>
      </c>
      <c r="E216" s="8">
        <v>1</v>
      </c>
      <c r="F216" s="8">
        <v>1.38882E-2</v>
      </c>
      <c r="G216" s="8">
        <v>1.38882E-2</v>
      </c>
      <c r="H216" s="8">
        <v>1.38882E-2</v>
      </c>
      <c r="I216" s="8">
        <v>0</v>
      </c>
      <c r="K216" s="8">
        <v>0</v>
      </c>
      <c r="L216" s="8" t="s">
        <v>40</v>
      </c>
      <c r="M216" s="8" t="str">
        <f t="shared" si="17"/>
        <v>0Brazil</v>
      </c>
      <c r="N216" s="8">
        <v>1</v>
      </c>
      <c r="O216" s="8">
        <v>0.1000398</v>
      </c>
      <c r="P216" s="8">
        <v>0.1000398</v>
      </c>
      <c r="Q216" s="8">
        <v>0.1000398</v>
      </c>
      <c r="R216" s="8">
        <v>0</v>
      </c>
    </row>
    <row r="217" spans="2:18" ht="1" customHeight="1">
      <c r="B217" s="8">
        <v>1</v>
      </c>
      <c r="C217" s="8" t="s">
        <v>40</v>
      </c>
      <c r="D217" s="8" t="str">
        <f t="shared" si="16"/>
        <v>1Brazil</v>
      </c>
      <c r="E217" s="8">
        <v>1</v>
      </c>
      <c r="F217" s="8">
        <v>5.2827399999999997E-2</v>
      </c>
      <c r="G217" s="8">
        <v>5.2827399999999997E-2</v>
      </c>
      <c r="H217" s="8">
        <v>5.2827399999999997E-2</v>
      </c>
      <c r="I217" s="8">
        <v>0</v>
      </c>
      <c r="K217" s="8">
        <v>1</v>
      </c>
      <c r="L217" s="8" t="s">
        <v>40</v>
      </c>
      <c r="M217" s="8" t="str">
        <f t="shared" si="17"/>
        <v>1Brazil</v>
      </c>
      <c r="N217" s="8">
        <v>1</v>
      </c>
      <c r="O217" s="8">
        <v>0.27854000000000001</v>
      </c>
      <c r="P217" s="8">
        <v>0.27854000000000001</v>
      </c>
      <c r="Q217" s="8">
        <v>0.27854000000000001</v>
      </c>
      <c r="R217" s="8">
        <v>0</v>
      </c>
    </row>
    <row r="218" spans="2:18" ht="1" customHeight="1">
      <c r="B218" s="8">
        <v>2</v>
      </c>
      <c r="C218" s="8" t="s">
        <v>40</v>
      </c>
      <c r="D218" s="8" t="str">
        <f t="shared" si="16"/>
        <v>2Brazil</v>
      </c>
      <c r="E218" s="8">
        <v>1</v>
      </c>
      <c r="F218" s="8">
        <v>0.2481458</v>
      </c>
      <c r="G218" s="8">
        <v>0.2481458</v>
      </c>
      <c r="H218" s="8">
        <v>0.2481458</v>
      </c>
      <c r="I218" s="8">
        <v>9.6294599999999994E-2</v>
      </c>
      <c r="K218" s="8">
        <v>2</v>
      </c>
      <c r="L218" s="8" t="s">
        <v>40</v>
      </c>
      <c r="M218" s="8" t="str">
        <f t="shared" si="17"/>
        <v>2Brazil</v>
      </c>
      <c r="N218" s="8">
        <v>1</v>
      </c>
      <c r="O218" s="8">
        <v>0.48435929999999999</v>
      </c>
      <c r="P218" s="8">
        <v>0.48435929999999999</v>
      </c>
      <c r="Q218" s="8">
        <v>0.48435929999999999</v>
      </c>
      <c r="R218" s="8">
        <v>4.4528400000000003E-2</v>
      </c>
    </row>
    <row r="219" spans="2:18" ht="1" customHeight="1">
      <c r="B219" s="8">
        <v>3</v>
      </c>
      <c r="C219" s="8" t="s">
        <v>40</v>
      </c>
      <c r="D219" s="8" t="str">
        <f t="shared" si="16"/>
        <v>3Brazil</v>
      </c>
      <c r="E219" s="8">
        <v>1</v>
      </c>
      <c r="F219" s="8">
        <v>0.44346419999999998</v>
      </c>
      <c r="G219" s="8">
        <v>0.44346419999999998</v>
      </c>
      <c r="H219" s="8">
        <v>0.44346419999999998</v>
      </c>
      <c r="I219" s="8">
        <v>0.19258919999999999</v>
      </c>
      <c r="K219" s="8">
        <v>3</v>
      </c>
      <c r="L219" s="8" t="s">
        <v>40</v>
      </c>
      <c r="M219" s="8" t="str">
        <f t="shared" si="17"/>
        <v>3Brazil</v>
      </c>
      <c r="N219" s="8">
        <v>1</v>
      </c>
      <c r="O219" s="8">
        <v>0.69017859999999998</v>
      </c>
      <c r="P219" s="8">
        <v>0.69017859999999998</v>
      </c>
      <c r="Q219" s="8">
        <v>0.69017859999999998</v>
      </c>
      <c r="R219" s="8">
        <v>8.9056800000000005E-2</v>
      </c>
    </row>
    <row r="220" spans="2:18" ht="1" customHeight="1">
      <c r="B220" s="8">
        <v>4</v>
      </c>
      <c r="C220" s="8" t="s">
        <v>40</v>
      </c>
      <c r="D220" s="8" t="str">
        <f t="shared" si="16"/>
        <v>4Brazil</v>
      </c>
      <c r="E220" s="8">
        <v>1</v>
      </c>
      <c r="F220" s="8">
        <v>0.61918620000000002</v>
      </c>
      <c r="G220" s="8">
        <v>0.61918620000000002</v>
      </c>
      <c r="H220" s="8">
        <v>0.61918620000000002</v>
      </c>
      <c r="I220" s="8">
        <v>0.40365099999999998</v>
      </c>
      <c r="K220" s="8">
        <v>4</v>
      </c>
      <c r="L220" s="8" t="s">
        <v>40</v>
      </c>
      <c r="M220" s="8" t="str">
        <f t="shared" si="17"/>
        <v>4Brazil</v>
      </c>
      <c r="N220" s="8">
        <v>1</v>
      </c>
      <c r="O220" s="8">
        <v>0.80443969999999998</v>
      </c>
      <c r="P220" s="8">
        <v>0.80443969999999998</v>
      </c>
      <c r="Q220" s="8">
        <v>0.80443969999999998</v>
      </c>
      <c r="R220" s="8">
        <v>0.18369559999999999</v>
      </c>
    </row>
    <row r="221" spans="2:18" ht="1" customHeight="1">
      <c r="B221" s="8">
        <v>5</v>
      </c>
      <c r="C221" s="8" t="s">
        <v>40</v>
      </c>
      <c r="D221" s="8" t="str">
        <f t="shared" si="16"/>
        <v>5Brazil</v>
      </c>
      <c r="E221" s="8">
        <v>1</v>
      </c>
      <c r="F221" s="8">
        <v>0.79490830000000001</v>
      </c>
      <c r="G221" s="8">
        <v>0.79490830000000001</v>
      </c>
      <c r="H221" s="8">
        <v>0.79490830000000001</v>
      </c>
      <c r="I221" s="8">
        <v>0.61471279999999995</v>
      </c>
      <c r="K221" s="8">
        <v>5</v>
      </c>
      <c r="L221" s="8" t="s">
        <v>40</v>
      </c>
      <c r="M221" s="8" t="str">
        <f t="shared" si="17"/>
        <v>5Brazil</v>
      </c>
      <c r="N221" s="8">
        <v>1</v>
      </c>
      <c r="O221" s="8">
        <v>0.91870070000000004</v>
      </c>
      <c r="P221" s="8">
        <v>0.91870070000000004</v>
      </c>
      <c r="Q221" s="8">
        <v>0.91870070000000004</v>
      </c>
      <c r="R221" s="8">
        <v>0.27833449999999998</v>
      </c>
    </row>
    <row r="222" spans="2:18" ht="1" customHeight="1">
      <c r="B222" s="8">
        <v>6</v>
      </c>
      <c r="C222" s="8" t="s">
        <v>40</v>
      </c>
      <c r="D222" s="8" t="str">
        <f t="shared" ref="D222:D285" si="18">CONCATENATE(B222,C222)</f>
        <v>6Brazil</v>
      </c>
      <c r="E222" s="8">
        <v>1</v>
      </c>
      <c r="F222" s="8">
        <v>0.87839560000000005</v>
      </c>
      <c r="G222" s="8">
        <v>0.87839560000000005</v>
      </c>
      <c r="H222" s="8">
        <v>0.87839560000000005</v>
      </c>
      <c r="I222" s="8">
        <v>0.74796320000000005</v>
      </c>
      <c r="K222" s="8">
        <v>6</v>
      </c>
      <c r="L222" s="8" t="s">
        <v>40</v>
      </c>
      <c r="M222" s="8" t="str">
        <f t="shared" ref="M222:M285" si="19">CONCATENATE(K222,L222)</f>
        <v>6Brazil</v>
      </c>
      <c r="N222" s="8">
        <v>1</v>
      </c>
      <c r="O222" s="8">
        <v>0.95354559999999999</v>
      </c>
      <c r="P222" s="8">
        <v>0.95354559999999999</v>
      </c>
      <c r="Q222" s="8">
        <v>0.95354559999999999</v>
      </c>
      <c r="R222" s="8">
        <v>0.34653080000000003</v>
      </c>
    </row>
    <row r="223" spans="2:18" ht="1" customHeight="1">
      <c r="B223" s="8">
        <v>7</v>
      </c>
      <c r="C223" s="8" t="s">
        <v>40</v>
      </c>
      <c r="D223" s="8" t="str">
        <f t="shared" si="18"/>
        <v>7Brazil</v>
      </c>
      <c r="E223" s="8">
        <v>1</v>
      </c>
      <c r="F223" s="8">
        <v>0.96188289999999999</v>
      </c>
      <c r="G223" s="8">
        <v>0.96188289999999999</v>
      </c>
      <c r="H223" s="8">
        <v>0.96188289999999999</v>
      </c>
      <c r="I223" s="8">
        <v>0.88121369999999999</v>
      </c>
      <c r="K223" s="8">
        <v>7</v>
      </c>
      <c r="L223" s="8" t="s">
        <v>40</v>
      </c>
      <c r="M223" s="8" t="str">
        <f t="shared" si="19"/>
        <v>7Brazil</v>
      </c>
      <c r="N223" s="8">
        <v>1</v>
      </c>
      <c r="O223" s="8">
        <v>0.98839060000000001</v>
      </c>
      <c r="P223" s="8">
        <v>0.98839060000000001</v>
      </c>
      <c r="Q223" s="8">
        <v>0.98839060000000001</v>
      </c>
      <c r="R223" s="8">
        <v>0.41472710000000002</v>
      </c>
    </row>
    <row r="224" spans="2:18" ht="1" customHeight="1">
      <c r="B224" s="8">
        <v>8</v>
      </c>
      <c r="C224" s="8" t="s">
        <v>40</v>
      </c>
      <c r="D224" s="8" t="str">
        <f t="shared" si="18"/>
        <v>8Brazil</v>
      </c>
      <c r="E224" s="8">
        <v>1</v>
      </c>
      <c r="F224" s="8">
        <v>0.97422560000000002</v>
      </c>
      <c r="G224" s="8">
        <v>0.97422560000000002</v>
      </c>
      <c r="H224" s="8">
        <v>0.97419659999999997</v>
      </c>
      <c r="I224" s="8">
        <v>0.90294169999999996</v>
      </c>
      <c r="K224" s="8">
        <v>8</v>
      </c>
      <c r="L224" s="8" t="s">
        <v>40</v>
      </c>
      <c r="M224" s="8" t="str">
        <f t="shared" si="19"/>
        <v>8Brazil</v>
      </c>
      <c r="N224" s="8">
        <v>1</v>
      </c>
      <c r="O224" s="8">
        <v>0.99337889999999995</v>
      </c>
      <c r="P224" s="8">
        <v>0.99337889999999995</v>
      </c>
      <c r="Q224" s="8">
        <v>0.99337889999999995</v>
      </c>
      <c r="R224" s="8">
        <v>0.45169179999999998</v>
      </c>
    </row>
    <row r="225" spans="2:18" ht="1" customHeight="1">
      <c r="B225" s="8">
        <v>9</v>
      </c>
      <c r="C225" s="8" t="s">
        <v>40</v>
      </c>
      <c r="D225" s="8" t="str">
        <f t="shared" si="18"/>
        <v>9Brazil</v>
      </c>
      <c r="E225" s="8">
        <v>1</v>
      </c>
      <c r="F225" s="8">
        <v>0.98656840000000001</v>
      </c>
      <c r="G225" s="8">
        <v>0.98656840000000001</v>
      </c>
      <c r="H225" s="8">
        <v>0.9865102</v>
      </c>
      <c r="I225" s="8">
        <v>0.92466970000000004</v>
      </c>
      <c r="K225" s="8">
        <v>9</v>
      </c>
      <c r="L225" s="8" t="s">
        <v>40</v>
      </c>
      <c r="M225" s="8" t="str">
        <f t="shared" si="19"/>
        <v>9Brazil</v>
      </c>
      <c r="N225" s="8">
        <v>1</v>
      </c>
      <c r="O225" s="8">
        <v>0.99836720000000001</v>
      </c>
      <c r="P225" s="8">
        <v>0.99836720000000001</v>
      </c>
      <c r="Q225" s="8">
        <v>0.99836720000000001</v>
      </c>
      <c r="R225" s="8">
        <v>0.48865639999999999</v>
      </c>
    </row>
    <row r="226" spans="2:18" ht="1" customHeight="1">
      <c r="B226" s="8">
        <v>10</v>
      </c>
      <c r="C226" s="8" t="s">
        <v>40</v>
      </c>
      <c r="D226" s="8" t="str">
        <f t="shared" si="18"/>
        <v>10Brazil</v>
      </c>
      <c r="E226" s="8">
        <v>1</v>
      </c>
      <c r="F226" s="8">
        <v>0.98664660000000004</v>
      </c>
      <c r="G226" s="8">
        <v>0.9865372</v>
      </c>
      <c r="H226" s="8">
        <v>0.98623850000000002</v>
      </c>
      <c r="I226" s="8">
        <v>0.93162469999999997</v>
      </c>
      <c r="K226" s="8">
        <v>10</v>
      </c>
      <c r="L226" s="8" t="s">
        <v>40</v>
      </c>
      <c r="M226" s="8" t="str">
        <f t="shared" si="19"/>
        <v>10Brazil</v>
      </c>
      <c r="N226" s="8">
        <v>1</v>
      </c>
      <c r="O226" s="8">
        <v>0.99752750000000001</v>
      </c>
      <c r="P226" s="8">
        <v>0.99752750000000001</v>
      </c>
      <c r="Q226" s="8">
        <v>0.99724049999999997</v>
      </c>
      <c r="R226" s="8">
        <v>0.51758999999999999</v>
      </c>
    </row>
    <row r="227" spans="2:18" ht="1" customHeight="1">
      <c r="B227" s="8">
        <v>11</v>
      </c>
      <c r="C227" s="8" t="s">
        <v>40</v>
      </c>
      <c r="D227" s="8" t="str">
        <f t="shared" si="18"/>
        <v>11Brazil</v>
      </c>
      <c r="E227" s="8">
        <v>1</v>
      </c>
      <c r="F227" s="8">
        <v>0.98672479999999996</v>
      </c>
      <c r="G227" s="8">
        <v>0.98650610000000005</v>
      </c>
      <c r="H227" s="8">
        <v>0.98596680000000003</v>
      </c>
      <c r="I227" s="8">
        <v>0.93857959999999996</v>
      </c>
      <c r="K227" s="8">
        <v>11</v>
      </c>
      <c r="L227" s="8" t="s">
        <v>40</v>
      </c>
      <c r="M227" s="8" t="str">
        <f t="shared" si="19"/>
        <v>11Brazil</v>
      </c>
      <c r="N227" s="8">
        <v>1</v>
      </c>
      <c r="O227" s="8">
        <v>0.99668780000000001</v>
      </c>
      <c r="P227" s="8">
        <v>0.99668780000000001</v>
      </c>
      <c r="Q227" s="8">
        <v>0.99611380000000005</v>
      </c>
      <c r="R227" s="8">
        <v>0.5465236</v>
      </c>
    </row>
    <row r="228" spans="2:18" ht="1" customHeight="1">
      <c r="B228" s="8">
        <v>12</v>
      </c>
      <c r="C228" s="8" t="s">
        <v>40</v>
      </c>
      <c r="D228" s="8" t="str">
        <f t="shared" si="18"/>
        <v>12Brazil</v>
      </c>
      <c r="E228" s="8">
        <v>1</v>
      </c>
      <c r="F228" s="8">
        <v>0.9785606</v>
      </c>
      <c r="G228" s="8">
        <v>0.97727430000000004</v>
      </c>
      <c r="H228" s="8">
        <v>0.97393540000000001</v>
      </c>
      <c r="I228" s="8">
        <v>0.93447709999999995</v>
      </c>
      <c r="K228" s="8">
        <v>12</v>
      </c>
      <c r="L228" s="8" t="s">
        <v>40</v>
      </c>
      <c r="M228" s="8" t="str">
        <f t="shared" si="19"/>
        <v>12Brazil</v>
      </c>
      <c r="N228" s="8">
        <v>1</v>
      </c>
      <c r="O228" s="8">
        <v>0.99509040000000004</v>
      </c>
      <c r="P228" s="8">
        <v>0.99501379999999995</v>
      </c>
      <c r="Q228" s="8">
        <v>0.99291560000000001</v>
      </c>
      <c r="R228" s="8">
        <v>0.56472279999999997</v>
      </c>
    </row>
    <row r="229" spans="2:18" ht="1" customHeight="1">
      <c r="B229" s="8">
        <v>13</v>
      </c>
      <c r="C229" s="8" t="s">
        <v>40</v>
      </c>
      <c r="D229" s="8" t="str">
        <f t="shared" si="18"/>
        <v>13Brazil</v>
      </c>
      <c r="E229" s="8">
        <v>1</v>
      </c>
      <c r="F229" s="8">
        <v>0.97039629999999999</v>
      </c>
      <c r="G229" s="8">
        <v>0.96804239999999997</v>
      </c>
      <c r="H229" s="8">
        <v>0.96190399999999998</v>
      </c>
      <c r="I229" s="8">
        <v>0.93037460000000005</v>
      </c>
      <c r="K229" s="8">
        <v>13</v>
      </c>
      <c r="L229" s="8" t="s">
        <v>40</v>
      </c>
      <c r="M229" s="8" t="str">
        <f t="shared" si="19"/>
        <v>13Brazil</v>
      </c>
      <c r="N229" s="8">
        <v>1</v>
      </c>
      <c r="O229" s="8">
        <v>0.99349290000000001</v>
      </c>
      <c r="P229" s="8">
        <v>0.99333990000000005</v>
      </c>
      <c r="Q229" s="8">
        <v>0.98971750000000003</v>
      </c>
      <c r="R229" s="8">
        <v>0.58292200000000005</v>
      </c>
    </row>
    <row r="230" spans="2:18" ht="1" customHeight="1">
      <c r="B230" s="8">
        <v>14</v>
      </c>
      <c r="C230" s="8" t="s">
        <v>40</v>
      </c>
      <c r="D230" s="8" t="str">
        <f t="shared" si="18"/>
        <v>14Brazil</v>
      </c>
      <c r="E230" s="8">
        <v>1</v>
      </c>
      <c r="F230" s="8">
        <v>0.94516429999999996</v>
      </c>
      <c r="G230" s="8">
        <v>0.9364133</v>
      </c>
      <c r="H230" s="8">
        <v>0.91385139999999998</v>
      </c>
      <c r="I230" s="8">
        <v>0.89044140000000005</v>
      </c>
      <c r="K230" s="8">
        <v>14</v>
      </c>
      <c r="L230" s="8" t="s">
        <v>40</v>
      </c>
      <c r="M230" s="8" t="str">
        <f t="shared" si="19"/>
        <v>14Brazil</v>
      </c>
      <c r="N230" s="8">
        <v>1</v>
      </c>
      <c r="O230" s="8">
        <v>0.98372630000000005</v>
      </c>
      <c r="P230" s="8">
        <v>0.98159019999999997</v>
      </c>
      <c r="Q230" s="8">
        <v>0.96371549999999995</v>
      </c>
      <c r="R230" s="8">
        <v>0.58482279999999998</v>
      </c>
    </row>
    <row r="231" spans="2:18" ht="1" customHeight="1">
      <c r="B231" s="8">
        <v>15</v>
      </c>
      <c r="C231" s="8" t="s">
        <v>40</v>
      </c>
      <c r="D231" s="8" t="str">
        <f t="shared" si="18"/>
        <v>15Brazil</v>
      </c>
      <c r="E231" s="8">
        <v>1</v>
      </c>
      <c r="F231" s="8">
        <v>0.91993219999999998</v>
      </c>
      <c r="G231" s="8">
        <v>0.90478409999999998</v>
      </c>
      <c r="H231" s="8">
        <v>0.86579870000000003</v>
      </c>
      <c r="I231" s="8">
        <v>0.85050820000000005</v>
      </c>
      <c r="K231" s="8">
        <v>15</v>
      </c>
      <c r="L231" s="8" t="s">
        <v>40</v>
      </c>
      <c r="M231" s="8" t="str">
        <f t="shared" si="19"/>
        <v>15Brazil</v>
      </c>
      <c r="N231" s="8">
        <v>1</v>
      </c>
      <c r="O231" s="8">
        <v>0.97395969999999998</v>
      </c>
      <c r="P231" s="8">
        <v>0.96984040000000005</v>
      </c>
      <c r="Q231" s="8">
        <v>0.93771349999999998</v>
      </c>
      <c r="R231" s="8">
        <v>0.58672360000000001</v>
      </c>
    </row>
    <row r="232" spans="2:18" ht="1" customHeight="1">
      <c r="B232" s="8">
        <v>16</v>
      </c>
      <c r="C232" s="8" t="s">
        <v>40</v>
      </c>
      <c r="D232" s="8" t="str">
        <f t="shared" si="18"/>
        <v>16Brazil</v>
      </c>
      <c r="E232" s="8">
        <v>1</v>
      </c>
      <c r="F232" s="8">
        <v>0.88300120000000004</v>
      </c>
      <c r="G232" s="8">
        <v>0.84930939999999999</v>
      </c>
      <c r="H232" s="8">
        <v>0.75560559999999999</v>
      </c>
      <c r="I232" s="8">
        <v>0.74552439999999998</v>
      </c>
      <c r="K232" s="8">
        <v>16</v>
      </c>
      <c r="L232" s="8" t="s">
        <v>40</v>
      </c>
      <c r="M232" s="8" t="str">
        <f t="shared" si="19"/>
        <v>16Brazil</v>
      </c>
      <c r="N232" s="8">
        <v>1</v>
      </c>
      <c r="O232" s="8">
        <v>0.9589609</v>
      </c>
      <c r="P232" s="8">
        <v>0.94859309999999997</v>
      </c>
      <c r="Q232" s="8">
        <v>0.85932679999999995</v>
      </c>
      <c r="R232" s="8">
        <v>0.52848090000000003</v>
      </c>
    </row>
    <row r="233" spans="2:18" ht="1" customHeight="1">
      <c r="B233" s="8">
        <v>17</v>
      </c>
      <c r="C233" s="8" t="s">
        <v>40</v>
      </c>
      <c r="D233" s="8" t="str">
        <f t="shared" si="18"/>
        <v>17Brazil</v>
      </c>
      <c r="E233" s="8">
        <v>1</v>
      </c>
      <c r="F233" s="8">
        <v>0.84607019999999999</v>
      </c>
      <c r="G233" s="8">
        <v>0.7938347</v>
      </c>
      <c r="H233" s="8">
        <v>0.6454124</v>
      </c>
      <c r="I233" s="8">
        <v>0.64054049999999996</v>
      </c>
      <c r="K233" s="8">
        <v>17</v>
      </c>
      <c r="L233" s="8" t="s">
        <v>40</v>
      </c>
      <c r="M233" s="8" t="str">
        <f t="shared" si="19"/>
        <v>17Brazil</v>
      </c>
      <c r="N233" s="8">
        <v>1</v>
      </c>
      <c r="O233" s="8">
        <v>0.94396210000000003</v>
      </c>
      <c r="P233" s="8">
        <v>0.9273458</v>
      </c>
      <c r="Q233" s="8">
        <v>0.78094019999999997</v>
      </c>
      <c r="R233" s="8">
        <v>0.47023809999999999</v>
      </c>
    </row>
    <row r="234" spans="2:18" ht="1" customHeight="1">
      <c r="B234" s="8">
        <v>18</v>
      </c>
      <c r="C234" s="8" t="s">
        <v>40</v>
      </c>
      <c r="D234" s="8" t="str">
        <f t="shared" si="18"/>
        <v>18Brazil</v>
      </c>
      <c r="E234" s="8">
        <v>1</v>
      </c>
      <c r="F234" s="8">
        <v>0.81496489999999999</v>
      </c>
      <c r="G234" s="8">
        <v>0.7419308</v>
      </c>
      <c r="H234" s="8">
        <v>0.50835870000000005</v>
      </c>
      <c r="I234" s="8">
        <v>0.49671389999999999</v>
      </c>
      <c r="K234" s="8">
        <v>18</v>
      </c>
      <c r="L234" s="8" t="s">
        <v>40</v>
      </c>
      <c r="M234" s="8" t="str">
        <f t="shared" si="19"/>
        <v>18Brazil</v>
      </c>
      <c r="N234" s="8">
        <v>1</v>
      </c>
      <c r="O234" s="8">
        <v>0.93943670000000001</v>
      </c>
      <c r="P234" s="8">
        <v>0.91691599999999995</v>
      </c>
      <c r="Q234" s="8">
        <v>0.68663510000000005</v>
      </c>
      <c r="R234" s="8">
        <v>0.36850630000000001</v>
      </c>
    </row>
    <row r="235" spans="2:18" ht="1" customHeight="1">
      <c r="B235" s="8">
        <v>19</v>
      </c>
      <c r="C235" s="8" t="s">
        <v>40</v>
      </c>
      <c r="D235" s="8" t="str">
        <f t="shared" si="18"/>
        <v>19Brazil</v>
      </c>
      <c r="E235" s="8">
        <v>1</v>
      </c>
      <c r="F235" s="8">
        <v>0.78385959999999999</v>
      </c>
      <c r="G235" s="8">
        <v>0.6900269</v>
      </c>
      <c r="H235" s="8">
        <v>0.371305</v>
      </c>
      <c r="I235" s="8">
        <v>0.35288720000000001</v>
      </c>
      <c r="K235" s="8">
        <v>19</v>
      </c>
      <c r="L235" s="8" t="s">
        <v>40</v>
      </c>
      <c r="M235" s="8" t="str">
        <f t="shared" si="19"/>
        <v>19Brazil</v>
      </c>
      <c r="N235" s="8">
        <v>1</v>
      </c>
      <c r="O235" s="8">
        <v>0.9349113</v>
      </c>
      <c r="P235" s="8">
        <v>0.90648629999999997</v>
      </c>
      <c r="Q235" s="8">
        <v>0.59233000000000002</v>
      </c>
      <c r="R235" s="8">
        <v>0.26677440000000002</v>
      </c>
    </row>
    <row r="236" spans="2:18" ht="1" customHeight="1">
      <c r="B236" s="8">
        <v>20</v>
      </c>
      <c r="C236" s="8" t="s">
        <v>40</v>
      </c>
      <c r="D236" s="8" t="str">
        <f t="shared" si="18"/>
        <v>20Brazil</v>
      </c>
      <c r="E236" s="8">
        <v>1</v>
      </c>
      <c r="F236" s="8">
        <v>0.7733063</v>
      </c>
      <c r="G236" s="8">
        <v>0.67277589999999998</v>
      </c>
      <c r="H236" s="8">
        <v>0.28516209999999997</v>
      </c>
      <c r="I236" s="8">
        <v>0.25710899999999998</v>
      </c>
      <c r="K236" s="8">
        <v>20</v>
      </c>
      <c r="L236" s="8" t="s">
        <v>40</v>
      </c>
      <c r="M236" s="8" t="str">
        <f t="shared" si="19"/>
        <v>20Brazil</v>
      </c>
      <c r="N236" s="8">
        <v>1</v>
      </c>
      <c r="O236" s="8">
        <v>0.93836240000000004</v>
      </c>
      <c r="P236" s="8">
        <v>0.91035529999999998</v>
      </c>
      <c r="Q236" s="8">
        <v>0.53021339999999995</v>
      </c>
      <c r="R236" s="8">
        <v>0.20368259999999999</v>
      </c>
    </row>
    <row r="237" spans="2:18" ht="1" customHeight="1">
      <c r="B237" s="8">
        <v>21</v>
      </c>
      <c r="C237" s="8" t="s">
        <v>40</v>
      </c>
      <c r="D237" s="8" t="str">
        <f t="shared" si="18"/>
        <v>21Brazil</v>
      </c>
      <c r="E237" s="8">
        <v>1</v>
      </c>
      <c r="F237" s="8">
        <v>0.76275309999999996</v>
      </c>
      <c r="G237" s="8">
        <v>0.65552500000000002</v>
      </c>
      <c r="H237" s="8">
        <v>0.19901920000000001</v>
      </c>
      <c r="I237" s="8">
        <v>0.1613308</v>
      </c>
      <c r="K237" s="8">
        <v>21</v>
      </c>
      <c r="L237" s="8" t="s">
        <v>40</v>
      </c>
      <c r="M237" s="8" t="str">
        <f t="shared" si="19"/>
        <v>21Brazil</v>
      </c>
      <c r="N237" s="8">
        <v>1</v>
      </c>
      <c r="O237" s="8">
        <v>0.94181340000000002</v>
      </c>
      <c r="P237" s="8">
        <v>0.91422429999999999</v>
      </c>
      <c r="Q237" s="8">
        <v>0.46809679999999998</v>
      </c>
      <c r="R237" s="8">
        <v>0.14059079999999999</v>
      </c>
    </row>
    <row r="238" spans="2:18" ht="1" customHeight="1">
      <c r="B238" s="8">
        <v>22</v>
      </c>
      <c r="C238" s="8" t="s">
        <v>40</v>
      </c>
      <c r="D238" s="8" t="str">
        <f t="shared" si="18"/>
        <v>22Brazil</v>
      </c>
      <c r="E238" s="8">
        <v>1</v>
      </c>
      <c r="F238" s="8">
        <v>0.76325690000000002</v>
      </c>
      <c r="G238" s="8">
        <v>0.6602306</v>
      </c>
      <c r="H238" s="8">
        <v>0.16595099999999999</v>
      </c>
      <c r="I238" s="8">
        <v>0.12844</v>
      </c>
      <c r="K238" s="8">
        <v>22</v>
      </c>
      <c r="L238" s="8" t="s">
        <v>40</v>
      </c>
      <c r="M238" s="8" t="str">
        <f t="shared" si="19"/>
        <v>22Brazil</v>
      </c>
      <c r="N238" s="8">
        <v>1</v>
      </c>
      <c r="O238" s="8">
        <v>0.94581720000000002</v>
      </c>
      <c r="P238" s="8">
        <v>0.92035999999999996</v>
      </c>
      <c r="Q238" s="8">
        <v>0.41532770000000002</v>
      </c>
      <c r="R238" s="8">
        <v>0.1180937</v>
      </c>
    </row>
    <row r="239" spans="2:18" ht="1" customHeight="1">
      <c r="B239" s="8">
        <v>23</v>
      </c>
      <c r="C239" s="8" t="s">
        <v>40</v>
      </c>
      <c r="D239" s="8" t="str">
        <f t="shared" si="18"/>
        <v>23Brazil</v>
      </c>
      <c r="E239" s="8">
        <v>1</v>
      </c>
      <c r="F239" s="8">
        <v>0.76376069999999996</v>
      </c>
      <c r="G239" s="8">
        <v>0.66493619999999998</v>
      </c>
      <c r="H239" s="8">
        <v>0.1328828</v>
      </c>
      <c r="I239" s="8">
        <v>9.5549200000000001E-2</v>
      </c>
      <c r="K239" s="8">
        <v>23</v>
      </c>
      <c r="L239" s="8" t="s">
        <v>40</v>
      </c>
      <c r="M239" s="8" t="str">
        <f t="shared" si="19"/>
        <v>23Brazil</v>
      </c>
      <c r="N239" s="8">
        <v>1</v>
      </c>
      <c r="O239" s="8">
        <v>0.94982109999999997</v>
      </c>
      <c r="P239" s="8">
        <v>0.92649570000000003</v>
      </c>
      <c r="Q239" s="8">
        <v>0.36255860000000001</v>
      </c>
      <c r="R239" s="8">
        <v>9.5596600000000004E-2</v>
      </c>
    </row>
    <row r="240" spans="2:18" ht="1" customHeight="1">
      <c r="B240" s="8">
        <v>24</v>
      </c>
      <c r="C240" s="8" t="s">
        <v>40</v>
      </c>
      <c r="D240" s="8" t="str">
        <f t="shared" si="18"/>
        <v>24Brazil</v>
      </c>
      <c r="E240" s="8">
        <v>1</v>
      </c>
      <c r="F240" s="8">
        <v>0.76046689999999995</v>
      </c>
      <c r="G240" s="8">
        <v>0.66920020000000002</v>
      </c>
      <c r="H240" s="8">
        <v>0.1143344</v>
      </c>
      <c r="I240" s="8">
        <v>8.0742499999999995E-2</v>
      </c>
      <c r="K240" s="8">
        <v>24</v>
      </c>
      <c r="L240" s="8" t="s">
        <v>40</v>
      </c>
      <c r="M240" s="8" t="str">
        <f t="shared" si="19"/>
        <v>24Brazil</v>
      </c>
      <c r="N240" s="8">
        <v>1</v>
      </c>
      <c r="O240" s="8">
        <v>0.95186230000000005</v>
      </c>
      <c r="P240" s="8">
        <v>0.92714859999999999</v>
      </c>
      <c r="Q240" s="8">
        <v>0.30547059999999998</v>
      </c>
      <c r="R240" s="8">
        <v>7.8672199999999998E-2</v>
      </c>
    </row>
    <row r="241" spans="2:18" ht="1" customHeight="1">
      <c r="B241" s="8">
        <v>25</v>
      </c>
      <c r="C241" s="8" t="s">
        <v>40</v>
      </c>
      <c r="D241" s="8" t="str">
        <f t="shared" si="18"/>
        <v>25Brazil</v>
      </c>
      <c r="E241" s="8">
        <v>1</v>
      </c>
      <c r="F241" s="8">
        <v>0.75717310000000004</v>
      </c>
      <c r="G241" s="8">
        <v>0.67346410000000001</v>
      </c>
      <c r="H241" s="8">
        <v>9.5786099999999999E-2</v>
      </c>
      <c r="I241" s="8">
        <v>6.5935800000000003E-2</v>
      </c>
      <c r="K241" s="8">
        <v>25</v>
      </c>
      <c r="L241" s="8" t="s">
        <v>40</v>
      </c>
      <c r="M241" s="8" t="str">
        <f t="shared" si="19"/>
        <v>25Brazil</v>
      </c>
      <c r="N241" s="8">
        <v>1</v>
      </c>
      <c r="O241" s="8">
        <v>0.95390350000000002</v>
      </c>
      <c r="P241" s="8">
        <v>0.9278014</v>
      </c>
      <c r="Q241" s="8">
        <v>0.24838250000000001</v>
      </c>
      <c r="R241" s="8">
        <v>6.1747799999999999E-2</v>
      </c>
    </row>
    <row r="242" spans="2:18" ht="1" customHeight="1">
      <c r="B242" s="8">
        <v>26</v>
      </c>
      <c r="C242" s="8" t="s">
        <v>40</v>
      </c>
      <c r="D242" s="8" t="str">
        <f t="shared" si="18"/>
        <v>26Brazil</v>
      </c>
      <c r="E242" s="8">
        <v>1</v>
      </c>
      <c r="F242" s="8">
        <v>0.75841950000000002</v>
      </c>
      <c r="G242" s="8">
        <v>0.68277049999999995</v>
      </c>
      <c r="H242" s="8">
        <v>8.2682599999999995E-2</v>
      </c>
      <c r="I242" s="8">
        <v>5.5800799999999998E-2</v>
      </c>
      <c r="K242" s="8">
        <v>26</v>
      </c>
      <c r="L242" s="8" t="s">
        <v>40</v>
      </c>
      <c r="M242" s="8" t="str">
        <f t="shared" si="19"/>
        <v>26Brazil</v>
      </c>
      <c r="N242" s="8">
        <v>1</v>
      </c>
      <c r="O242" s="8">
        <v>0.95178660000000004</v>
      </c>
      <c r="P242" s="8">
        <v>0.9250988</v>
      </c>
      <c r="Q242" s="8">
        <v>0.2075225</v>
      </c>
      <c r="R242" s="8">
        <v>5.0740100000000003E-2</v>
      </c>
    </row>
    <row r="243" spans="2:18" ht="1" customHeight="1">
      <c r="B243" s="8">
        <v>27</v>
      </c>
      <c r="C243" s="8" t="s">
        <v>40</v>
      </c>
      <c r="D243" s="8" t="str">
        <f t="shared" si="18"/>
        <v>27Brazil</v>
      </c>
      <c r="E243" s="8">
        <v>1</v>
      </c>
      <c r="F243" s="8">
        <v>0.75966579999999995</v>
      </c>
      <c r="G243" s="8">
        <v>0.69207689999999999</v>
      </c>
      <c r="H243" s="8">
        <v>6.9579199999999994E-2</v>
      </c>
      <c r="I243" s="8">
        <v>4.5665799999999999E-2</v>
      </c>
      <c r="K243" s="8">
        <v>27</v>
      </c>
      <c r="L243" s="8" t="s">
        <v>40</v>
      </c>
      <c r="M243" s="8" t="str">
        <f t="shared" si="19"/>
        <v>27Brazil</v>
      </c>
      <c r="N243" s="8">
        <v>1</v>
      </c>
      <c r="O243" s="8">
        <v>0.94966969999999995</v>
      </c>
      <c r="P243" s="8">
        <v>0.9223962</v>
      </c>
      <c r="Q243" s="8">
        <v>0.16666259999999999</v>
      </c>
      <c r="R243" s="8">
        <v>3.9732400000000001E-2</v>
      </c>
    </row>
    <row r="244" spans="2:18" ht="1" customHeight="1">
      <c r="B244" s="8">
        <v>28</v>
      </c>
      <c r="C244" s="8" t="s">
        <v>40</v>
      </c>
      <c r="D244" s="8" t="str">
        <f t="shared" si="18"/>
        <v>28Brazil</v>
      </c>
      <c r="E244" s="8">
        <v>1</v>
      </c>
      <c r="F244" s="8">
        <v>0.76402210000000004</v>
      </c>
      <c r="G244" s="8">
        <v>0.70402679999999995</v>
      </c>
      <c r="H244" s="8">
        <v>6.3158300000000001E-2</v>
      </c>
      <c r="I244" s="8">
        <v>4.13303E-2</v>
      </c>
      <c r="K244" s="8">
        <v>28</v>
      </c>
      <c r="L244" s="8" t="s">
        <v>40</v>
      </c>
      <c r="M244" s="8" t="str">
        <f t="shared" si="19"/>
        <v>28Brazil</v>
      </c>
      <c r="N244" s="8">
        <v>1</v>
      </c>
      <c r="O244" s="8">
        <v>0.94694990000000001</v>
      </c>
      <c r="P244" s="8">
        <v>0.92254639999999999</v>
      </c>
      <c r="Q244" s="8">
        <v>0.1478641</v>
      </c>
      <c r="R244" s="8">
        <v>3.5658099999999998E-2</v>
      </c>
    </row>
    <row r="245" spans="2:18" ht="1" customHeight="1">
      <c r="B245" s="8">
        <v>29</v>
      </c>
      <c r="C245" s="8" t="s">
        <v>40</v>
      </c>
      <c r="D245" s="8" t="str">
        <f t="shared" si="18"/>
        <v>29Brazil</v>
      </c>
      <c r="E245" s="8">
        <v>1</v>
      </c>
      <c r="F245" s="8">
        <v>0.76837840000000002</v>
      </c>
      <c r="G245" s="8">
        <v>0.71597659999999996</v>
      </c>
      <c r="H245" s="8">
        <v>5.6737299999999997E-2</v>
      </c>
      <c r="I245" s="8">
        <v>3.6994800000000001E-2</v>
      </c>
      <c r="K245" s="8">
        <v>29</v>
      </c>
      <c r="L245" s="8" t="s">
        <v>40</v>
      </c>
      <c r="M245" s="8" t="str">
        <f t="shared" si="19"/>
        <v>29Brazil</v>
      </c>
      <c r="N245" s="8">
        <v>1</v>
      </c>
      <c r="O245" s="8">
        <v>0.94423009999999996</v>
      </c>
      <c r="P245" s="8">
        <v>0.92269650000000003</v>
      </c>
      <c r="Q245" s="8">
        <v>0.1290656</v>
      </c>
      <c r="R245" s="8">
        <v>3.1583800000000002E-2</v>
      </c>
    </row>
    <row r="246" spans="2:18" ht="1" customHeight="1">
      <c r="B246" s="8">
        <v>30</v>
      </c>
      <c r="C246" s="8" t="s">
        <v>40</v>
      </c>
      <c r="D246" s="8" t="str">
        <f t="shared" si="18"/>
        <v>30Brazil</v>
      </c>
      <c r="E246" s="8">
        <v>1</v>
      </c>
      <c r="F246" s="8">
        <v>0.77120900000000003</v>
      </c>
      <c r="G246" s="8">
        <v>0.7215319</v>
      </c>
      <c r="H246" s="8">
        <v>5.4640899999999999E-2</v>
      </c>
      <c r="I246" s="8">
        <v>3.5517199999999999E-2</v>
      </c>
      <c r="K246" s="8">
        <v>30</v>
      </c>
      <c r="L246" s="8" t="s">
        <v>40</v>
      </c>
      <c r="M246" s="8" t="str">
        <f t="shared" si="19"/>
        <v>30Brazil</v>
      </c>
      <c r="N246" s="8">
        <v>1</v>
      </c>
      <c r="O246" s="8">
        <v>0.94366059999999996</v>
      </c>
      <c r="P246" s="8">
        <v>0.92490410000000001</v>
      </c>
      <c r="Q246" s="8">
        <v>0.11774660000000001</v>
      </c>
      <c r="R246" s="8">
        <v>2.9315000000000001E-2</v>
      </c>
    </row>
    <row r="247" spans="2:18" ht="1" customHeight="1">
      <c r="B247" s="8">
        <v>31</v>
      </c>
      <c r="C247" s="8" t="s">
        <v>40</v>
      </c>
      <c r="D247" s="8" t="str">
        <f t="shared" si="18"/>
        <v>31Brazil</v>
      </c>
      <c r="E247" s="8">
        <v>1</v>
      </c>
      <c r="F247" s="8">
        <v>0.77403960000000005</v>
      </c>
      <c r="G247" s="8">
        <v>0.72708729999999999</v>
      </c>
      <c r="H247" s="8">
        <v>5.2544500000000001E-2</v>
      </c>
      <c r="I247" s="8">
        <v>3.40395E-2</v>
      </c>
      <c r="K247" s="8">
        <v>31</v>
      </c>
      <c r="L247" s="8" t="s">
        <v>40</v>
      </c>
      <c r="M247" s="8" t="str">
        <f t="shared" si="19"/>
        <v>31Brazil</v>
      </c>
      <c r="N247" s="8">
        <v>1</v>
      </c>
      <c r="O247" s="8">
        <v>0.94309120000000002</v>
      </c>
      <c r="P247" s="8">
        <v>0.92711180000000004</v>
      </c>
      <c r="Q247" s="8">
        <v>0.1064276</v>
      </c>
      <c r="R247" s="8">
        <v>2.7046199999999999E-2</v>
      </c>
    </row>
    <row r="248" spans="2:18" ht="1" customHeight="1">
      <c r="B248" s="8">
        <v>32</v>
      </c>
      <c r="C248" s="8" t="s">
        <v>40</v>
      </c>
      <c r="D248" s="8" t="str">
        <f t="shared" si="18"/>
        <v>32Brazil</v>
      </c>
      <c r="E248" s="8">
        <v>1</v>
      </c>
      <c r="F248" s="8">
        <v>0.77936369999999999</v>
      </c>
      <c r="G248" s="8">
        <v>0.73068010000000005</v>
      </c>
      <c r="H248" s="8">
        <v>5.0119200000000003E-2</v>
      </c>
      <c r="I248" s="8">
        <v>3.20357E-2</v>
      </c>
      <c r="K248" s="8">
        <v>32</v>
      </c>
      <c r="L248" s="8" t="s">
        <v>40</v>
      </c>
      <c r="M248" s="8" t="str">
        <f t="shared" si="19"/>
        <v>32Brazil</v>
      </c>
      <c r="N248" s="8">
        <v>1</v>
      </c>
      <c r="O248" s="8">
        <v>0.94405019999999995</v>
      </c>
      <c r="P248" s="8">
        <v>0.92928980000000005</v>
      </c>
      <c r="Q248" s="8">
        <v>9.6479099999999998E-2</v>
      </c>
      <c r="R248" s="8">
        <v>2.4249699999999999E-2</v>
      </c>
    </row>
    <row r="249" spans="2:18" ht="1" customHeight="1">
      <c r="B249" s="8">
        <v>33</v>
      </c>
      <c r="C249" s="8" t="s">
        <v>40</v>
      </c>
      <c r="D249" s="8" t="str">
        <f t="shared" si="18"/>
        <v>33Brazil</v>
      </c>
      <c r="E249" s="8">
        <v>1</v>
      </c>
      <c r="F249" s="8">
        <v>0.78468780000000005</v>
      </c>
      <c r="G249" s="8">
        <v>0.73427299999999995</v>
      </c>
      <c r="H249" s="8">
        <v>4.7693899999999997E-2</v>
      </c>
      <c r="I249" s="8">
        <v>3.0032E-2</v>
      </c>
      <c r="K249" s="8">
        <v>33</v>
      </c>
      <c r="L249" s="8" t="s">
        <v>40</v>
      </c>
      <c r="M249" s="8" t="str">
        <f t="shared" si="19"/>
        <v>33Brazil</v>
      </c>
      <c r="N249" s="8">
        <v>1</v>
      </c>
      <c r="O249" s="8">
        <v>0.94500919999999999</v>
      </c>
      <c r="P249" s="8">
        <v>0.93146779999999996</v>
      </c>
      <c r="Q249" s="8">
        <v>8.6530700000000002E-2</v>
      </c>
      <c r="R249" s="8">
        <v>2.1453099999999999E-2</v>
      </c>
    </row>
    <row r="250" spans="2:18" ht="1" customHeight="1">
      <c r="B250" s="8">
        <v>34</v>
      </c>
      <c r="C250" s="8" t="s">
        <v>40</v>
      </c>
      <c r="D250" s="8" t="str">
        <f t="shared" si="18"/>
        <v>34Brazil</v>
      </c>
      <c r="E250" s="8">
        <v>1</v>
      </c>
      <c r="F250" s="8">
        <v>0.78788170000000002</v>
      </c>
      <c r="G250" s="8">
        <v>0.73791030000000002</v>
      </c>
      <c r="H250" s="8">
        <v>4.48893E-2</v>
      </c>
      <c r="I250" s="8">
        <v>2.8539599999999998E-2</v>
      </c>
      <c r="K250" s="8">
        <v>34</v>
      </c>
      <c r="L250" s="8" t="s">
        <v>40</v>
      </c>
      <c r="M250" s="8" t="str">
        <f t="shared" si="19"/>
        <v>34Brazil</v>
      </c>
      <c r="N250" s="8">
        <v>1</v>
      </c>
      <c r="O250" s="8">
        <v>0.94206380000000001</v>
      </c>
      <c r="P250" s="8">
        <v>0.92889940000000004</v>
      </c>
      <c r="Q250" s="8">
        <v>8.1668400000000002E-2</v>
      </c>
      <c r="R250" s="8">
        <v>1.8828600000000001E-2</v>
      </c>
    </row>
    <row r="251" spans="2:18" ht="1" customHeight="1">
      <c r="B251" s="8">
        <v>35</v>
      </c>
      <c r="C251" s="8" t="s">
        <v>40</v>
      </c>
      <c r="D251" s="8" t="str">
        <f t="shared" si="18"/>
        <v>35Brazil</v>
      </c>
      <c r="E251" s="8">
        <v>1</v>
      </c>
      <c r="F251" s="8">
        <v>0.79107570000000005</v>
      </c>
      <c r="G251" s="8">
        <v>0.74154759999999997</v>
      </c>
      <c r="H251" s="8">
        <v>4.2084799999999999E-2</v>
      </c>
      <c r="I251" s="8">
        <v>2.70472E-2</v>
      </c>
      <c r="K251" s="8">
        <v>35</v>
      </c>
      <c r="L251" s="8" t="s">
        <v>40</v>
      </c>
      <c r="M251" s="8" t="str">
        <f t="shared" si="19"/>
        <v>35Brazil</v>
      </c>
      <c r="N251" s="8">
        <v>1</v>
      </c>
      <c r="O251" s="8">
        <v>0.93911849999999997</v>
      </c>
      <c r="P251" s="8">
        <v>0.92633100000000002</v>
      </c>
      <c r="Q251" s="8">
        <v>7.6805999999999999E-2</v>
      </c>
      <c r="R251" s="8">
        <v>1.6204E-2</v>
      </c>
    </row>
    <row r="252" spans="2:18" ht="1" customHeight="1">
      <c r="B252" s="8">
        <v>36</v>
      </c>
      <c r="C252" s="8" t="s">
        <v>40</v>
      </c>
      <c r="D252" s="8" t="str">
        <f t="shared" si="18"/>
        <v>36Brazil</v>
      </c>
      <c r="E252" s="8">
        <v>1</v>
      </c>
      <c r="F252" s="8">
        <v>0.79272399999999998</v>
      </c>
      <c r="G252" s="8">
        <v>0.74445340000000004</v>
      </c>
      <c r="H252" s="8">
        <v>4.1118200000000001E-2</v>
      </c>
      <c r="I252" s="8">
        <v>2.7652800000000002E-2</v>
      </c>
      <c r="K252" s="8">
        <v>36</v>
      </c>
      <c r="L252" s="8" t="s">
        <v>40</v>
      </c>
      <c r="M252" s="8" t="str">
        <f t="shared" si="19"/>
        <v>36Brazil</v>
      </c>
      <c r="N252" s="8">
        <v>1</v>
      </c>
      <c r="O252" s="8">
        <v>0.93428739999999999</v>
      </c>
      <c r="P252" s="8">
        <v>0.92195269999999996</v>
      </c>
      <c r="Q252" s="8">
        <v>7.5287800000000002E-2</v>
      </c>
      <c r="R252" s="8">
        <v>1.5889199999999999E-2</v>
      </c>
    </row>
    <row r="253" spans="2:18" ht="1" customHeight="1">
      <c r="B253" s="8">
        <v>37</v>
      </c>
      <c r="C253" s="8" t="s">
        <v>40</v>
      </c>
      <c r="D253" s="8" t="str">
        <f t="shared" si="18"/>
        <v>37Brazil</v>
      </c>
      <c r="E253" s="8">
        <v>1</v>
      </c>
      <c r="F253" s="8">
        <v>0.79437239999999998</v>
      </c>
      <c r="G253" s="8">
        <v>0.7473592</v>
      </c>
      <c r="H253" s="8">
        <v>4.0151699999999999E-2</v>
      </c>
      <c r="I253" s="8">
        <v>2.8258399999999999E-2</v>
      </c>
      <c r="K253" s="8">
        <v>37</v>
      </c>
      <c r="L253" s="8" t="s">
        <v>40</v>
      </c>
      <c r="M253" s="8" t="str">
        <f t="shared" si="19"/>
        <v>37Brazil</v>
      </c>
      <c r="N253" s="8">
        <v>1</v>
      </c>
      <c r="O253" s="8">
        <v>0.92945639999999996</v>
      </c>
      <c r="P253" s="8">
        <v>0.91757449999999996</v>
      </c>
      <c r="Q253" s="8">
        <v>7.3769600000000005E-2</v>
      </c>
      <c r="R253" s="8">
        <v>1.5574299999999999E-2</v>
      </c>
    </row>
    <row r="254" spans="2:18" ht="1" customHeight="1">
      <c r="B254" s="8">
        <v>38</v>
      </c>
      <c r="C254" s="8" t="s">
        <v>40</v>
      </c>
      <c r="D254" s="8" t="str">
        <f t="shared" si="18"/>
        <v>38Brazil</v>
      </c>
      <c r="E254" s="8">
        <v>1</v>
      </c>
      <c r="F254" s="8">
        <v>0.79132610000000003</v>
      </c>
      <c r="G254" s="8">
        <v>0.74643780000000004</v>
      </c>
      <c r="H254" s="8">
        <v>3.9267700000000003E-2</v>
      </c>
      <c r="I254" s="8">
        <v>2.7924399999999999E-2</v>
      </c>
      <c r="K254" s="8">
        <v>38</v>
      </c>
      <c r="L254" s="8" t="s">
        <v>40</v>
      </c>
      <c r="M254" s="8" t="str">
        <f t="shared" si="19"/>
        <v>38Brazil</v>
      </c>
      <c r="N254" s="8">
        <v>1</v>
      </c>
      <c r="O254" s="8">
        <v>0.92851300000000003</v>
      </c>
      <c r="P254" s="8">
        <v>0.91781179999999996</v>
      </c>
      <c r="Q254" s="8">
        <v>7.0868200000000006E-2</v>
      </c>
      <c r="R254" s="8">
        <v>1.6090400000000001E-2</v>
      </c>
    </row>
    <row r="255" spans="2:18" ht="1" customHeight="1">
      <c r="B255" s="8">
        <v>39</v>
      </c>
      <c r="C255" s="8" t="s">
        <v>40</v>
      </c>
      <c r="D255" s="8" t="str">
        <f t="shared" si="18"/>
        <v>39Brazil</v>
      </c>
      <c r="E255" s="8">
        <v>1</v>
      </c>
      <c r="F255" s="8">
        <v>0.78827979999999997</v>
      </c>
      <c r="G255" s="8">
        <v>0.74551639999999997</v>
      </c>
      <c r="H255" s="8">
        <v>3.83837E-2</v>
      </c>
      <c r="I255" s="8">
        <v>2.75905E-2</v>
      </c>
      <c r="K255" s="8">
        <v>39</v>
      </c>
      <c r="L255" s="8" t="s">
        <v>40</v>
      </c>
      <c r="M255" s="8" t="str">
        <f t="shared" si="19"/>
        <v>39Brazil</v>
      </c>
      <c r="N255" s="8">
        <v>1</v>
      </c>
      <c r="O255" s="8">
        <v>0.92756959999999999</v>
      </c>
      <c r="P255" s="8">
        <v>0.918049</v>
      </c>
      <c r="Q255" s="8">
        <v>6.7966700000000005E-2</v>
      </c>
      <c r="R255" s="8">
        <v>1.66065E-2</v>
      </c>
    </row>
    <row r="256" spans="2:18" ht="1" customHeight="1">
      <c r="B256" s="8">
        <v>40</v>
      </c>
      <c r="C256" s="8" t="s">
        <v>40</v>
      </c>
      <c r="D256" s="8" t="str">
        <f t="shared" si="18"/>
        <v>40Brazil</v>
      </c>
      <c r="E256" s="8">
        <v>1</v>
      </c>
      <c r="F256" s="8">
        <v>0.7820125</v>
      </c>
      <c r="G256" s="8">
        <v>0.74093149999999997</v>
      </c>
      <c r="H256" s="8">
        <v>3.5329699999999999E-2</v>
      </c>
      <c r="I256" s="8">
        <v>2.4561300000000001E-2</v>
      </c>
      <c r="K256" s="8">
        <v>40</v>
      </c>
      <c r="L256" s="8" t="s">
        <v>40</v>
      </c>
      <c r="M256" s="8" t="str">
        <f t="shared" si="19"/>
        <v>40Brazil</v>
      </c>
      <c r="N256" s="8">
        <v>1</v>
      </c>
      <c r="O256" s="8">
        <v>0.92579880000000003</v>
      </c>
      <c r="P256" s="8">
        <v>0.91726160000000001</v>
      </c>
      <c r="Q256" s="8">
        <v>6.30526E-2</v>
      </c>
      <c r="R256" s="8">
        <v>1.4949499999999999E-2</v>
      </c>
    </row>
    <row r="257" spans="2:18" ht="1" customHeight="1">
      <c r="B257" s="8">
        <v>0</v>
      </c>
      <c r="C257" s="8" t="s">
        <v>42</v>
      </c>
      <c r="D257" s="8" t="str">
        <f t="shared" si="18"/>
        <v>0Colombia</v>
      </c>
      <c r="E257" s="8"/>
      <c r="F257" s="8"/>
      <c r="G257" s="8"/>
      <c r="H257" s="8"/>
      <c r="I257" s="8"/>
      <c r="K257" s="8">
        <v>0</v>
      </c>
      <c r="L257" s="8" t="s">
        <v>42</v>
      </c>
      <c r="M257" s="8" t="str">
        <f t="shared" si="19"/>
        <v>0Colombia</v>
      </c>
      <c r="N257" s="8"/>
      <c r="O257" s="8"/>
      <c r="P257" s="8"/>
      <c r="Q257" s="8"/>
      <c r="R257" s="8"/>
    </row>
    <row r="258" spans="2:18" ht="1" customHeight="1">
      <c r="B258" s="8">
        <v>1</v>
      </c>
      <c r="C258" s="8" t="s">
        <v>42</v>
      </c>
      <c r="D258" s="8" t="str">
        <f t="shared" si="18"/>
        <v>1Colombia</v>
      </c>
      <c r="E258" s="8"/>
      <c r="F258" s="8"/>
      <c r="G258" s="8"/>
      <c r="H258" s="8"/>
      <c r="I258" s="8"/>
      <c r="K258" s="8">
        <v>1</v>
      </c>
      <c r="L258" s="8" t="s">
        <v>42</v>
      </c>
      <c r="M258" s="8" t="str">
        <f t="shared" si="19"/>
        <v>1Colombia</v>
      </c>
      <c r="N258" s="8"/>
      <c r="O258" s="8"/>
      <c r="P258" s="8"/>
      <c r="Q258" s="8"/>
      <c r="R258" s="8"/>
    </row>
    <row r="259" spans="2:18" ht="1" customHeight="1">
      <c r="B259" s="8">
        <v>2</v>
      </c>
      <c r="C259" s="8" t="s">
        <v>42</v>
      </c>
      <c r="D259" s="8" t="str">
        <f t="shared" si="18"/>
        <v>2Colombia</v>
      </c>
      <c r="E259" s="8"/>
      <c r="F259" s="8"/>
      <c r="G259" s="8"/>
      <c r="H259" s="8"/>
      <c r="I259" s="8"/>
      <c r="K259" s="8">
        <v>2</v>
      </c>
      <c r="L259" s="8" t="s">
        <v>42</v>
      </c>
      <c r="M259" s="8" t="str">
        <f t="shared" si="19"/>
        <v>2Colombia</v>
      </c>
      <c r="N259" s="8"/>
      <c r="O259" s="8"/>
      <c r="P259" s="8"/>
      <c r="Q259" s="8"/>
      <c r="R259" s="8"/>
    </row>
    <row r="260" spans="2:18" ht="1" customHeight="1">
      <c r="B260" s="8">
        <v>3</v>
      </c>
      <c r="C260" s="8" t="s">
        <v>42</v>
      </c>
      <c r="D260" s="8" t="str">
        <f t="shared" si="18"/>
        <v>3Colombia</v>
      </c>
      <c r="E260" s="8"/>
      <c r="F260" s="8"/>
      <c r="G260" s="8"/>
      <c r="H260" s="8"/>
      <c r="I260" s="8"/>
      <c r="K260" s="8">
        <v>3</v>
      </c>
      <c r="L260" s="8" t="s">
        <v>42</v>
      </c>
      <c r="M260" s="8" t="str">
        <f t="shared" si="19"/>
        <v>3Colombia</v>
      </c>
      <c r="N260" s="8"/>
      <c r="O260" s="8"/>
      <c r="P260" s="8"/>
      <c r="Q260" s="8"/>
      <c r="R260" s="8"/>
    </row>
    <row r="261" spans="2:18" ht="1" customHeight="1">
      <c r="B261" s="8">
        <v>4</v>
      </c>
      <c r="C261" s="8" t="s">
        <v>42</v>
      </c>
      <c r="D261" s="8" t="str">
        <f t="shared" si="18"/>
        <v>4Colombia</v>
      </c>
      <c r="E261" s="8"/>
      <c r="F261" s="8"/>
      <c r="G261" s="8"/>
      <c r="H261" s="8"/>
      <c r="I261" s="8"/>
      <c r="K261" s="8">
        <v>4</v>
      </c>
      <c r="L261" s="8" t="s">
        <v>42</v>
      </c>
      <c r="M261" s="8" t="str">
        <f t="shared" si="19"/>
        <v>4Colombia</v>
      </c>
      <c r="N261" s="8"/>
      <c r="O261" s="8"/>
      <c r="P261" s="8"/>
      <c r="Q261" s="8"/>
      <c r="R261" s="8"/>
    </row>
    <row r="262" spans="2:18" ht="1" customHeight="1">
      <c r="B262" s="8">
        <v>5</v>
      </c>
      <c r="C262" s="8" t="s">
        <v>42</v>
      </c>
      <c r="D262" s="8" t="str">
        <f t="shared" si="18"/>
        <v>5Colombia</v>
      </c>
      <c r="E262" s="8">
        <v>1</v>
      </c>
      <c r="F262" s="8">
        <v>0.86958999999999997</v>
      </c>
      <c r="G262" s="8">
        <v>0.86958999999999997</v>
      </c>
      <c r="H262" s="8">
        <v>0.86958999999999997</v>
      </c>
      <c r="I262" s="8">
        <v>0.82756879999999999</v>
      </c>
      <c r="K262" s="8">
        <v>5</v>
      </c>
      <c r="L262" s="8" t="s">
        <v>42</v>
      </c>
      <c r="M262" s="8" t="str">
        <f t="shared" si="19"/>
        <v>5Colombia</v>
      </c>
      <c r="N262" s="8">
        <v>1</v>
      </c>
      <c r="O262" s="8">
        <v>0.92673519999999998</v>
      </c>
      <c r="P262" s="8">
        <v>0.92673519999999998</v>
      </c>
      <c r="Q262" s="8">
        <v>0.92673519999999998</v>
      </c>
      <c r="R262" s="8">
        <v>0.4220991</v>
      </c>
    </row>
    <row r="263" spans="2:18" ht="1" customHeight="1">
      <c r="B263" s="8">
        <v>6</v>
      </c>
      <c r="C263" s="8" t="s">
        <v>42</v>
      </c>
      <c r="D263" s="8" t="str">
        <f t="shared" si="18"/>
        <v>6Colombia</v>
      </c>
      <c r="E263" s="8">
        <v>1</v>
      </c>
      <c r="F263" s="8">
        <v>0.91048850000000003</v>
      </c>
      <c r="G263" s="8">
        <v>0.91048850000000003</v>
      </c>
      <c r="H263" s="8">
        <v>0.91048850000000003</v>
      </c>
      <c r="I263" s="8">
        <v>0.87041250000000003</v>
      </c>
      <c r="K263" s="8">
        <v>6</v>
      </c>
      <c r="L263" s="8" t="s">
        <v>42</v>
      </c>
      <c r="M263" s="8" t="str">
        <f t="shared" si="19"/>
        <v>6Colombia</v>
      </c>
      <c r="N263" s="8">
        <v>1</v>
      </c>
      <c r="O263" s="8">
        <v>0.94996139999999996</v>
      </c>
      <c r="P263" s="8">
        <v>0.94996139999999996</v>
      </c>
      <c r="Q263" s="8">
        <v>0.94996139999999996</v>
      </c>
      <c r="R263" s="8">
        <v>0.44364589999999998</v>
      </c>
    </row>
    <row r="264" spans="2:18" ht="1" customHeight="1">
      <c r="B264" s="8">
        <v>7</v>
      </c>
      <c r="C264" s="8" t="s">
        <v>42</v>
      </c>
      <c r="D264" s="8" t="str">
        <f t="shared" si="18"/>
        <v>7Colombia</v>
      </c>
      <c r="E264" s="8">
        <v>1</v>
      </c>
      <c r="F264" s="8">
        <v>0.95138699999999998</v>
      </c>
      <c r="G264" s="8">
        <v>0.95138699999999998</v>
      </c>
      <c r="H264" s="8">
        <v>0.95138699999999998</v>
      </c>
      <c r="I264" s="8">
        <v>0.91325619999999996</v>
      </c>
      <c r="K264" s="8">
        <v>7</v>
      </c>
      <c r="L264" s="8" t="s">
        <v>42</v>
      </c>
      <c r="M264" s="8" t="str">
        <f t="shared" si="19"/>
        <v>7Colombia</v>
      </c>
      <c r="N264" s="8">
        <v>1</v>
      </c>
      <c r="O264" s="8">
        <v>0.97318769999999999</v>
      </c>
      <c r="P264" s="8">
        <v>0.97318769999999999</v>
      </c>
      <c r="Q264" s="8">
        <v>0.97318769999999999</v>
      </c>
      <c r="R264" s="8">
        <v>0.46519260000000001</v>
      </c>
    </row>
    <row r="265" spans="2:18" ht="1" customHeight="1">
      <c r="B265" s="8">
        <v>8</v>
      </c>
      <c r="C265" s="8" t="s">
        <v>42</v>
      </c>
      <c r="D265" s="8" t="str">
        <f t="shared" si="18"/>
        <v>8Colombia</v>
      </c>
      <c r="E265" s="8">
        <v>1</v>
      </c>
      <c r="F265" s="8">
        <v>0.96217790000000003</v>
      </c>
      <c r="G265" s="8">
        <v>0.96217790000000003</v>
      </c>
      <c r="H265" s="8">
        <v>0.96026089999999997</v>
      </c>
      <c r="I265" s="8">
        <v>0.92436790000000002</v>
      </c>
      <c r="K265" s="8">
        <v>8</v>
      </c>
      <c r="L265" s="8" t="s">
        <v>42</v>
      </c>
      <c r="M265" s="8" t="str">
        <f t="shared" si="19"/>
        <v>8Colombia</v>
      </c>
      <c r="N265" s="8">
        <v>1</v>
      </c>
      <c r="O265" s="8">
        <v>0.97869799999999996</v>
      </c>
      <c r="P265" s="8">
        <v>0.97869799999999996</v>
      </c>
      <c r="Q265" s="8">
        <v>0.97869799999999996</v>
      </c>
      <c r="R265" s="8">
        <v>0.49623020000000001</v>
      </c>
    </row>
    <row r="266" spans="2:18" ht="1" customHeight="1">
      <c r="B266" s="8">
        <v>9</v>
      </c>
      <c r="C266" s="8" t="s">
        <v>42</v>
      </c>
      <c r="D266" s="8" t="str">
        <f t="shared" si="18"/>
        <v>9Colombia</v>
      </c>
      <c r="E266" s="8">
        <v>1</v>
      </c>
      <c r="F266" s="8">
        <v>0.97296879999999997</v>
      </c>
      <c r="G266" s="8">
        <v>0.97296879999999997</v>
      </c>
      <c r="H266" s="8">
        <v>0.96913470000000002</v>
      </c>
      <c r="I266" s="8">
        <v>0.93547959999999997</v>
      </c>
      <c r="K266" s="8">
        <v>9</v>
      </c>
      <c r="L266" s="8" t="s">
        <v>42</v>
      </c>
      <c r="M266" s="8" t="str">
        <f t="shared" si="19"/>
        <v>9Colombia</v>
      </c>
      <c r="N266" s="8">
        <v>1</v>
      </c>
      <c r="O266" s="8">
        <v>0.98420839999999998</v>
      </c>
      <c r="P266" s="8">
        <v>0.98420839999999998</v>
      </c>
      <c r="Q266" s="8">
        <v>0.98420839999999998</v>
      </c>
      <c r="R266" s="8">
        <v>0.52726779999999995</v>
      </c>
    </row>
    <row r="267" spans="2:18" ht="1" customHeight="1">
      <c r="B267" s="8">
        <v>10</v>
      </c>
      <c r="C267" s="8" t="s">
        <v>42</v>
      </c>
      <c r="D267" s="8" t="str">
        <f t="shared" si="18"/>
        <v>10Colombia</v>
      </c>
      <c r="E267" s="8">
        <v>1</v>
      </c>
      <c r="F267" s="8">
        <v>0.96953210000000001</v>
      </c>
      <c r="G267" s="8">
        <v>0.9682982</v>
      </c>
      <c r="H267" s="8">
        <v>0.960565</v>
      </c>
      <c r="I267" s="8">
        <v>0.92954490000000001</v>
      </c>
      <c r="K267" s="8">
        <v>10</v>
      </c>
      <c r="L267" s="8" t="s">
        <v>42</v>
      </c>
      <c r="M267" s="8" t="str">
        <f t="shared" si="19"/>
        <v>10Colombia</v>
      </c>
      <c r="N267" s="8">
        <v>1</v>
      </c>
      <c r="O267" s="8">
        <v>0.98092020000000002</v>
      </c>
      <c r="P267" s="8">
        <v>0.98092020000000002</v>
      </c>
      <c r="Q267" s="8">
        <v>0.98061279999999995</v>
      </c>
      <c r="R267" s="8">
        <v>0.53597519999999998</v>
      </c>
    </row>
    <row r="268" spans="2:18" ht="1" customHeight="1">
      <c r="B268" s="8">
        <v>11</v>
      </c>
      <c r="C268" s="8" t="s">
        <v>42</v>
      </c>
      <c r="D268" s="8" t="str">
        <f t="shared" si="18"/>
        <v>11Colombia</v>
      </c>
      <c r="E268" s="8">
        <v>1</v>
      </c>
      <c r="F268" s="8">
        <v>0.96609540000000005</v>
      </c>
      <c r="G268" s="8">
        <v>0.96362760000000003</v>
      </c>
      <c r="H268" s="8">
        <v>0.95199540000000005</v>
      </c>
      <c r="I268" s="8">
        <v>0.9236103</v>
      </c>
      <c r="K268" s="8">
        <v>11</v>
      </c>
      <c r="L268" s="8" t="s">
        <v>42</v>
      </c>
      <c r="M268" s="8" t="str">
        <f t="shared" si="19"/>
        <v>11Colombia</v>
      </c>
      <c r="N268" s="8">
        <v>1</v>
      </c>
      <c r="O268" s="8">
        <v>0.97763199999999995</v>
      </c>
      <c r="P268" s="8">
        <v>0.97763199999999995</v>
      </c>
      <c r="Q268" s="8">
        <v>0.97701720000000003</v>
      </c>
      <c r="R268" s="8">
        <v>0.54468260000000002</v>
      </c>
    </row>
    <row r="269" spans="2:18" ht="1" customHeight="1">
      <c r="B269" s="8">
        <v>12</v>
      </c>
      <c r="C269" s="8" t="s">
        <v>42</v>
      </c>
      <c r="D269" s="8" t="str">
        <f t="shared" si="18"/>
        <v>12Colombia</v>
      </c>
      <c r="E269" s="8">
        <v>1</v>
      </c>
      <c r="F269" s="8">
        <v>0.95861459999999998</v>
      </c>
      <c r="G269" s="8">
        <v>0.9509763</v>
      </c>
      <c r="H269" s="8">
        <v>0.9301199</v>
      </c>
      <c r="I269" s="8">
        <v>0.90841620000000001</v>
      </c>
      <c r="K269" s="8">
        <v>12</v>
      </c>
      <c r="L269" s="8" t="s">
        <v>42</v>
      </c>
      <c r="M269" s="8" t="str">
        <f t="shared" si="19"/>
        <v>12Colombia</v>
      </c>
      <c r="N269" s="8">
        <v>1</v>
      </c>
      <c r="O269" s="8">
        <v>0.97142980000000001</v>
      </c>
      <c r="P269" s="8">
        <v>0.97135280000000002</v>
      </c>
      <c r="Q269" s="8">
        <v>0.96968509999999997</v>
      </c>
      <c r="R269" s="8">
        <v>0.53865070000000004</v>
      </c>
    </row>
    <row r="270" spans="2:18" ht="1" customHeight="1">
      <c r="B270" s="8">
        <v>13</v>
      </c>
      <c r="C270" s="8" t="s">
        <v>42</v>
      </c>
      <c r="D270" s="8" t="str">
        <f t="shared" si="18"/>
        <v>13Colombia</v>
      </c>
      <c r="E270" s="8">
        <v>1</v>
      </c>
      <c r="F270" s="8">
        <v>0.95113369999999997</v>
      </c>
      <c r="G270" s="8">
        <v>0.93832490000000002</v>
      </c>
      <c r="H270" s="8">
        <v>0.90824439999999995</v>
      </c>
      <c r="I270" s="8">
        <v>0.89322199999999996</v>
      </c>
      <c r="K270" s="8">
        <v>13</v>
      </c>
      <c r="L270" s="8" t="s">
        <v>42</v>
      </c>
      <c r="M270" s="8" t="str">
        <f t="shared" si="19"/>
        <v>13Colombia</v>
      </c>
      <c r="N270" s="8">
        <v>1</v>
      </c>
      <c r="O270" s="8">
        <v>0.96522770000000002</v>
      </c>
      <c r="P270" s="8">
        <v>0.96507370000000003</v>
      </c>
      <c r="Q270" s="8">
        <v>0.96235309999999996</v>
      </c>
      <c r="R270" s="8">
        <v>0.53261879999999995</v>
      </c>
    </row>
    <row r="271" spans="2:18" ht="1" customHeight="1">
      <c r="B271" s="8">
        <v>14</v>
      </c>
      <c r="C271" s="8" t="s">
        <v>42</v>
      </c>
      <c r="D271" s="8" t="str">
        <f t="shared" si="18"/>
        <v>14Colombia</v>
      </c>
      <c r="E271" s="8">
        <v>1</v>
      </c>
      <c r="F271" s="8">
        <v>0.93412949999999995</v>
      </c>
      <c r="G271" s="8">
        <v>0.91463340000000004</v>
      </c>
      <c r="H271" s="8">
        <v>0.86332880000000001</v>
      </c>
      <c r="I271" s="8">
        <v>0.84991729999999999</v>
      </c>
      <c r="K271" s="8">
        <v>14</v>
      </c>
      <c r="L271" s="8" t="s">
        <v>42</v>
      </c>
      <c r="M271" s="8" t="str">
        <f t="shared" si="19"/>
        <v>14Colombia</v>
      </c>
      <c r="N271" s="8">
        <v>1</v>
      </c>
      <c r="O271" s="8">
        <v>0.95256700000000005</v>
      </c>
      <c r="P271" s="8">
        <v>0.9502237</v>
      </c>
      <c r="Q271" s="8">
        <v>0.94072029999999995</v>
      </c>
      <c r="R271" s="8">
        <v>0.53015760000000001</v>
      </c>
    </row>
    <row r="272" spans="2:18" ht="1" customHeight="1">
      <c r="B272" s="8">
        <v>15</v>
      </c>
      <c r="C272" s="8" t="s">
        <v>42</v>
      </c>
      <c r="D272" s="8" t="str">
        <f t="shared" si="18"/>
        <v>15Colombia</v>
      </c>
      <c r="E272" s="8">
        <v>1</v>
      </c>
      <c r="F272" s="8">
        <v>0.91712519999999997</v>
      </c>
      <c r="G272" s="8">
        <v>0.89094189999999995</v>
      </c>
      <c r="H272" s="8">
        <v>0.8184131</v>
      </c>
      <c r="I272" s="8">
        <v>0.80661260000000001</v>
      </c>
      <c r="K272" s="8">
        <v>15</v>
      </c>
      <c r="L272" s="8" t="s">
        <v>42</v>
      </c>
      <c r="M272" s="8" t="str">
        <f t="shared" si="19"/>
        <v>15Colombia</v>
      </c>
      <c r="N272" s="8">
        <v>1</v>
      </c>
      <c r="O272" s="8">
        <v>0.93990629999999997</v>
      </c>
      <c r="P272" s="8">
        <v>0.93537369999999997</v>
      </c>
      <c r="Q272" s="8">
        <v>0.9190874</v>
      </c>
      <c r="R272" s="8">
        <v>0.52769639999999995</v>
      </c>
    </row>
    <row r="273" spans="2:18" ht="1" customHeight="1">
      <c r="B273" s="8">
        <v>16</v>
      </c>
      <c r="C273" s="8" t="s">
        <v>42</v>
      </c>
      <c r="D273" s="8" t="str">
        <f t="shared" si="18"/>
        <v>16Colombia</v>
      </c>
      <c r="E273" s="8">
        <v>1</v>
      </c>
      <c r="F273" s="8">
        <v>0.88029400000000002</v>
      </c>
      <c r="G273" s="8">
        <v>0.84456279999999995</v>
      </c>
      <c r="H273" s="8">
        <v>0.72847130000000004</v>
      </c>
      <c r="I273" s="8">
        <v>0.70967659999999999</v>
      </c>
      <c r="K273" s="8">
        <v>16</v>
      </c>
      <c r="L273" s="8" t="s">
        <v>42</v>
      </c>
      <c r="M273" s="8" t="str">
        <f t="shared" si="19"/>
        <v>16Colombia</v>
      </c>
      <c r="N273" s="8">
        <v>1</v>
      </c>
      <c r="O273" s="8">
        <v>0.92688479999999995</v>
      </c>
      <c r="P273" s="8">
        <v>0.91429950000000004</v>
      </c>
      <c r="Q273" s="8">
        <v>0.85155769999999997</v>
      </c>
      <c r="R273" s="8">
        <v>0.487651</v>
      </c>
    </row>
    <row r="274" spans="2:18" ht="1" customHeight="1">
      <c r="B274" s="8">
        <v>17</v>
      </c>
      <c r="C274" s="8" t="s">
        <v>42</v>
      </c>
      <c r="D274" s="8" t="str">
        <f t="shared" si="18"/>
        <v>17Colombia</v>
      </c>
      <c r="E274" s="8">
        <v>1</v>
      </c>
      <c r="F274" s="8">
        <v>0.84346270000000001</v>
      </c>
      <c r="G274" s="8">
        <v>0.7981838</v>
      </c>
      <c r="H274" s="8">
        <v>0.63852949999999997</v>
      </c>
      <c r="I274" s="8">
        <v>0.61274050000000002</v>
      </c>
      <c r="K274" s="8">
        <v>17</v>
      </c>
      <c r="L274" s="8" t="s">
        <v>42</v>
      </c>
      <c r="M274" s="8" t="str">
        <f t="shared" si="19"/>
        <v>17Colombia</v>
      </c>
      <c r="N274" s="8">
        <v>1</v>
      </c>
      <c r="O274" s="8">
        <v>0.91386319999999999</v>
      </c>
      <c r="P274" s="8">
        <v>0.89322539999999995</v>
      </c>
      <c r="Q274" s="8">
        <v>0.78402799999999995</v>
      </c>
      <c r="R274" s="8">
        <v>0.44760559999999999</v>
      </c>
    </row>
    <row r="275" spans="2:18" ht="1" customHeight="1">
      <c r="B275" s="8">
        <v>18</v>
      </c>
      <c r="C275" s="8" t="s">
        <v>42</v>
      </c>
      <c r="D275" s="8" t="str">
        <f t="shared" si="18"/>
        <v>18Colombia</v>
      </c>
      <c r="E275" s="8">
        <v>1</v>
      </c>
      <c r="F275" s="8">
        <v>0.8025156</v>
      </c>
      <c r="G275" s="8">
        <v>0.74010180000000003</v>
      </c>
      <c r="H275" s="8">
        <v>0.51903619999999995</v>
      </c>
      <c r="I275" s="8">
        <v>0.48453239999999997</v>
      </c>
      <c r="K275" s="8">
        <v>18</v>
      </c>
      <c r="L275" s="8" t="s">
        <v>42</v>
      </c>
      <c r="M275" s="8" t="str">
        <f t="shared" si="19"/>
        <v>18Colombia</v>
      </c>
      <c r="N275" s="8">
        <v>1</v>
      </c>
      <c r="O275" s="8">
        <v>0.91670220000000002</v>
      </c>
      <c r="P275" s="8">
        <v>0.88506010000000002</v>
      </c>
      <c r="Q275" s="8">
        <v>0.69198979999999999</v>
      </c>
      <c r="R275" s="8">
        <v>0.37586619999999998</v>
      </c>
    </row>
    <row r="276" spans="2:18" ht="1" customHeight="1">
      <c r="B276" s="8">
        <v>19</v>
      </c>
      <c r="C276" s="8" t="s">
        <v>42</v>
      </c>
      <c r="D276" s="8" t="str">
        <f t="shared" si="18"/>
        <v>19Colombia</v>
      </c>
      <c r="E276" s="8">
        <v>1</v>
      </c>
      <c r="F276" s="8">
        <v>0.76156840000000003</v>
      </c>
      <c r="G276" s="8">
        <v>0.68201979999999995</v>
      </c>
      <c r="H276" s="8">
        <v>0.39954299999999998</v>
      </c>
      <c r="I276" s="8">
        <v>0.35632429999999998</v>
      </c>
      <c r="K276" s="8">
        <v>19</v>
      </c>
      <c r="L276" s="8" t="s">
        <v>42</v>
      </c>
      <c r="M276" s="8" t="str">
        <f t="shared" si="19"/>
        <v>19Colombia</v>
      </c>
      <c r="N276" s="8">
        <v>1</v>
      </c>
      <c r="O276" s="8">
        <v>0.91954119999999995</v>
      </c>
      <c r="P276" s="8">
        <v>0.87689479999999997</v>
      </c>
      <c r="Q276" s="8">
        <v>0.59995160000000003</v>
      </c>
      <c r="R276" s="8">
        <v>0.30412689999999998</v>
      </c>
    </row>
    <row r="277" spans="2:18" ht="1" customHeight="1">
      <c r="B277" s="8">
        <v>20</v>
      </c>
      <c r="C277" s="8" t="s">
        <v>42</v>
      </c>
      <c r="D277" s="8" t="str">
        <f t="shared" si="18"/>
        <v>20Colombia</v>
      </c>
      <c r="E277" s="8">
        <v>1</v>
      </c>
      <c r="F277" s="8">
        <v>0.74615529999999997</v>
      </c>
      <c r="G277" s="8">
        <v>0.65023660000000005</v>
      </c>
      <c r="H277" s="8">
        <v>0.32084669999999998</v>
      </c>
      <c r="I277" s="8">
        <v>0.27156829999999998</v>
      </c>
      <c r="K277" s="8">
        <v>20</v>
      </c>
      <c r="L277" s="8" t="s">
        <v>42</v>
      </c>
      <c r="M277" s="8" t="str">
        <f t="shared" si="19"/>
        <v>20Colombia</v>
      </c>
      <c r="N277" s="8">
        <v>1</v>
      </c>
      <c r="O277" s="8">
        <v>0.93347449999999998</v>
      </c>
      <c r="P277" s="8">
        <v>0.88663570000000003</v>
      </c>
      <c r="Q277" s="8">
        <v>0.53770340000000005</v>
      </c>
      <c r="R277" s="8">
        <v>0.25495230000000002</v>
      </c>
    </row>
    <row r="278" spans="2:18" ht="1" customHeight="1">
      <c r="B278" s="8">
        <v>21</v>
      </c>
      <c r="C278" s="8" t="s">
        <v>42</v>
      </c>
      <c r="D278" s="8" t="str">
        <f t="shared" si="18"/>
        <v>21Colombia</v>
      </c>
      <c r="E278" s="8">
        <v>1</v>
      </c>
      <c r="F278" s="8">
        <v>0.73074220000000001</v>
      </c>
      <c r="G278" s="8">
        <v>0.61845340000000004</v>
      </c>
      <c r="H278" s="8">
        <v>0.24215039999999999</v>
      </c>
      <c r="I278" s="8">
        <v>0.18681229999999999</v>
      </c>
      <c r="K278" s="8">
        <v>21</v>
      </c>
      <c r="L278" s="8" t="s">
        <v>42</v>
      </c>
      <c r="M278" s="8" t="str">
        <f t="shared" si="19"/>
        <v>21Colombia</v>
      </c>
      <c r="N278" s="8">
        <v>1</v>
      </c>
      <c r="O278" s="8">
        <v>0.94740769999999996</v>
      </c>
      <c r="P278" s="8">
        <v>0.89637659999999997</v>
      </c>
      <c r="Q278" s="8">
        <v>0.47545530000000003</v>
      </c>
      <c r="R278" s="8">
        <v>0.2057776</v>
      </c>
    </row>
    <row r="279" spans="2:18" ht="1" customHeight="1">
      <c r="B279" s="8">
        <v>22</v>
      </c>
      <c r="C279" s="8" t="s">
        <v>42</v>
      </c>
      <c r="D279" s="8" t="str">
        <f t="shared" si="18"/>
        <v>22Colombia</v>
      </c>
      <c r="E279" s="8">
        <v>1</v>
      </c>
      <c r="F279" s="8">
        <v>0.73151860000000002</v>
      </c>
      <c r="G279" s="8">
        <v>0.61378889999999997</v>
      </c>
      <c r="H279" s="8">
        <v>0.2042359</v>
      </c>
      <c r="I279" s="8">
        <v>0.1521479</v>
      </c>
      <c r="K279" s="8">
        <v>22</v>
      </c>
      <c r="L279" s="8" t="s">
        <v>42</v>
      </c>
      <c r="M279" s="8" t="str">
        <f t="shared" si="19"/>
        <v>22Colombia</v>
      </c>
      <c r="N279" s="8">
        <v>1</v>
      </c>
      <c r="O279" s="8">
        <v>0.95091130000000001</v>
      </c>
      <c r="P279" s="8">
        <v>0.90173800000000004</v>
      </c>
      <c r="Q279" s="8">
        <v>0.42450280000000001</v>
      </c>
      <c r="R279" s="8">
        <v>0.17579349999999999</v>
      </c>
    </row>
    <row r="280" spans="2:18" ht="1" customHeight="1">
      <c r="B280" s="8">
        <v>23</v>
      </c>
      <c r="C280" s="8" t="s">
        <v>42</v>
      </c>
      <c r="D280" s="8" t="str">
        <f t="shared" si="18"/>
        <v>23Colombia</v>
      </c>
      <c r="E280" s="8">
        <v>1</v>
      </c>
      <c r="F280" s="8">
        <v>0.73229489999999997</v>
      </c>
      <c r="G280" s="8">
        <v>0.60912440000000001</v>
      </c>
      <c r="H280" s="8">
        <v>0.16632150000000001</v>
      </c>
      <c r="I280" s="8">
        <v>0.1174835</v>
      </c>
      <c r="K280" s="8">
        <v>23</v>
      </c>
      <c r="L280" s="8" t="s">
        <v>42</v>
      </c>
      <c r="M280" s="8" t="str">
        <f t="shared" si="19"/>
        <v>23Colombia</v>
      </c>
      <c r="N280" s="8">
        <v>1</v>
      </c>
      <c r="O280" s="8">
        <v>0.95441480000000001</v>
      </c>
      <c r="P280" s="8">
        <v>0.90709960000000001</v>
      </c>
      <c r="Q280" s="8">
        <v>0.3735503</v>
      </c>
      <c r="R280" s="8">
        <v>0.14580940000000001</v>
      </c>
    </row>
    <row r="281" spans="2:18" ht="1" customHeight="1">
      <c r="B281" s="8">
        <v>24</v>
      </c>
      <c r="C281" s="8" t="s">
        <v>42</v>
      </c>
      <c r="D281" s="8" t="str">
        <f t="shared" si="18"/>
        <v>24Colombia</v>
      </c>
      <c r="E281" s="8">
        <v>1</v>
      </c>
      <c r="F281" s="8">
        <v>0.73141940000000005</v>
      </c>
      <c r="G281" s="8">
        <v>0.61331670000000005</v>
      </c>
      <c r="H281" s="8">
        <v>0.1354863</v>
      </c>
      <c r="I281" s="8">
        <v>8.9277300000000004E-2</v>
      </c>
      <c r="K281" s="8">
        <v>24</v>
      </c>
      <c r="L281" s="8" t="s">
        <v>42</v>
      </c>
      <c r="M281" s="8" t="str">
        <f t="shared" si="19"/>
        <v>24Colombia</v>
      </c>
      <c r="N281" s="8">
        <v>1</v>
      </c>
      <c r="O281" s="8">
        <v>0.95162590000000002</v>
      </c>
      <c r="P281" s="8">
        <v>0.90614530000000004</v>
      </c>
      <c r="Q281" s="8">
        <v>0.3258781</v>
      </c>
      <c r="R281" s="8">
        <v>0.1236445</v>
      </c>
    </row>
    <row r="282" spans="2:18" ht="1" customHeight="1">
      <c r="B282" s="8">
        <v>25</v>
      </c>
      <c r="C282" s="8" t="s">
        <v>42</v>
      </c>
      <c r="D282" s="8" t="str">
        <f t="shared" si="18"/>
        <v>25Colombia</v>
      </c>
      <c r="E282" s="8">
        <v>1</v>
      </c>
      <c r="F282" s="8">
        <v>0.73054399999999997</v>
      </c>
      <c r="G282" s="8">
        <v>0.61750890000000003</v>
      </c>
      <c r="H282" s="8">
        <v>0.1046512</v>
      </c>
      <c r="I282" s="8">
        <v>6.1071E-2</v>
      </c>
      <c r="K282" s="8">
        <v>25</v>
      </c>
      <c r="L282" s="8" t="s">
        <v>42</v>
      </c>
      <c r="M282" s="8" t="str">
        <f t="shared" si="19"/>
        <v>25Colombia</v>
      </c>
      <c r="N282" s="8">
        <v>1</v>
      </c>
      <c r="O282" s="8">
        <v>0.94883700000000004</v>
      </c>
      <c r="P282" s="8">
        <v>0.90519090000000002</v>
      </c>
      <c r="Q282" s="8">
        <v>0.2782058</v>
      </c>
      <c r="R282" s="8">
        <v>0.1014796</v>
      </c>
    </row>
    <row r="283" spans="2:18" ht="1" customHeight="1">
      <c r="B283" s="8">
        <v>26</v>
      </c>
      <c r="C283" s="8" t="s">
        <v>42</v>
      </c>
      <c r="D283" s="8" t="str">
        <f t="shared" si="18"/>
        <v>26Colombia</v>
      </c>
      <c r="E283" s="8">
        <v>1</v>
      </c>
      <c r="F283" s="8">
        <v>0.73726440000000004</v>
      </c>
      <c r="G283" s="8">
        <v>0.63003070000000005</v>
      </c>
      <c r="H283" s="8">
        <v>8.2944299999999999E-2</v>
      </c>
      <c r="I283" s="8">
        <v>4.4086E-2</v>
      </c>
      <c r="K283" s="8">
        <v>26</v>
      </c>
      <c r="L283" s="8" t="s">
        <v>42</v>
      </c>
      <c r="M283" s="8" t="str">
        <f t="shared" si="19"/>
        <v>26Colombia</v>
      </c>
      <c r="N283" s="8">
        <v>1</v>
      </c>
      <c r="O283" s="8">
        <v>0.95000200000000001</v>
      </c>
      <c r="P283" s="8">
        <v>0.90785260000000001</v>
      </c>
      <c r="Q283" s="8">
        <v>0.2475947</v>
      </c>
      <c r="R283" s="8">
        <v>8.7222800000000003E-2</v>
      </c>
    </row>
    <row r="284" spans="2:18" ht="1" customHeight="1">
      <c r="B284" s="8">
        <v>27</v>
      </c>
      <c r="C284" s="8" t="s">
        <v>42</v>
      </c>
      <c r="D284" s="8" t="str">
        <f t="shared" si="18"/>
        <v>27Colombia</v>
      </c>
      <c r="E284" s="8">
        <v>1</v>
      </c>
      <c r="F284" s="8">
        <v>0.7439848</v>
      </c>
      <c r="G284" s="8">
        <v>0.64255249999999997</v>
      </c>
      <c r="H284" s="8">
        <v>6.1237399999999997E-2</v>
      </c>
      <c r="I284" s="8">
        <v>2.7100900000000001E-2</v>
      </c>
      <c r="K284" s="8">
        <v>27</v>
      </c>
      <c r="L284" s="8" t="s">
        <v>42</v>
      </c>
      <c r="M284" s="8" t="str">
        <f t="shared" si="19"/>
        <v>27Colombia</v>
      </c>
      <c r="N284" s="8">
        <v>1</v>
      </c>
      <c r="O284" s="8">
        <v>0.95116679999999998</v>
      </c>
      <c r="P284" s="8">
        <v>0.91051439999999995</v>
      </c>
      <c r="Q284" s="8">
        <v>0.2169835</v>
      </c>
      <c r="R284" s="8">
        <v>7.2966100000000006E-2</v>
      </c>
    </row>
    <row r="285" spans="2:18" ht="1" customHeight="1">
      <c r="B285" s="8">
        <v>28</v>
      </c>
      <c r="C285" s="8" t="s">
        <v>42</v>
      </c>
      <c r="D285" s="8" t="str">
        <f t="shared" si="18"/>
        <v>28Colombia</v>
      </c>
      <c r="E285" s="8">
        <v>1</v>
      </c>
      <c r="F285" s="8">
        <v>0.75932379999999999</v>
      </c>
      <c r="G285" s="8">
        <v>0.66101319999999997</v>
      </c>
      <c r="H285" s="8">
        <v>5.5919799999999999E-2</v>
      </c>
      <c r="I285" s="8">
        <v>2.97684E-2</v>
      </c>
      <c r="K285" s="8">
        <v>28</v>
      </c>
      <c r="L285" s="8" t="s">
        <v>42</v>
      </c>
      <c r="M285" s="8" t="str">
        <f t="shared" si="19"/>
        <v>28Colombia</v>
      </c>
      <c r="N285" s="8">
        <v>1</v>
      </c>
      <c r="O285" s="8">
        <v>0.95422450000000003</v>
      </c>
      <c r="P285" s="8">
        <v>0.91434720000000003</v>
      </c>
      <c r="Q285" s="8">
        <v>0.19248090000000001</v>
      </c>
      <c r="R285" s="8">
        <v>6.5690700000000005E-2</v>
      </c>
    </row>
    <row r="286" spans="2:18" ht="1" customHeight="1">
      <c r="B286" s="8">
        <v>29</v>
      </c>
      <c r="C286" s="8" t="s">
        <v>42</v>
      </c>
      <c r="D286" s="8" t="str">
        <f t="shared" ref="D286:D349" si="20">CONCATENATE(B286,C286)</f>
        <v>29Colombia</v>
      </c>
      <c r="E286" s="8">
        <v>1</v>
      </c>
      <c r="F286" s="8">
        <v>0.77466290000000004</v>
      </c>
      <c r="G286" s="8">
        <v>0.67947389999999996</v>
      </c>
      <c r="H286" s="8">
        <v>5.0602099999999997E-2</v>
      </c>
      <c r="I286" s="8">
        <v>3.2435899999999997E-2</v>
      </c>
      <c r="K286" s="8">
        <v>29</v>
      </c>
      <c r="L286" s="8" t="s">
        <v>42</v>
      </c>
      <c r="M286" s="8" t="str">
        <f t="shared" ref="M286:M349" si="21">CONCATENATE(K286,L286)</f>
        <v>29Colombia</v>
      </c>
      <c r="N286" s="8">
        <v>1</v>
      </c>
      <c r="O286" s="8">
        <v>0.95728210000000002</v>
      </c>
      <c r="P286" s="8">
        <v>0.91818</v>
      </c>
      <c r="Q286" s="8">
        <v>0.1679783</v>
      </c>
      <c r="R286" s="8">
        <v>5.8415399999999999E-2</v>
      </c>
    </row>
    <row r="287" spans="2:18" ht="1" customHeight="1">
      <c r="B287" s="8">
        <v>30</v>
      </c>
      <c r="C287" s="8" t="s">
        <v>42</v>
      </c>
      <c r="D287" s="8" t="str">
        <f t="shared" si="20"/>
        <v>30Colombia</v>
      </c>
      <c r="E287" s="8">
        <v>1</v>
      </c>
      <c r="F287" s="8">
        <v>0.77706209999999998</v>
      </c>
      <c r="G287" s="8">
        <v>0.68557239999999997</v>
      </c>
      <c r="H287" s="8">
        <v>5.5589199999999998E-2</v>
      </c>
      <c r="I287" s="8">
        <v>4.0078200000000001E-2</v>
      </c>
      <c r="K287" s="8">
        <v>30</v>
      </c>
      <c r="L287" s="8" t="s">
        <v>42</v>
      </c>
      <c r="M287" s="8" t="str">
        <f t="shared" si="21"/>
        <v>30Colombia</v>
      </c>
      <c r="N287" s="8">
        <v>1</v>
      </c>
      <c r="O287" s="8">
        <v>0.96076499999999998</v>
      </c>
      <c r="P287" s="8">
        <v>0.92603270000000004</v>
      </c>
      <c r="Q287" s="8">
        <v>0.15014169999999999</v>
      </c>
      <c r="R287" s="8">
        <v>5.39585E-2</v>
      </c>
    </row>
    <row r="288" spans="2:18" ht="1" customHeight="1">
      <c r="B288" s="8">
        <v>31</v>
      </c>
      <c r="C288" s="8" t="s">
        <v>42</v>
      </c>
      <c r="D288" s="8" t="str">
        <f t="shared" si="20"/>
        <v>31Colombia</v>
      </c>
      <c r="E288" s="8">
        <v>1</v>
      </c>
      <c r="F288" s="8">
        <v>0.77946139999999997</v>
      </c>
      <c r="G288" s="8">
        <v>0.69167080000000003</v>
      </c>
      <c r="H288" s="8">
        <v>6.05763E-2</v>
      </c>
      <c r="I288" s="8">
        <v>4.7720400000000003E-2</v>
      </c>
      <c r="K288" s="8">
        <v>31</v>
      </c>
      <c r="L288" s="8" t="s">
        <v>42</v>
      </c>
      <c r="M288" s="8" t="str">
        <f t="shared" si="21"/>
        <v>31Colombia</v>
      </c>
      <c r="N288" s="8">
        <v>1</v>
      </c>
      <c r="O288" s="8">
        <v>0.96424790000000005</v>
      </c>
      <c r="P288" s="8">
        <v>0.93388519999999997</v>
      </c>
      <c r="Q288" s="8">
        <v>0.13230520000000001</v>
      </c>
      <c r="R288" s="8">
        <v>4.9501700000000003E-2</v>
      </c>
    </row>
    <row r="289" spans="2:18" ht="1" customHeight="1">
      <c r="B289" s="8">
        <v>32</v>
      </c>
      <c r="C289" s="8" t="s">
        <v>42</v>
      </c>
      <c r="D289" s="8" t="str">
        <f t="shared" si="20"/>
        <v>32Colombia</v>
      </c>
      <c r="E289" s="8">
        <v>1</v>
      </c>
      <c r="F289" s="8">
        <v>0.77762450000000005</v>
      </c>
      <c r="G289" s="8">
        <v>0.69166950000000005</v>
      </c>
      <c r="H289" s="8">
        <v>6.0734799999999999E-2</v>
      </c>
      <c r="I289" s="8">
        <v>5.2046700000000001E-2</v>
      </c>
      <c r="K289" s="8">
        <v>32</v>
      </c>
      <c r="L289" s="8" t="s">
        <v>42</v>
      </c>
      <c r="M289" s="8" t="str">
        <f t="shared" si="21"/>
        <v>32Colombia</v>
      </c>
      <c r="N289" s="8">
        <v>1</v>
      </c>
      <c r="O289" s="8">
        <v>0.96584440000000005</v>
      </c>
      <c r="P289" s="8">
        <v>0.94085739999999995</v>
      </c>
      <c r="Q289" s="8">
        <v>0.1239809</v>
      </c>
      <c r="R289" s="8">
        <v>4.4534200000000003E-2</v>
      </c>
    </row>
    <row r="290" spans="2:18" ht="1" customHeight="1">
      <c r="B290" s="8">
        <v>33</v>
      </c>
      <c r="C290" s="8" t="s">
        <v>42</v>
      </c>
      <c r="D290" s="8" t="str">
        <f t="shared" si="20"/>
        <v>33Colombia</v>
      </c>
      <c r="E290" s="8">
        <v>1</v>
      </c>
      <c r="F290" s="8">
        <v>0.77578760000000002</v>
      </c>
      <c r="G290" s="8">
        <v>0.69166799999999995</v>
      </c>
      <c r="H290" s="8">
        <v>6.0893299999999997E-2</v>
      </c>
      <c r="I290" s="8">
        <v>5.6372999999999999E-2</v>
      </c>
      <c r="K290" s="8">
        <v>33</v>
      </c>
      <c r="L290" s="8" t="s">
        <v>42</v>
      </c>
      <c r="M290" s="8" t="str">
        <f t="shared" si="21"/>
        <v>33Colombia</v>
      </c>
      <c r="N290" s="8">
        <v>1</v>
      </c>
      <c r="O290" s="8">
        <v>0.96744079999999999</v>
      </c>
      <c r="P290" s="8">
        <v>0.94782949999999999</v>
      </c>
      <c r="Q290" s="8">
        <v>0.1156565</v>
      </c>
      <c r="R290" s="8">
        <v>3.95666E-2</v>
      </c>
    </row>
    <row r="291" spans="2:18" ht="1" customHeight="1">
      <c r="B291" s="8">
        <v>34</v>
      </c>
      <c r="C291" s="8" t="s">
        <v>42</v>
      </c>
      <c r="D291" s="8" t="str">
        <f t="shared" si="20"/>
        <v>34Colombia</v>
      </c>
      <c r="E291" s="8">
        <v>1</v>
      </c>
      <c r="F291" s="8">
        <v>0.78565240000000003</v>
      </c>
      <c r="G291" s="8">
        <v>0.70372639999999997</v>
      </c>
      <c r="H291" s="8">
        <v>5.3928700000000003E-2</v>
      </c>
      <c r="I291" s="8">
        <v>5.12132E-2</v>
      </c>
      <c r="K291" s="8">
        <v>34</v>
      </c>
      <c r="L291" s="8" t="s">
        <v>42</v>
      </c>
      <c r="M291" s="8" t="str">
        <f t="shared" si="21"/>
        <v>34Colombia</v>
      </c>
      <c r="N291" s="8">
        <v>1</v>
      </c>
      <c r="O291" s="8">
        <v>0.96687409999999996</v>
      </c>
      <c r="P291" s="8">
        <v>0.94597799999999999</v>
      </c>
      <c r="Q291" s="8">
        <v>0.1082769</v>
      </c>
      <c r="R291" s="8">
        <v>3.4831500000000001E-2</v>
      </c>
    </row>
    <row r="292" spans="2:18" ht="1" customHeight="1">
      <c r="B292" s="8">
        <v>35</v>
      </c>
      <c r="C292" s="8" t="s">
        <v>42</v>
      </c>
      <c r="D292" s="8" t="str">
        <f t="shared" si="20"/>
        <v>35Colombia</v>
      </c>
      <c r="E292" s="8">
        <v>1</v>
      </c>
      <c r="F292" s="8">
        <v>0.79551720000000004</v>
      </c>
      <c r="G292" s="8">
        <v>0.7157848</v>
      </c>
      <c r="H292" s="8">
        <v>4.6964199999999998E-2</v>
      </c>
      <c r="I292" s="8">
        <v>4.6053400000000001E-2</v>
      </c>
      <c r="K292" s="8">
        <v>35</v>
      </c>
      <c r="L292" s="8" t="s">
        <v>42</v>
      </c>
      <c r="M292" s="8" t="str">
        <f t="shared" si="21"/>
        <v>35Colombia</v>
      </c>
      <c r="N292" s="8">
        <v>1</v>
      </c>
      <c r="O292" s="8">
        <v>0.96630729999999998</v>
      </c>
      <c r="P292" s="8">
        <v>0.94412649999999998</v>
      </c>
      <c r="Q292" s="8">
        <v>0.1008973</v>
      </c>
      <c r="R292" s="8">
        <v>3.0096399999999999E-2</v>
      </c>
    </row>
    <row r="293" spans="2:18" ht="1" customHeight="1">
      <c r="B293" s="8">
        <v>36</v>
      </c>
      <c r="C293" s="8" t="s">
        <v>42</v>
      </c>
      <c r="D293" s="8" t="str">
        <f t="shared" si="20"/>
        <v>36Colombia</v>
      </c>
      <c r="E293" s="8">
        <v>1</v>
      </c>
      <c r="F293" s="8">
        <v>0.7984194</v>
      </c>
      <c r="G293" s="8">
        <v>0.72718099999999997</v>
      </c>
      <c r="H293" s="8">
        <v>3.5853700000000002E-2</v>
      </c>
      <c r="I293" s="8">
        <v>3.1967700000000002E-2</v>
      </c>
      <c r="K293" s="8">
        <v>36</v>
      </c>
      <c r="L293" s="8" t="s">
        <v>42</v>
      </c>
      <c r="M293" s="8" t="str">
        <f t="shared" si="21"/>
        <v>36Colombia</v>
      </c>
      <c r="N293" s="8">
        <v>1</v>
      </c>
      <c r="O293" s="8">
        <v>0.96155749999999995</v>
      </c>
      <c r="P293" s="8">
        <v>0.93589739999999999</v>
      </c>
      <c r="Q293" s="8">
        <v>9.1035099999999994E-2</v>
      </c>
      <c r="R293" s="8">
        <v>2.6488399999999999E-2</v>
      </c>
    </row>
    <row r="294" spans="2:18" ht="1" customHeight="1">
      <c r="B294" s="8">
        <v>37</v>
      </c>
      <c r="C294" s="8" t="s">
        <v>42</v>
      </c>
      <c r="D294" s="8" t="str">
        <f t="shared" si="20"/>
        <v>37Colombia</v>
      </c>
      <c r="E294" s="8">
        <v>1</v>
      </c>
      <c r="F294" s="8">
        <v>0.80132150000000002</v>
      </c>
      <c r="G294" s="8">
        <v>0.73857700000000004</v>
      </c>
      <c r="H294" s="8">
        <v>2.4743100000000001E-2</v>
      </c>
      <c r="I294" s="8">
        <v>1.7881999999999999E-2</v>
      </c>
      <c r="K294" s="8">
        <v>37</v>
      </c>
      <c r="L294" s="8" t="s">
        <v>42</v>
      </c>
      <c r="M294" s="8" t="str">
        <f t="shared" si="21"/>
        <v>37Colombia</v>
      </c>
      <c r="N294" s="8">
        <v>1</v>
      </c>
      <c r="O294" s="8">
        <v>0.95680770000000004</v>
      </c>
      <c r="P294" s="8">
        <v>0.9276683</v>
      </c>
      <c r="Q294" s="8">
        <v>8.1172800000000003E-2</v>
      </c>
      <c r="R294" s="8">
        <v>2.2880399999999999E-2</v>
      </c>
    </row>
    <row r="295" spans="2:18" ht="1" customHeight="1">
      <c r="B295" s="8">
        <v>38</v>
      </c>
      <c r="C295" s="8" t="s">
        <v>42</v>
      </c>
      <c r="D295" s="8" t="str">
        <f t="shared" si="20"/>
        <v>38Colombia</v>
      </c>
      <c r="E295" s="8">
        <v>1</v>
      </c>
      <c r="F295" s="8">
        <v>0.79557480000000003</v>
      </c>
      <c r="G295" s="8">
        <v>0.7431316</v>
      </c>
      <c r="H295" s="8">
        <v>1.7950500000000001E-2</v>
      </c>
      <c r="I295" s="8">
        <v>9.8329000000000003E-3</v>
      </c>
      <c r="K295" s="8">
        <v>38</v>
      </c>
      <c r="L295" s="8" t="s">
        <v>42</v>
      </c>
      <c r="M295" s="8" t="str">
        <f t="shared" si="21"/>
        <v>38Colombia</v>
      </c>
      <c r="N295" s="8">
        <v>1</v>
      </c>
      <c r="O295" s="8">
        <v>0.944523</v>
      </c>
      <c r="P295" s="8">
        <v>0.91700599999999999</v>
      </c>
      <c r="Q295" s="8">
        <v>7.3507600000000006E-2</v>
      </c>
      <c r="R295" s="8">
        <v>2.2209300000000001E-2</v>
      </c>
    </row>
    <row r="296" spans="2:18" ht="1" customHeight="1">
      <c r="B296" s="8">
        <v>39</v>
      </c>
      <c r="C296" s="8" t="s">
        <v>42</v>
      </c>
      <c r="D296" s="8" t="str">
        <f t="shared" si="20"/>
        <v>39Colombia</v>
      </c>
      <c r="E296" s="8">
        <v>1</v>
      </c>
      <c r="F296" s="8">
        <v>0.78982810000000003</v>
      </c>
      <c r="G296" s="8">
        <v>0.74768619999999997</v>
      </c>
      <c r="H296" s="8">
        <v>1.1157800000000001E-2</v>
      </c>
      <c r="I296" s="8">
        <v>1.7838000000000001E-3</v>
      </c>
      <c r="K296" s="8">
        <v>39</v>
      </c>
      <c r="L296" s="8" t="s">
        <v>42</v>
      </c>
      <c r="M296" s="8" t="str">
        <f t="shared" si="21"/>
        <v>39Colombia</v>
      </c>
      <c r="N296" s="8">
        <v>1</v>
      </c>
      <c r="O296" s="8">
        <v>0.93223829999999996</v>
      </c>
      <c r="P296" s="8">
        <v>0.90634369999999997</v>
      </c>
      <c r="Q296" s="8">
        <v>6.5842399999999995E-2</v>
      </c>
      <c r="R296" s="8">
        <v>2.15383E-2</v>
      </c>
    </row>
    <row r="297" spans="2:18" ht="1" customHeight="1">
      <c r="B297" s="8">
        <v>40</v>
      </c>
      <c r="C297" s="8" t="s">
        <v>42</v>
      </c>
      <c r="D297" s="8" t="str">
        <f t="shared" si="20"/>
        <v>40Colombia</v>
      </c>
      <c r="E297" s="8">
        <v>1</v>
      </c>
      <c r="F297" s="8">
        <v>0.79036490000000004</v>
      </c>
      <c r="G297" s="8">
        <v>0.75291980000000003</v>
      </c>
      <c r="H297" s="8">
        <v>1.2604000000000001E-2</v>
      </c>
      <c r="I297" s="8">
        <v>5.1663999999999998E-3</v>
      </c>
      <c r="K297" s="8">
        <v>40</v>
      </c>
      <c r="L297" s="8" t="s">
        <v>42</v>
      </c>
      <c r="M297" s="8" t="str">
        <f t="shared" si="21"/>
        <v>40Colombia</v>
      </c>
      <c r="N297" s="8">
        <v>1</v>
      </c>
      <c r="O297" s="8">
        <v>0.92082799999999998</v>
      </c>
      <c r="P297" s="8">
        <v>0.89938010000000002</v>
      </c>
      <c r="Q297" s="8">
        <v>6.0783900000000002E-2</v>
      </c>
      <c r="R297" s="8">
        <v>1.8197700000000001E-2</v>
      </c>
    </row>
    <row r="298" spans="2:18" ht="1" customHeight="1">
      <c r="B298" s="8">
        <v>0</v>
      </c>
      <c r="C298" s="8" t="s">
        <v>43</v>
      </c>
      <c r="D298" s="8" t="str">
        <f t="shared" si="20"/>
        <v>0Costa Rica</v>
      </c>
      <c r="E298" s="8"/>
      <c r="F298" s="8"/>
      <c r="G298" s="8"/>
      <c r="H298" s="8"/>
      <c r="I298" s="8"/>
      <c r="K298" s="8">
        <v>0</v>
      </c>
      <c r="L298" s="8" t="s">
        <v>43</v>
      </c>
      <c r="M298" s="8" t="str">
        <f t="shared" si="21"/>
        <v>0Costa Rica</v>
      </c>
      <c r="N298" s="8"/>
      <c r="O298" s="8"/>
      <c r="P298" s="8"/>
      <c r="Q298" s="8"/>
      <c r="R298" s="8"/>
    </row>
    <row r="299" spans="2:18" ht="1" customHeight="1">
      <c r="B299" s="8">
        <v>1</v>
      </c>
      <c r="C299" s="8" t="s">
        <v>43</v>
      </c>
      <c r="D299" s="8" t="str">
        <f t="shared" si="20"/>
        <v>1Costa Rica</v>
      </c>
      <c r="E299" s="8"/>
      <c r="F299" s="8"/>
      <c r="G299" s="8"/>
      <c r="H299" s="8"/>
      <c r="I299" s="8"/>
      <c r="K299" s="8">
        <v>1</v>
      </c>
      <c r="L299" s="8" t="s">
        <v>43</v>
      </c>
      <c r="M299" s="8" t="str">
        <f t="shared" si="21"/>
        <v>1Costa Rica</v>
      </c>
      <c r="N299" s="8"/>
      <c r="O299" s="8"/>
      <c r="P299" s="8"/>
      <c r="Q299" s="8"/>
      <c r="R299" s="8"/>
    </row>
    <row r="300" spans="2:18" ht="1" customHeight="1">
      <c r="B300" s="8">
        <v>2</v>
      </c>
      <c r="C300" s="8" t="s">
        <v>43</v>
      </c>
      <c r="D300" s="8" t="str">
        <f t="shared" si="20"/>
        <v>2Costa Rica</v>
      </c>
      <c r="E300" s="8"/>
      <c r="F300" s="8"/>
      <c r="G300" s="8"/>
      <c r="H300" s="8"/>
      <c r="I300" s="8"/>
      <c r="K300" s="8">
        <v>2</v>
      </c>
      <c r="L300" s="8" t="s">
        <v>43</v>
      </c>
      <c r="M300" s="8" t="str">
        <f t="shared" si="21"/>
        <v>2Costa Rica</v>
      </c>
      <c r="N300" s="8"/>
      <c r="O300" s="8"/>
      <c r="P300" s="8"/>
      <c r="Q300" s="8"/>
      <c r="R300" s="8"/>
    </row>
    <row r="301" spans="2:18" ht="1" customHeight="1">
      <c r="B301" s="8">
        <v>3</v>
      </c>
      <c r="C301" s="8" t="s">
        <v>43</v>
      </c>
      <c r="D301" s="8" t="str">
        <f t="shared" si="20"/>
        <v>3Costa Rica</v>
      </c>
      <c r="E301" s="8"/>
      <c r="F301" s="8"/>
      <c r="G301" s="8"/>
      <c r="H301" s="8"/>
      <c r="I301" s="8"/>
      <c r="K301" s="8">
        <v>3</v>
      </c>
      <c r="L301" s="8" t="s">
        <v>43</v>
      </c>
      <c r="M301" s="8" t="str">
        <f t="shared" si="21"/>
        <v>3Costa Rica</v>
      </c>
      <c r="N301" s="8"/>
      <c r="O301" s="8"/>
      <c r="P301" s="8"/>
      <c r="Q301" s="8"/>
      <c r="R301" s="8"/>
    </row>
    <row r="302" spans="2:18" ht="1" customHeight="1">
      <c r="B302" s="8">
        <v>4</v>
      </c>
      <c r="C302" s="8" t="s">
        <v>43</v>
      </c>
      <c r="D302" s="8" t="str">
        <f t="shared" si="20"/>
        <v>4Costa Rica</v>
      </c>
      <c r="E302" s="8"/>
      <c r="F302" s="8"/>
      <c r="G302" s="8"/>
      <c r="H302" s="8"/>
      <c r="I302" s="8"/>
      <c r="K302" s="8">
        <v>4</v>
      </c>
      <c r="L302" s="8" t="s">
        <v>43</v>
      </c>
      <c r="M302" s="8" t="str">
        <f t="shared" si="21"/>
        <v>4Costa Rica</v>
      </c>
      <c r="N302" s="8"/>
      <c r="O302" s="8"/>
      <c r="P302" s="8"/>
      <c r="Q302" s="8"/>
      <c r="R302" s="8"/>
    </row>
    <row r="303" spans="2:18" ht="1" customHeight="1">
      <c r="B303" s="8">
        <v>5</v>
      </c>
      <c r="C303" s="8" t="s">
        <v>43</v>
      </c>
      <c r="D303" s="8" t="str">
        <f t="shared" si="20"/>
        <v>5Costa Rica</v>
      </c>
      <c r="E303" s="8">
        <v>1</v>
      </c>
      <c r="F303" s="8">
        <v>0.7200531</v>
      </c>
      <c r="G303" s="8">
        <v>0.7200531</v>
      </c>
      <c r="H303" s="8">
        <v>0.7200531</v>
      </c>
      <c r="I303" s="8">
        <v>0.70964649999999996</v>
      </c>
      <c r="K303" s="8">
        <v>5</v>
      </c>
      <c r="L303" s="8" t="s">
        <v>43</v>
      </c>
      <c r="M303" s="8" t="str">
        <f t="shared" si="21"/>
        <v>5Costa Rica</v>
      </c>
      <c r="N303" s="8">
        <v>1</v>
      </c>
      <c r="O303" s="8">
        <v>0.94413950000000002</v>
      </c>
      <c r="P303" s="8">
        <v>0.94413950000000002</v>
      </c>
      <c r="Q303" s="8">
        <v>0.94413950000000002</v>
      </c>
      <c r="R303" s="8">
        <v>0.47317730000000002</v>
      </c>
    </row>
    <row r="304" spans="2:18" ht="1" customHeight="1">
      <c r="B304" s="8">
        <v>6</v>
      </c>
      <c r="C304" s="8" t="s">
        <v>43</v>
      </c>
      <c r="D304" s="8" t="str">
        <f t="shared" si="20"/>
        <v>6Costa Rica</v>
      </c>
      <c r="E304" s="8">
        <v>1</v>
      </c>
      <c r="F304" s="8">
        <v>0.82357659999999999</v>
      </c>
      <c r="G304" s="8">
        <v>0.82357659999999999</v>
      </c>
      <c r="H304" s="8">
        <v>0.82357659999999999</v>
      </c>
      <c r="I304" s="8">
        <v>0.80545820000000001</v>
      </c>
      <c r="K304" s="8">
        <v>6</v>
      </c>
      <c r="L304" s="8" t="s">
        <v>43</v>
      </c>
      <c r="M304" s="8" t="str">
        <f t="shared" si="21"/>
        <v>6Costa Rica</v>
      </c>
      <c r="N304" s="8">
        <v>1</v>
      </c>
      <c r="O304" s="8">
        <v>0.96508720000000003</v>
      </c>
      <c r="P304" s="8">
        <v>0.96508720000000003</v>
      </c>
      <c r="Q304" s="8">
        <v>0.96508720000000003</v>
      </c>
      <c r="R304" s="8">
        <v>0.49592740000000002</v>
      </c>
    </row>
    <row r="305" spans="2:18" ht="1" customHeight="1">
      <c r="B305" s="8">
        <v>7</v>
      </c>
      <c r="C305" s="8" t="s">
        <v>43</v>
      </c>
      <c r="D305" s="8" t="str">
        <f t="shared" si="20"/>
        <v>7Costa Rica</v>
      </c>
      <c r="E305" s="8">
        <v>1</v>
      </c>
      <c r="F305" s="8">
        <v>0.92710009999999998</v>
      </c>
      <c r="G305" s="8">
        <v>0.92710009999999998</v>
      </c>
      <c r="H305" s="8">
        <v>0.92710009999999998</v>
      </c>
      <c r="I305" s="8">
        <v>0.90126989999999996</v>
      </c>
      <c r="K305" s="8">
        <v>7</v>
      </c>
      <c r="L305" s="8" t="s">
        <v>43</v>
      </c>
      <c r="M305" s="8" t="str">
        <f t="shared" si="21"/>
        <v>7Costa Rica</v>
      </c>
      <c r="N305" s="8">
        <v>1</v>
      </c>
      <c r="O305" s="8">
        <v>0.98603490000000005</v>
      </c>
      <c r="P305" s="8">
        <v>0.98603490000000005</v>
      </c>
      <c r="Q305" s="8">
        <v>0.98603490000000005</v>
      </c>
      <c r="R305" s="8">
        <v>0.51867739999999996</v>
      </c>
    </row>
    <row r="306" spans="2:18" ht="1" customHeight="1">
      <c r="B306" s="8">
        <v>8</v>
      </c>
      <c r="C306" s="8" t="s">
        <v>43</v>
      </c>
      <c r="D306" s="8" t="str">
        <f t="shared" si="20"/>
        <v>8Costa Rica</v>
      </c>
      <c r="E306" s="8">
        <v>1</v>
      </c>
      <c r="F306" s="8">
        <v>0.96240499999999995</v>
      </c>
      <c r="G306" s="8">
        <v>0.96240499999999995</v>
      </c>
      <c r="H306" s="8">
        <v>0.96240499999999995</v>
      </c>
      <c r="I306" s="8">
        <v>0.93605159999999998</v>
      </c>
      <c r="K306" s="8">
        <v>8</v>
      </c>
      <c r="L306" s="8" t="s">
        <v>43</v>
      </c>
      <c r="M306" s="8" t="str">
        <f t="shared" si="21"/>
        <v>8Costa Rica</v>
      </c>
      <c r="N306" s="8">
        <v>1</v>
      </c>
      <c r="O306" s="8">
        <v>0.99301740000000005</v>
      </c>
      <c r="P306" s="8">
        <v>0.99301740000000005</v>
      </c>
      <c r="Q306" s="8">
        <v>0.99301740000000005</v>
      </c>
      <c r="R306" s="8">
        <v>0.53638319999999995</v>
      </c>
    </row>
    <row r="307" spans="2:18" ht="1" customHeight="1">
      <c r="B307" s="8">
        <v>9</v>
      </c>
      <c r="C307" s="8" t="s">
        <v>43</v>
      </c>
      <c r="D307" s="8" t="str">
        <f t="shared" si="20"/>
        <v>9Costa Rica</v>
      </c>
      <c r="E307" s="8">
        <v>1</v>
      </c>
      <c r="F307" s="8">
        <v>0.99770999999999999</v>
      </c>
      <c r="G307" s="8">
        <v>0.99770999999999999</v>
      </c>
      <c r="H307" s="8">
        <v>0.99770999999999999</v>
      </c>
      <c r="I307" s="8">
        <v>0.97083339999999996</v>
      </c>
      <c r="K307" s="8">
        <v>9</v>
      </c>
      <c r="L307" s="8" t="s">
        <v>43</v>
      </c>
      <c r="M307" s="8" t="str">
        <f t="shared" si="21"/>
        <v>9Costa Rica</v>
      </c>
      <c r="N307" s="8">
        <v>1</v>
      </c>
      <c r="O307" s="8">
        <v>1</v>
      </c>
      <c r="P307" s="8">
        <v>1</v>
      </c>
      <c r="Q307" s="8">
        <v>1</v>
      </c>
      <c r="R307" s="8">
        <v>0.55408900000000005</v>
      </c>
    </row>
    <row r="308" spans="2:18" ht="1" customHeight="1">
      <c r="B308" s="8">
        <v>10</v>
      </c>
      <c r="C308" s="8" t="s">
        <v>43</v>
      </c>
      <c r="D308" s="8" t="str">
        <f t="shared" si="20"/>
        <v>10Costa Rica</v>
      </c>
      <c r="E308" s="8">
        <v>1</v>
      </c>
      <c r="F308" s="8">
        <v>0.99284019999999995</v>
      </c>
      <c r="G308" s="8">
        <v>0.99284019999999995</v>
      </c>
      <c r="H308" s="8">
        <v>0.9920099</v>
      </c>
      <c r="I308" s="8">
        <v>0.96668659999999995</v>
      </c>
      <c r="K308" s="8">
        <v>10</v>
      </c>
      <c r="L308" s="8" t="s">
        <v>43</v>
      </c>
      <c r="M308" s="8" t="str">
        <f t="shared" si="21"/>
        <v>10Costa Rica</v>
      </c>
      <c r="N308" s="8">
        <v>1</v>
      </c>
      <c r="O308" s="8">
        <v>1</v>
      </c>
      <c r="P308" s="8">
        <v>1</v>
      </c>
      <c r="Q308" s="8">
        <v>1</v>
      </c>
      <c r="R308" s="8">
        <v>0.57080750000000002</v>
      </c>
    </row>
    <row r="309" spans="2:18" ht="1" customHeight="1">
      <c r="B309" s="8">
        <v>11</v>
      </c>
      <c r="C309" s="8" t="s">
        <v>43</v>
      </c>
      <c r="D309" s="8" t="str">
        <f t="shared" si="20"/>
        <v>11Costa Rica</v>
      </c>
      <c r="E309" s="8">
        <v>1</v>
      </c>
      <c r="F309" s="8">
        <v>0.98797049999999997</v>
      </c>
      <c r="G309" s="8">
        <v>0.98797049999999997</v>
      </c>
      <c r="H309" s="8">
        <v>0.98630989999999996</v>
      </c>
      <c r="I309" s="8">
        <v>0.9625397</v>
      </c>
      <c r="K309" s="8">
        <v>11</v>
      </c>
      <c r="L309" s="8" t="s">
        <v>43</v>
      </c>
      <c r="M309" s="8" t="str">
        <f t="shared" si="21"/>
        <v>11Costa Rica</v>
      </c>
      <c r="N309" s="8">
        <v>1</v>
      </c>
      <c r="O309" s="8">
        <v>1</v>
      </c>
      <c r="P309" s="8">
        <v>1</v>
      </c>
      <c r="Q309" s="8">
        <v>1</v>
      </c>
      <c r="R309" s="8">
        <v>0.58752599999999999</v>
      </c>
    </row>
    <row r="310" spans="2:18" ht="1" customHeight="1">
      <c r="B310" s="8">
        <v>12</v>
      </c>
      <c r="C310" s="8" t="s">
        <v>43</v>
      </c>
      <c r="D310" s="8" t="str">
        <f t="shared" si="20"/>
        <v>12Costa Rica</v>
      </c>
      <c r="E310" s="8">
        <v>1</v>
      </c>
      <c r="F310" s="8">
        <v>0.97411669999999995</v>
      </c>
      <c r="G310" s="8">
        <v>0.97249620000000003</v>
      </c>
      <c r="H310" s="8">
        <v>0.96951209999999999</v>
      </c>
      <c r="I310" s="8">
        <v>0.94448399999999999</v>
      </c>
      <c r="K310" s="8">
        <v>12</v>
      </c>
      <c r="L310" s="8" t="s">
        <v>43</v>
      </c>
      <c r="M310" s="8" t="str">
        <f t="shared" si="21"/>
        <v>12Costa Rica</v>
      </c>
      <c r="N310" s="8">
        <v>1</v>
      </c>
      <c r="O310" s="8">
        <v>0.9970791</v>
      </c>
      <c r="P310" s="8">
        <v>0.9970791</v>
      </c>
      <c r="Q310" s="8">
        <v>0.99674989999999997</v>
      </c>
      <c r="R310" s="8">
        <v>0.57760319999999998</v>
      </c>
    </row>
    <row r="311" spans="2:18" ht="1" customHeight="1">
      <c r="B311" s="8">
        <v>13</v>
      </c>
      <c r="C311" s="8" t="s">
        <v>43</v>
      </c>
      <c r="D311" s="8" t="str">
        <f t="shared" si="20"/>
        <v>13Costa Rica</v>
      </c>
      <c r="E311" s="8">
        <v>1</v>
      </c>
      <c r="F311" s="8">
        <v>0.96026299999999998</v>
      </c>
      <c r="G311" s="8">
        <v>0.95702200000000004</v>
      </c>
      <c r="H311" s="8">
        <v>0.95271430000000001</v>
      </c>
      <c r="I311" s="8">
        <v>0.92642829999999998</v>
      </c>
      <c r="K311" s="8">
        <v>13</v>
      </c>
      <c r="L311" s="8" t="s">
        <v>43</v>
      </c>
      <c r="M311" s="8" t="str">
        <f t="shared" si="21"/>
        <v>13Costa Rica</v>
      </c>
      <c r="N311" s="8">
        <v>1</v>
      </c>
      <c r="O311" s="8">
        <v>0.99415810000000004</v>
      </c>
      <c r="P311" s="8">
        <v>0.99415810000000004</v>
      </c>
      <c r="Q311" s="8">
        <v>0.99349989999999999</v>
      </c>
      <c r="R311" s="8">
        <v>0.56768050000000003</v>
      </c>
    </row>
    <row r="312" spans="2:18" ht="1" customHeight="1">
      <c r="B312" s="8">
        <v>14</v>
      </c>
      <c r="C312" s="8" t="s">
        <v>43</v>
      </c>
      <c r="D312" s="8" t="str">
        <f t="shared" si="20"/>
        <v>14Costa Rica</v>
      </c>
      <c r="E312" s="8">
        <v>1</v>
      </c>
      <c r="F312" s="8">
        <v>0.9408706</v>
      </c>
      <c r="G312" s="8">
        <v>0.93289829999999996</v>
      </c>
      <c r="H312" s="8">
        <v>0.92154559999999996</v>
      </c>
      <c r="I312" s="8">
        <v>0.90002020000000005</v>
      </c>
      <c r="K312" s="8">
        <v>14</v>
      </c>
      <c r="L312" s="8" t="s">
        <v>43</v>
      </c>
      <c r="M312" s="8" t="str">
        <f t="shared" si="21"/>
        <v>14Costa Rica</v>
      </c>
      <c r="N312" s="8">
        <v>1</v>
      </c>
      <c r="O312" s="8">
        <v>0.97991340000000005</v>
      </c>
      <c r="P312" s="8">
        <v>0.97949109999999995</v>
      </c>
      <c r="Q312" s="8">
        <v>0.97494919999999996</v>
      </c>
      <c r="R312" s="8">
        <v>0.55986619999999998</v>
      </c>
    </row>
    <row r="313" spans="2:18" ht="1" customHeight="1">
      <c r="B313" s="8">
        <v>15</v>
      </c>
      <c r="C313" s="8" t="s">
        <v>43</v>
      </c>
      <c r="D313" s="8" t="str">
        <f t="shared" si="20"/>
        <v>15Costa Rica</v>
      </c>
      <c r="E313" s="8">
        <v>1</v>
      </c>
      <c r="F313" s="8">
        <v>0.92147829999999997</v>
      </c>
      <c r="G313" s="8">
        <v>0.90877459999999999</v>
      </c>
      <c r="H313" s="8">
        <v>0.89037679999999997</v>
      </c>
      <c r="I313" s="8">
        <v>0.87361219999999995</v>
      </c>
      <c r="K313" s="8">
        <v>15</v>
      </c>
      <c r="L313" s="8" t="s">
        <v>43</v>
      </c>
      <c r="M313" s="8" t="str">
        <f t="shared" si="21"/>
        <v>15Costa Rica</v>
      </c>
      <c r="N313" s="8">
        <v>1</v>
      </c>
      <c r="O313" s="8">
        <v>0.96566859999999999</v>
      </c>
      <c r="P313" s="8">
        <v>0.96482409999999996</v>
      </c>
      <c r="Q313" s="8">
        <v>0.95639850000000004</v>
      </c>
      <c r="R313" s="8">
        <v>0.55205190000000004</v>
      </c>
    </row>
    <row r="314" spans="2:18" ht="1" customHeight="1">
      <c r="B314" s="8">
        <v>16</v>
      </c>
      <c r="C314" s="8" t="s">
        <v>43</v>
      </c>
      <c r="D314" s="8" t="str">
        <f t="shared" si="20"/>
        <v>16Costa Rica</v>
      </c>
      <c r="E314" s="8">
        <v>1</v>
      </c>
      <c r="F314" s="8">
        <v>0.90226720000000005</v>
      </c>
      <c r="G314" s="8">
        <v>0.87961800000000001</v>
      </c>
      <c r="H314" s="8">
        <v>0.82966980000000001</v>
      </c>
      <c r="I314" s="8">
        <v>0.82029640000000004</v>
      </c>
      <c r="K314" s="8">
        <v>16</v>
      </c>
      <c r="L314" s="8" t="s">
        <v>43</v>
      </c>
      <c r="M314" s="8" t="str">
        <f t="shared" si="21"/>
        <v>16Costa Rica</v>
      </c>
      <c r="N314" s="8">
        <v>1</v>
      </c>
      <c r="O314" s="8">
        <v>0.95118270000000005</v>
      </c>
      <c r="P314" s="8">
        <v>0.94752380000000003</v>
      </c>
      <c r="Q314" s="8">
        <v>0.91258910000000004</v>
      </c>
      <c r="R314" s="8">
        <v>0.5365413</v>
      </c>
    </row>
    <row r="315" spans="2:18" ht="1" customHeight="1">
      <c r="B315" s="8">
        <v>17</v>
      </c>
      <c r="C315" s="8" t="s">
        <v>43</v>
      </c>
      <c r="D315" s="8" t="str">
        <f t="shared" si="20"/>
        <v>17Costa Rica</v>
      </c>
      <c r="E315" s="8">
        <v>1</v>
      </c>
      <c r="F315" s="8">
        <v>0.88305599999999995</v>
      </c>
      <c r="G315" s="8">
        <v>0.85046149999999998</v>
      </c>
      <c r="H315" s="8">
        <v>0.7689629</v>
      </c>
      <c r="I315" s="8">
        <v>0.76698060000000001</v>
      </c>
      <c r="K315" s="8">
        <v>17</v>
      </c>
      <c r="L315" s="8" t="s">
        <v>43</v>
      </c>
      <c r="M315" s="8" t="str">
        <f t="shared" si="21"/>
        <v>17Costa Rica</v>
      </c>
      <c r="N315" s="8">
        <v>1</v>
      </c>
      <c r="O315" s="8">
        <v>0.93669690000000005</v>
      </c>
      <c r="P315" s="8">
        <v>0.93022360000000004</v>
      </c>
      <c r="Q315" s="8">
        <v>0.86877970000000004</v>
      </c>
      <c r="R315" s="8">
        <v>0.52103069999999996</v>
      </c>
    </row>
    <row r="316" spans="2:18" ht="1" customHeight="1">
      <c r="B316" s="8">
        <v>18</v>
      </c>
      <c r="C316" s="8" t="s">
        <v>43</v>
      </c>
      <c r="D316" s="8" t="str">
        <f t="shared" si="20"/>
        <v>18Costa Rica</v>
      </c>
      <c r="E316" s="8">
        <v>1</v>
      </c>
      <c r="F316" s="8">
        <v>0.86611380000000004</v>
      </c>
      <c r="G316" s="8">
        <v>0.81244110000000003</v>
      </c>
      <c r="H316" s="8">
        <v>0.68042740000000002</v>
      </c>
      <c r="I316" s="8">
        <v>0.66827380000000003</v>
      </c>
      <c r="K316" s="8">
        <v>18</v>
      </c>
      <c r="L316" s="8" t="s">
        <v>43</v>
      </c>
      <c r="M316" s="8" t="str">
        <f t="shared" si="21"/>
        <v>18Costa Rica</v>
      </c>
      <c r="N316" s="8">
        <v>1</v>
      </c>
      <c r="O316" s="8">
        <v>0.94077489999999997</v>
      </c>
      <c r="P316" s="8">
        <v>0.93104039999999999</v>
      </c>
      <c r="Q316" s="8">
        <v>0.82095609999999997</v>
      </c>
      <c r="R316" s="8">
        <v>0.478101</v>
      </c>
    </row>
    <row r="317" spans="2:18" ht="1" customHeight="1">
      <c r="B317" s="8">
        <v>19</v>
      </c>
      <c r="C317" s="8" t="s">
        <v>43</v>
      </c>
      <c r="D317" s="8" t="str">
        <f t="shared" si="20"/>
        <v>19Costa Rica</v>
      </c>
      <c r="E317" s="8">
        <v>1</v>
      </c>
      <c r="F317" s="8">
        <v>0.84917149999999997</v>
      </c>
      <c r="G317" s="8">
        <v>0.77442069999999996</v>
      </c>
      <c r="H317" s="8">
        <v>0.59189199999999997</v>
      </c>
      <c r="I317" s="8">
        <v>0.56956709999999999</v>
      </c>
      <c r="K317" s="8">
        <v>19</v>
      </c>
      <c r="L317" s="8" t="s">
        <v>43</v>
      </c>
      <c r="M317" s="8" t="str">
        <f t="shared" si="21"/>
        <v>19Costa Rica</v>
      </c>
      <c r="N317" s="8">
        <v>1</v>
      </c>
      <c r="O317" s="8">
        <v>0.9448529</v>
      </c>
      <c r="P317" s="8">
        <v>0.93185720000000005</v>
      </c>
      <c r="Q317" s="8">
        <v>0.77313240000000005</v>
      </c>
      <c r="R317" s="8">
        <v>0.43517129999999998</v>
      </c>
    </row>
    <row r="318" spans="2:18" ht="1" customHeight="1">
      <c r="B318" s="8">
        <v>20</v>
      </c>
      <c r="C318" s="8" t="s">
        <v>43</v>
      </c>
      <c r="D318" s="8" t="str">
        <f t="shared" si="20"/>
        <v>20Costa Rica</v>
      </c>
      <c r="E318" s="8">
        <v>1</v>
      </c>
      <c r="F318" s="8">
        <v>0.8159961</v>
      </c>
      <c r="G318" s="8">
        <v>0.7219525</v>
      </c>
      <c r="H318" s="8">
        <v>0.50173780000000001</v>
      </c>
      <c r="I318" s="8">
        <v>0.46502310000000002</v>
      </c>
      <c r="K318" s="8">
        <v>20</v>
      </c>
      <c r="L318" s="8" t="s">
        <v>43</v>
      </c>
      <c r="M318" s="8" t="str">
        <f t="shared" si="21"/>
        <v>20Costa Rica</v>
      </c>
      <c r="N318" s="8">
        <v>1</v>
      </c>
      <c r="O318" s="8">
        <v>0.95516789999999996</v>
      </c>
      <c r="P318" s="8">
        <v>0.94058370000000002</v>
      </c>
      <c r="Q318" s="8">
        <v>0.72381910000000005</v>
      </c>
      <c r="R318" s="8">
        <v>0.4082713</v>
      </c>
    </row>
    <row r="319" spans="2:18" ht="1" customHeight="1">
      <c r="B319" s="8">
        <v>21</v>
      </c>
      <c r="C319" s="8" t="s">
        <v>43</v>
      </c>
      <c r="D319" s="8" t="str">
        <f t="shared" si="20"/>
        <v>21Costa Rica</v>
      </c>
      <c r="E319" s="8">
        <v>1</v>
      </c>
      <c r="F319" s="8">
        <v>0.78282079999999998</v>
      </c>
      <c r="G319" s="8">
        <v>0.66948430000000003</v>
      </c>
      <c r="H319" s="8">
        <v>0.41158359999999999</v>
      </c>
      <c r="I319" s="8">
        <v>0.3604792</v>
      </c>
      <c r="K319" s="8">
        <v>21</v>
      </c>
      <c r="L319" s="8" t="s">
        <v>43</v>
      </c>
      <c r="M319" s="8" t="str">
        <f t="shared" si="21"/>
        <v>21Costa Rica</v>
      </c>
      <c r="N319" s="8">
        <v>1</v>
      </c>
      <c r="O319" s="8">
        <v>0.96548279999999997</v>
      </c>
      <c r="P319" s="8">
        <v>0.94931019999999999</v>
      </c>
      <c r="Q319" s="8">
        <v>0.67450589999999999</v>
      </c>
      <c r="R319" s="8">
        <v>0.38137120000000002</v>
      </c>
    </row>
    <row r="320" spans="2:18" ht="1" customHeight="1">
      <c r="B320" s="8">
        <v>22</v>
      </c>
      <c r="C320" s="8" t="s">
        <v>43</v>
      </c>
      <c r="D320" s="8" t="str">
        <f t="shared" si="20"/>
        <v>22Costa Rica</v>
      </c>
      <c r="E320" s="8">
        <v>1</v>
      </c>
      <c r="F320" s="8">
        <v>0.74730909999999995</v>
      </c>
      <c r="G320" s="8">
        <v>0.62780389999999997</v>
      </c>
      <c r="H320" s="8">
        <v>0.34497100000000003</v>
      </c>
      <c r="I320" s="8">
        <v>0.30205680000000001</v>
      </c>
      <c r="K320" s="8">
        <v>22</v>
      </c>
      <c r="L320" s="8" t="s">
        <v>43</v>
      </c>
      <c r="M320" s="8" t="str">
        <f t="shared" si="21"/>
        <v>22Costa Rica</v>
      </c>
      <c r="N320" s="8">
        <v>1</v>
      </c>
      <c r="O320" s="8">
        <v>0.9651151</v>
      </c>
      <c r="P320" s="8">
        <v>0.94542320000000002</v>
      </c>
      <c r="Q320" s="8">
        <v>0.60514469999999998</v>
      </c>
      <c r="R320" s="8">
        <v>0.34784900000000002</v>
      </c>
    </row>
    <row r="321" spans="2:18" ht="1" customHeight="1">
      <c r="B321" s="8">
        <v>23</v>
      </c>
      <c r="C321" s="8" t="s">
        <v>43</v>
      </c>
      <c r="D321" s="8" t="str">
        <f t="shared" si="20"/>
        <v>23Costa Rica</v>
      </c>
      <c r="E321" s="8">
        <v>1</v>
      </c>
      <c r="F321" s="8">
        <v>0.71179740000000002</v>
      </c>
      <c r="G321" s="8">
        <v>0.58612359999999997</v>
      </c>
      <c r="H321" s="8">
        <v>0.27835850000000001</v>
      </c>
      <c r="I321" s="8">
        <v>0.2436345</v>
      </c>
      <c r="K321" s="8">
        <v>23</v>
      </c>
      <c r="L321" s="8" t="s">
        <v>43</v>
      </c>
      <c r="M321" s="8" t="str">
        <f t="shared" si="21"/>
        <v>23Costa Rica</v>
      </c>
      <c r="N321" s="8">
        <v>1</v>
      </c>
      <c r="O321" s="8">
        <v>0.96474729999999997</v>
      </c>
      <c r="P321" s="8">
        <v>0.94153620000000005</v>
      </c>
      <c r="Q321" s="8">
        <v>0.53578360000000003</v>
      </c>
      <c r="R321" s="8">
        <v>0.31432690000000002</v>
      </c>
    </row>
    <row r="322" spans="2:18" ht="1" customHeight="1">
      <c r="B322" s="8">
        <v>24</v>
      </c>
      <c r="C322" s="8" t="s">
        <v>43</v>
      </c>
      <c r="D322" s="8" t="str">
        <f t="shared" si="20"/>
        <v>24Costa Rica</v>
      </c>
      <c r="E322" s="8">
        <v>1</v>
      </c>
      <c r="F322" s="8">
        <v>0.70553480000000002</v>
      </c>
      <c r="G322" s="8">
        <v>0.58444149999999995</v>
      </c>
      <c r="H322" s="8">
        <v>0.23696110000000001</v>
      </c>
      <c r="I322" s="8">
        <v>0.2168773</v>
      </c>
      <c r="K322" s="8">
        <v>24</v>
      </c>
      <c r="L322" s="8" t="s">
        <v>43</v>
      </c>
      <c r="M322" s="8" t="str">
        <f t="shared" si="21"/>
        <v>24Costa Rica</v>
      </c>
      <c r="N322" s="8">
        <v>1</v>
      </c>
      <c r="O322" s="8">
        <v>0.96109579999999994</v>
      </c>
      <c r="P322" s="8">
        <v>0.93626609999999999</v>
      </c>
      <c r="Q322" s="8">
        <v>0.47893439999999998</v>
      </c>
      <c r="R322" s="8">
        <v>0.26688879999999998</v>
      </c>
    </row>
    <row r="323" spans="2:18" ht="1" customHeight="1">
      <c r="B323" s="8">
        <v>25</v>
      </c>
      <c r="C323" s="8" t="s">
        <v>43</v>
      </c>
      <c r="D323" s="8" t="str">
        <f t="shared" si="20"/>
        <v>25Costa Rica</v>
      </c>
      <c r="E323" s="8">
        <v>1</v>
      </c>
      <c r="F323" s="8">
        <v>0.69927220000000001</v>
      </c>
      <c r="G323" s="8">
        <v>0.58275940000000004</v>
      </c>
      <c r="H323" s="8">
        <v>0.19556370000000001</v>
      </c>
      <c r="I323" s="8">
        <v>0.19012000000000001</v>
      </c>
      <c r="K323" s="8">
        <v>25</v>
      </c>
      <c r="L323" s="8" t="s">
        <v>43</v>
      </c>
      <c r="M323" s="8" t="str">
        <f t="shared" si="21"/>
        <v>25Costa Rica</v>
      </c>
      <c r="N323" s="8">
        <v>1</v>
      </c>
      <c r="O323" s="8">
        <v>0.95744430000000003</v>
      </c>
      <c r="P323" s="8">
        <v>0.93099609999999999</v>
      </c>
      <c r="Q323" s="8">
        <v>0.42208519999999999</v>
      </c>
      <c r="R323" s="8">
        <v>0.2194507</v>
      </c>
    </row>
    <row r="324" spans="2:18" ht="1" customHeight="1">
      <c r="B324" s="8">
        <v>26</v>
      </c>
      <c r="C324" s="8" t="s">
        <v>43</v>
      </c>
      <c r="D324" s="8" t="str">
        <f t="shared" si="20"/>
        <v>26Costa Rica</v>
      </c>
      <c r="E324" s="8">
        <v>1</v>
      </c>
      <c r="F324" s="8">
        <v>0.69276420000000005</v>
      </c>
      <c r="G324" s="8">
        <v>0.58985849999999995</v>
      </c>
      <c r="H324" s="8">
        <v>0.15999959999999999</v>
      </c>
      <c r="I324" s="8">
        <v>0.15958410000000001</v>
      </c>
      <c r="K324" s="8">
        <v>26</v>
      </c>
      <c r="L324" s="8" t="s">
        <v>43</v>
      </c>
      <c r="M324" s="8" t="str">
        <f t="shared" si="21"/>
        <v>26Costa Rica</v>
      </c>
      <c r="N324" s="8">
        <v>1</v>
      </c>
      <c r="O324" s="8">
        <v>0.96110519999999999</v>
      </c>
      <c r="P324" s="8">
        <v>0.93657800000000002</v>
      </c>
      <c r="Q324" s="8">
        <v>0.39033329999999999</v>
      </c>
      <c r="R324" s="8">
        <v>0.18802260000000001</v>
      </c>
    </row>
    <row r="325" spans="2:18" ht="1" customHeight="1">
      <c r="B325" s="8">
        <v>27</v>
      </c>
      <c r="C325" s="8" t="s">
        <v>43</v>
      </c>
      <c r="D325" s="8" t="str">
        <f t="shared" si="20"/>
        <v>27Costa Rica</v>
      </c>
      <c r="E325" s="8">
        <v>1</v>
      </c>
      <c r="F325" s="8">
        <v>0.68625619999999998</v>
      </c>
      <c r="G325" s="8">
        <v>0.59695770000000004</v>
      </c>
      <c r="H325" s="8">
        <v>0.1244354</v>
      </c>
      <c r="I325" s="8">
        <v>0.1290483</v>
      </c>
      <c r="K325" s="8">
        <v>27</v>
      </c>
      <c r="L325" s="8" t="s">
        <v>43</v>
      </c>
      <c r="M325" s="8" t="str">
        <f t="shared" si="21"/>
        <v>27Costa Rica</v>
      </c>
      <c r="N325" s="8">
        <v>1</v>
      </c>
      <c r="O325" s="8">
        <v>0.96476609999999996</v>
      </c>
      <c r="P325" s="8">
        <v>0.94216009999999994</v>
      </c>
      <c r="Q325" s="8">
        <v>0.3585815</v>
      </c>
      <c r="R325" s="8">
        <v>0.1565946</v>
      </c>
    </row>
    <row r="326" spans="2:18" ht="1" customHeight="1">
      <c r="B326" s="8">
        <v>28</v>
      </c>
      <c r="C326" s="8" t="s">
        <v>43</v>
      </c>
      <c r="D326" s="8" t="str">
        <f t="shared" si="20"/>
        <v>28Costa Rica</v>
      </c>
      <c r="E326" s="8">
        <v>1</v>
      </c>
      <c r="F326" s="8">
        <v>0.67260900000000001</v>
      </c>
      <c r="G326" s="8">
        <v>0.59178350000000002</v>
      </c>
      <c r="H326" s="8">
        <v>0.10151499999999999</v>
      </c>
      <c r="I326" s="8">
        <v>0.10673829999999999</v>
      </c>
      <c r="K326" s="8">
        <v>28</v>
      </c>
      <c r="L326" s="8" t="s">
        <v>43</v>
      </c>
      <c r="M326" s="8" t="str">
        <f t="shared" si="21"/>
        <v>28Costa Rica</v>
      </c>
      <c r="N326" s="8">
        <v>1</v>
      </c>
      <c r="O326" s="8">
        <v>0.9675106</v>
      </c>
      <c r="P326" s="8">
        <v>0.94130999999999998</v>
      </c>
      <c r="Q326" s="8">
        <v>0.31932549999999998</v>
      </c>
      <c r="R326" s="8">
        <v>0.13466739999999999</v>
      </c>
    </row>
    <row r="327" spans="2:18" ht="1" customHeight="1">
      <c r="B327" s="8">
        <v>29</v>
      </c>
      <c r="C327" s="8" t="s">
        <v>43</v>
      </c>
      <c r="D327" s="8" t="str">
        <f t="shared" si="20"/>
        <v>29Costa Rica</v>
      </c>
      <c r="E327" s="8">
        <v>1</v>
      </c>
      <c r="F327" s="8">
        <v>0.65896189999999999</v>
      </c>
      <c r="G327" s="8">
        <v>0.58660920000000005</v>
      </c>
      <c r="H327" s="8">
        <v>7.8594600000000001E-2</v>
      </c>
      <c r="I327" s="8">
        <v>8.4428199999999995E-2</v>
      </c>
      <c r="K327" s="8">
        <v>29</v>
      </c>
      <c r="L327" s="8" t="s">
        <v>43</v>
      </c>
      <c r="M327" s="8" t="str">
        <f t="shared" si="21"/>
        <v>29Costa Rica</v>
      </c>
      <c r="N327" s="8">
        <v>1</v>
      </c>
      <c r="O327" s="8">
        <v>0.97025519999999998</v>
      </c>
      <c r="P327" s="8">
        <v>0.94045999999999996</v>
      </c>
      <c r="Q327" s="8">
        <v>0.28006959999999997</v>
      </c>
      <c r="R327" s="8">
        <v>0.1127403</v>
      </c>
    </row>
    <row r="328" spans="2:18" ht="1" customHeight="1">
      <c r="B328" s="8">
        <v>30</v>
      </c>
      <c r="C328" s="8" t="s">
        <v>43</v>
      </c>
      <c r="D328" s="8" t="str">
        <f t="shared" si="20"/>
        <v>30Costa Rica</v>
      </c>
      <c r="E328" s="8">
        <v>1</v>
      </c>
      <c r="F328" s="8">
        <v>0.66036700000000004</v>
      </c>
      <c r="G328" s="8">
        <v>0.5923581</v>
      </c>
      <c r="H328" s="8">
        <v>7.0650199999999996E-2</v>
      </c>
      <c r="I328" s="8">
        <v>7.5694800000000007E-2</v>
      </c>
      <c r="K328" s="8">
        <v>30</v>
      </c>
      <c r="L328" s="8" t="s">
        <v>43</v>
      </c>
      <c r="M328" s="8" t="str">
        <f t="shared" si="21"/>
        <v>30Costa Rica</v>
      </c>
      <c r="N328" s="8">
        <v>1</v>
      </c>
      <c r="O328" s="8">
        <v>0.96600220000000003</v>
      </c>
      <c r="P328" s="8">
        <v>0.93491440000000003</v>
      </c>
      <c r="Q328" s="8">
        <v>0.24593660000000001</v>
      </c>
      <c r="R328" s="8">
        <v>9.5802300000000007E-2</v>
      </c>
    </row>
    <row r="329" spans="2:18" ht="1" customHeight="1">
      <c r="B329" s="8">
        <v>31</v>
      </c>
      <c r="C329" s="8" t="s">
        <v>43</v>
      </c>
      <c r="D329" s="8" t="str">
        <f t="shared" si="20"/>
        <v>31Costa Rica</v>
      </c>
      <c r="E329" s="8">
        <v>1</v>
      </c>
      <c r="F329" s="8">
        <v>0.66177209999999997</v>
      </c>
      <c r="G329" s="8">
        <v>0.5981069</v>
      </c>
      <c r="H329" s="8">
        <v>6.2705800000000006E-2</v>
      </c>
      <c r="I329" s="8">
        <v>6.6961300000000001E-2</v>
      </c>
      <c r="K329" s="8">
        <v>31</v>
      </c>
      <c r="L329" s="8" t="s">
        <v>43</v>
      </c>
      <c r="M329" s="8" t="str">
        <f t="shared" si="21"/>
        <v>31Costa Rica</v>
      </c>
      <c r="N329" s="8">
        <v>1</v>
      </c>
      <c r="O329" s="8">
        <v>0.96174919999999997</v>
      </c>
      <c r="P329" s="8">
        <v>0.92936870000000005</v>
      </c>
      <c r="Q329" s="8">
        <v>0.21180370000000001</v>
      </c>
      <c r="R329" s="8">
        <v>7.8864400000000001E-2</v>
      </c>
    </row>
    <row r="330" spans="2:18" ht="1" customHeight="1">
      <c r="B330" s="8">
        <v>32</v>
      </c>
      <c r="C330" s="8" t="s">
        <v>43</v>
      </c>
      <c r="D330" s="8" t="str">
        <f t="shared" si="20"/>
        <v>32Costa Rica</v>
      </c>
      <c r="E330" s="8">
        <v>1</v>
      </c>
      <c r="F330" s="8">
        <v>0.67008679999999998</v>
      </c>
      <c r="G330" s="8">
        <v>0.61350819999999995</v>
      </c>
      <c r="H330" s="8">
        <v>5.35845E-2</v>
      </c>
      <c r="I330" s="8">
        <v>5.6896099999999998E-2</v>
      </c>
      <c r="K330" s="8">
        <v>32</v>
      </c>
      <c r="L330" s="8" t="s">
        <v>43</v>
      </c>
      <c r="M330" s="8" t="str">
        <f t="shared" si="21"/>
        <v>32Costa Rica</v>
      </c>
      <c r="N330" s="8">
        <v>1</v>
      </c>
      <c r="O330" s="8">
        <v>0.95879890000000001</v>
      </c>
      <c r="P330" s="8">
        <v>0.93572469999999996</v>
      </c>
      <c r="Q330" s="8">
        <v>0.20446719999999999</v>
      </c>
      <c r="R330" s="8">
        <v>7.5663800000000003E-2</v>
      </c>
    </row>
    <row r="331" spans="2:18" ht="1" customHeight="1">
      <c r="B331" s="8">
        <v>33</v>
      </c>
      <c r="C331" s="8" t="s">
        <v>43</v>
      </c>
      <c r="D331" s="8" t="str">
        <f t="shared" si="20"/>
        <v>33Costa Rica</v>
      </c>
      <c r="E331" s="8">
        <v>1</v>
      </c>
      <c r="F331" s="8">
        <v>0.67840149999999999</v>
      </c>
      <c r="G331" s="8">
        <v>0.62890959999999996</v>
      </c>
      <c r="H331" s="8">
        <v>4.4463200000000001E-2</v>
      </c>
      <c r="I331" s="8">
        <v>4.6830900000000002E-2</v>
      </c>
      <c r="K331" s="8">
        <v>33</v>
      </c>
      <c r="L331" s="8" t="s">
        <v>43</v>
      </c>
      <c r="M331" s="8" t="str">
        <f t="shared" si="21"/>
        <v>33Costa Rica</v>
      </c>
      <c r="N331" s="8">
        <v>1</v>
      </c>
      <c r="O331" s="8">
        <v>0.95584860000000005</v>
      </c>
      <c r="P331" s="8">
        <v>0.94208060000000005</v>
      </c>
      <c r="Q331" s="8">
        <v>0.19713079999999999</v>
      </c>
      <c r="R331" s="8">
        <v>7.2463299999999994E-2</v>
      </c>
    </row>
    <row r="332" spans="2:18" ht="1" customHeight="1">
      <c r="B332" s="8">
        <v>34</v>
      </c>
      <c r="C332" s="8" t="s">
        <v>43</v>
      </c>
      <c r="D332" s="8" t="str">
        <f t="shared" si="20"/>
        <v>34Costa Rica</v>
      </c>
      <c r="E332" s="8">
        <v>1</v>
      </c>
      <c r="F332" s="8">
        <v>0.69864340000000003</v>
      </c>
      <c r="G332" s="8">
        <v>0.65163760000000004</v>
      </c>
      <c r="H332" s="8">
        <v>3.9892400000000001E-2</v>
      </c>
      <c r="I332" s="8">
        <v>4.18457E-2</v>
      </c>
      <c r="K332" s="8">
        <v>34</v>
      </c>
      <c r="L332" s="8" t="s">
        <v>43</v>
      </c>
      <c r="M332" s="8" t="str">
        <f t="shared" si="21"/>
        <v>34Costa Rica</v>
      </c>
      <c r="N332" s="8">
        <v>1</v>
      </c>
      <c r="O332" s="8">
        <v>0.95787120000000003</v>
      </c>
      <c r="P332" s="8">
        <v>0.95018100000000005</v>
      </c>
      <c r="Q332" s="8">
        <v>0.1914196</v>
      </c>
      <c r="R332" s="8">
        <v>7.9609899999999997E-2</v>
      </c>
    </row>
    <row r="333" spans="2:18" ht="1" customHeight="1">
      <c r="B333" s="8">
        <v>35</v>
      </c>
      <c r="C333" s="8" t="s">
        <v>43</v>
      </c>
      <c r="D333" s="8" t="str">
        <f t="shared" si="20"/>
        <v>35Costa Rica</v>
      </c>
      <c r="E333" s="8">
        <v>1</v>
      </c>
      <c r="F333" s="8">
        <v>0.71888529999999995</v>
      </c>
      <c r="G333" s="8">
        <v>0.67436560000000001</v>
      </c>
      <c r="H333" s="8">
        <v>3.5321699999999998E-2</v>
      </c>
      <c r="I333" s="8">
        <v>3.6860499999999997E-2</v>
      </c>
      <c r="K333" s="8">
        <v>35</v>
      </c>
      <c r="L333" s="8" t="s">
        <v>43</v>
      </c>
      <c r="M333" s="8" t="str">
        <f t="shared" si="21"/>
        <v>35Costa Rica</v>
      </c>
      <c r="N333" s="8">
        <v>1</v>
      </c>
      <c r="O333" s="8">
        <v>0.95989380000000002</v>
      </c>
      <c r="P333" s="8">
        <v>0.95828150000000001</v>
      </c>
      <c r="Q333" s="8">
        <v>0.1857084</v>
      </c>
      <c r="R333" s="8">
        <v>8.67565E-2</v>
      </c>
    </row>
    <row r="334" spans="2:18" ht="1" customHeight="1">
      <c r="B334" s="8">
        <v>36</v>
      </c>
      <c r="C334" s="8" t="s">
        <v>43</v>
      </c>
      <c r="D334" s="8" t="str">
        <f t="shared" si="20"/>
        <v>36Costa Rica</v>
      </c>
      <c r="E334" s="8">
        <v>1</v>
      </c>
      <c r="F334" s="8">
        <v>0.73577669999999995</v>
      </c>
      <c r="G334" s="8">
        <v>0.69094480000000003</v>
      </c>
      <c r="H334" s="8">
        <v>3.4391900000000003E-2</v>
      </c>
      <c r="I334" s="8">
        <v>3.5928599999999998E-2</v>
      </c>
      <c r="K334" s="8">
        <v>36</v>
      </c>
      <c r="L334" s="8" t="s">
        <v>43</v>
      </c>
      <c r="M334" s="8" t="str">
        <f t="shared" si="21"/>
        <v>36Costa Rica</v>
      </c>
      <c r="N334" s="8">
        <v>1</v>
      </c>
      <c r="O334" s="8">
        <v>0.95953699999999997</v>
      </c>
      <c r="P334" s="8">
        <v>0.95735780000000004</v>
      </c>
      <c r="Q334" s="8">
        <v>0.1759184</v>
      </c>
      <c r="R334" s="8">
        <v>8.3358199999999993E-2</v>
      </c>
    </row>
    <row r="335" spans="2:18" ht="1" customHeight="1">
      <c r="B335" s="8">
        <v>37</v>
      </c>
      <c r="C335" s="8" t="s">
        <v>43</v>
      </c>
      <c r="D335" s="8" t="str">
        <f t="shared" si="20"/>
        <v>37Costa Rica</v>
      </c>
      <c r="E335" s="8">
        <v>1</v>
      </c>
      <c r="F335" s="8">
        <v>0.752668</v>
      </c>
      <c r="G335" s="8">
        <v>0.70752389999999998</v>
      </c>
      <c r="H335" s="8">
        <v>3.3461999999999999E-2</v>
      </c>
      <c r="I335" s="8">
        <v>3.4996699999999999E-2</v>
      </c>
      <c r="K335" s="8">
        <v>37</v>
      </c>
      <c r="L335" s="8" t="s">
        <v>43</v>
      </c>
      <c r="M335" s="8" t="str">
        <f t="shared" si="21"/>
        <v>37Costa Rica</v>
      </c>
      <c r="N335" s="8">
        <v>1</v>
      </c>
      <c r="O335" s="8">
        <v>0.95918009999999998</v>
      </c>
      <c r="P335" s="8">
        <v>0.95643400000000001</v>
      </c>
      <c r="Q335" s="8">
        <v>0.16612850000000001</v>
      </c>
      <c r="R335" s="8">
        <v>7.99599E-2</v>
      </c>
    </row>
    <row r="336" spans="2:18" ht="1" customHeight="1">
      <c r="B336" s="8">
        <v>38</v>
      </c>
      <c r="C336" s="8" t="s">
        <v>43</v>
      </c>
      <c r="D336" s="8" t="str">
        <f t="shared" si="20"/>
        <v>38Costa Rica</v>
      </c>
      <c r="E336" s="8">
        <v>1</v>
      </c>
      <c r="F336" s="8">
        <v>0.74053150000000001</v>
      </c>
      <c r="G336" s="8">
        <v>0.69810839999999996</v>
      </c>
      <c r="H336" s="8">
        <v>2.8122399999999999E-2</v>
      </c>
      <c r="I336" s="8">
        <v>2.93467E-2</v>
      </c>
      <c r="K336" s="8">
        <v>38</v>
      </c>
      <c r="L336" s="8" t="s">
        <v>43</v>
      </c>
      <c r="M336" s="8" t="str">
        <f t="shared" si="21"/>
        <v>38Costa Rica</v>
      </c>
      <c r="N336" s="8">
        <v>1</v>
      </c>
      <c r="O336" s="8">
        <v>0.9490461</v>
      </c>
      <c r="P336" s="8">
        <v>0.94582299999999997</v>
      </c>
      <c r="Q336" s="8">
        <v>0.16485849999999999</v>
      </c>
      <c r="R336" s="8">
        <v>6.7376199999999997E-2</v>
      </c>
    </row>
    <row r="337" spans="2:18" ht="1" customHeight="1">
      <c r="B337" s="8">
        <v>39</v>
      </c>
      <c r="C337" s="8" t="s">
        <v>43</v>
      </c>
      <c r="D337" s="8" t="str">
        <f t="shared" si="20"/>
        <v>39Costa Rica</v>
      </c>
      <c r="E337" s="8">
        <v>1</v>
      </c>
      <c r="F337" s="8">
        <v>0.72839500000000001</v>
      </c>
      <c r="G337" s="8">
        <v>0.688693</v>
      </c>
      <c r="H337" s="8">
        <v>2.2782699999999999E-2</v>
      </c>
      <c r="I337" s="8">
        <v>2.3696700000000001E-2</v>
      </c>
      <c r="K337" s="8">
        <v>39</v>
      </c>
      <c r="L337" s="8" t="s">
        <v>43</v>
      </c>
      <c r="M337" s="8" t="str">
        <f t="shared" si="21"/>
        <v>39Costa Rica</v>
      </c>
      <c r="N337" s="8">
        <v>1</v>
      </c>
      <c r="O337" s="8">
        <v>0.93891219999999997</v>
      </c>
      <c r="P337" s="8">
        <v>0.93521189999999998</v>
      </c>
      <c r="Q337" s="8">
        <v>0.1635886</v>
      </c>
      <c r="R337" s="8">
        <v>5.4792399999999998E-2</v>
      </c>
    </row>
    <row r="338" spans="2:18" ht="1" customHeight="1">
      <c r="B338" s="8">
        <v>40</v>
      </c>
      <c r="C338" s="8" t="s">
        <v>43</v>
      </c>
      <c r="D338" s="8" t="str">
        <f t="shared" si="20"/>
        <v>40Costa Rica</v>
      </c>
      <c r="E338" s="8">
        <v>1</v>
      </c>
      <c r="F338" s="8">
        <v>0.72028650000000005</v>
      </c>
      <c r="G338" s="8">
        <v>0.67943390000000004</v>
      </c>
      <c r="H338" s="8">
        <v>1.57704E-2</v>
      </c>
      <c r="I338" s="8">
        <v>1.6366499999999999E-2</v>
      </c>
      <c r="K338" s="8">
        <v>40</v>
      </c>
      <c r="L338" s="8" t="s">
        <v>43</v>
      </c>
      <c r="M338" s="8" t="str">
        <f t="shared" si="21"/>
        <v>40Costa Rica</v>
      </c>
      <c r="N338" s="8">
        <v>1</v>
      </c>
      <c r="O338" s="8">
        <v>0.92336989999999997</v>
      </c>
      <c r="P338" s="8">
        <v>0.91763969999999995</v>
      </c>
      <c r="Q338" s="8">
        <v>0.1548572</v>
      </c>
      <c r="R338" s="8">
        <v>4.6572299999999997E-2</v>
      </c>
    </row>
    <row r="339" spans="2:18" ht="1" customHeight="1">
      <c r="B339" s="8">
        <v>0</v>
      </c>
      <c r="C339" s="8" t="s">
        <v>52</v>
      </c>
      <c r="D339" s="8" t="str">
        <f t="shared" si="20"/>
        <v>0Mexico</v>
      </c>
      <c r="E339" s="8"/>
      <c r="F339" s="8"/>
      <c r="G339" s="8"/>
      <c r="H339" s="8"/>
      <c r="I339" s="8"/>
      <c r="K339" s="8">
        <v>0</v>
      </c>
      <c r="L339" s="8" t="s">
        <v>52</v>
      </c>
      <c r="M339" s="8" t="str">
        <f t="shared" si="21"/>
        <v>0Mexico</v>
      </c>
      <c r="N339" s="8"/>
      <c r="O339" s="8"/>
      <c r="P339" s="8"/>
      <c r="Q339" s="8"/>
      <c r="R339" s="8"/>
    </row>
    <row r="340" spans="2:18" ht="1" customHeight="1">
      <c r="B340" s="8">
        <v>1</v>
      </c>
      <c r="C340" s="8" t="s">
        <v>52</v>
      </c>
      <c r="D340" s="8" t="str">
        <f t="shared" si="20"/>
        <v>1Mexico</v>
      </c>
      <c r="E340" s="8"/>
      <c r="F340" s="8"/>
      <c r="G340" s="8"/>
      <c r="H340" s="8"/>
      <c r="I340" s="8"/>
      <c r="K340" s="8">
        <v>1</v>
      </c>
      <c r="L340" s="8" t="s">
        <v>52</v>
      </c>
      <c r="M340" s="8" t="str">
        <f t="shared" si="21"/>
        <v>1Mexico</v>
      </c>
      <c r="N340" s="8"/>
      <c r="O340" s="8"/>
      <c r="P340" s="8"/>
      <c r="Q340" s="8"/>
      <c r="R340" s="8"/>
    </row>
    <row r="341" spans="2:18" ht="1" customHeight="1">
      <c r="B341" s="8">
        <v>2</v>
      </c>
      <c r="C341" s="8" t="s">
        <v>52</v>
      </c>
      <c r="D341" s="8" t="str">
        <f t="shared" si="20"/>
        <v>2Mexico</v>
      </c>
      <c r="E341" s="8"/>
      <c r="F341" s="8"/>
      <c r="G341" s="8"/>
      <c r="H341" s="8"/>
      <c r="I341" s="8"/>
      <c r="K341" s="8">
        <v>2</v>
      </c>
      <c r="L341" s="8" t="s">
        <v>52</v>
      </c>
      <c r="M341" s="8" t="str">
        <f t="shared" si="21"/>
        <v>2Mexico</v>
      </c>
      <c r="N341" s="8"/>
      <c r="O341" s="8"/>
      <c r="P341" s="8"/>
      <c r="Q341" s="8"/>
      <c r="R341" s="8"/>
    </row>
    <row r="342" spans="2:18" ht="1" customHeight="1">
      <c r="B342" s="8">
        <v>3</v>
      </c>
      <c r="C342" s="8" t="s">
        <v>52</v>
      </c>
      <c r="D342" s="8" t="str">
        <f t="shared" si="20"/>
        <v>3Mexico</v>
      </c>
      <c r="E342" s="8"/>
      <c r="F342" s="8"/>
      <c r="G342" s="8"/>
      <c r="H342" s="8"/>
      <c r="I342" s="8"/>
      <c r="K342" s="8">
        <v>3</v>
      </c>
      <c r="L342" s="8" t="s">
        <v>52</v>
      </c>
      <c r="M342" s="8" t="str">
        <f t="shared" si="21"/>
        <v>3Mexico</v>
      </c>
      <c r="N342" s="8"/>
      <c r="O342" s="8"/>
      <c r="P342" s="8"/>
      <c r="Q342" s="8"/>
      <c r="R342" s="8"/>
    </row>
    <row r="343" spans="2:18" ht="1" customHeight="1">
      <c r="B343" s="8">
        <v>4</v>
      </c>
      <c r="C343" s="8" t="s">
        <v>52</v>
      </c>
      <c r="D343" s="8" t="str">
        <f t="shared" si="20"/>
        <v>4Mexico</v>
      </c>
      <c r="E343" s="8"/>
      <c r="F343" s="8"/>
      <c r="G343" s="8"/>
      <c r="H343" s="8"/>
      <c r="I343" s="8"/>
      <c r="K343" s="8">
        <v>4</v>
      </c>
      <c r="L343" s="8" t="s">
        <v>52</v>
      </c>
      <c r="M343" s="8" t="str">
        <f t="shared" si="21"/>
        <v>4Mexico</v>
      </c>
      <c r="N343" s="8"/>
      <c r="O343" s="8"/>
      <c r="P343" s="8"/>
      <c r="Q343" s="8"/>
      <c r="R343" s="8"/>
    </row>
    <row r="344" spans="2:18" ht="1" customHeight="1">
      <c r="B344" s="8">
        <v>5</v>
      </c>
      <c r="C344" s="8" t="s">
        <v>52</v>
      </c>
      <c r="D344" s="8" t="str">
        <f t="shared" si="20"/>
        <v>5Mexico</v>
      </c>
      <c r="E344" s="8">
        <v>1</v>
      </c>
      <c r="F344" s="8">
        <v>0.92045149999999998</v>
      </c>
      <c r="G344" s="8">
        <v>0.92045149999999998</v>
      </c>
      <c r="H344" s="8">
        <v>0.92045149999999998</v>
      </c>
      <c r="I344" s="8">
        <v>0.90778789999999998</v>
      </c>
      <c r="K344" s="8">
        <v>5</v>
      </c>
      <c r="L344" s="8" t="s">
        <v>52</v>
      </c>
      <c r="M344" s="8" t="str">
        <f t="shared" si="21"/>
        <v>5Mexico</v>
      </c>
      <c r="N344" s="8">
        <v>1</v>
      </c>
      <c r="O344" s="8">
        <v>0.98103269999999998</v>
      </c>
      <c r="P344" s="8">
        <v>0.98103269999999998</v>
      </c>
      <c r="Q344" s="8">
        <v>0.98103269999999998</v>
      </c>
      <c r="R344" s="8">
        <v>0.66426719999999995</v>
      </c>
    </row>
    <row r="345" spans="2:18" ht="1" customHeight="1">
      <c r="B345" s="8">
        <v>6</v>
      </c>
      <c r="C345" s="8" t="s">
        <v>52</v>
      </c>
      <c r="D345" s="8" t="str">
        <f t="shared" si="20"/>
        <v>6Mexico</v>
      </c>
      <c r="E345" s="8">
        <v>1</v>
      </c>
      <c r="F345" s="8">
        <v>0.93770089999999995</v>
      </c>
      <c r="G345" s="8">
        <v>0.93770089999999995</v>
      </c>
      <c r="H345" s="8">
        <v>0.93770089999999995</v>
      </c>
      <c r="I345" s="8">
        <v>0.92692050000000004</v>
      </c>
      <c r="K345" s="8">
        <v>6</v>
      </c>
      <c r="L345" s="8" t="s">
        <v>52</v>
      </c>
      <c r="M345" s="8" t="str">
        <f t="shared" si="21"/>
        <v>6Mexico</v>
      </c>
      <c r="N345" s="8">
        <v>1</v>
      </c>
      <c r="O345" s="8">
        <v>0.98720070000000004</v>
      </c>
      <c r="P345" s="8">
        <v>0.98720070000000004</v>
      </c>
      <c r="Q345" s="8">
        <v>0.98720070000000004</v>
      </c>
      <c r="R345" s="8">
        <v>0.66767160000000003</v>
      </c>
    </row>
    <row r="346" spans="2:18" ht="1" customHeight="1">
      <c r="B346" s="8">
        <v>7</v>
      </c>
      <c r="C346" s="8" t="s">
        <v>52</v>
      </c>
      <c r="D346" s="8" t="str">
        <f t="shared" si="20"/>
        <v>7Mexico</v>
      </c>
      <c r="E346" s="8">
        <v>1</v>
      </c>
      <c r="F346" s="8">
        <v>0.95495030000000003</v>
      </c>
      <c r="G346" s="8">
        <v>0.95495030000000003</v>
      </c>
      <c r="H346" s="8">
        <v>0.95495030000000003</v>
      </c>
      <c r="I346" s="8">
        <v>0.94605329999999999</v>
      </c>
      <c r="K346" s="8">
        <v>7</v>
      </c>
      <c r="L346" s="8" t="s">
        <v>52</v>
      </c>
      <c r="M346" s="8" t="str">
        <f t="shared" si="21"/>
        <v>7Mexico</v>
      </c>
      <c r="N346" s="8">
        <v>1</v>
      </c>
      <c r="O346" s="8">
        <v>0.99336860000000005</v>
      </c>
      <c r="P346" s="8">
        <v>0.99336860000000005</v>
      </c>
      <c r="Q346" s="8">
        <v>0.99336860000000005</v>
      </c>
      <c r="R346" s="8">
        <v>0.6710758</v>
      </c>
    </row>
    <row r="347" spans="2:18" ht="1" customHeight="1">
      <c r="B347" s="8">
        <v>8</v>
      </c>
      <c r="C347" s="8" t="s">
        <v>52</v>
      </c>
      <c r="D347" s="8" t="str">
        <f t="shared" si="20"/>
        <v>8Mexico</v>
      </c>
      <c r="E347" s="8">
        <v>1</v>
      </c>
      <c r="F347" s="8">
        <v>0.96436569999999999</v>
      </c>
      <c r="G347" s="8">
        <v>0.96436569999999999</v>
      </c>
      <c r="H347" s="8">
        <v>0.96436569999999999</v>
      </c>
      <c r="I347" s="8">
        <v>0.95400249999999998</v>
      </c>
      <c r="K347" s="8">
        <v>8</v>
      </c>
      <c r="L347" s="8" t="s">
        <v>52</v>
      </c>
      <c r="M347" s="8" t="str">
        <f t="shared" si="21"/>
        <v>8Mexico</v>
      </c>
      <c r="N347" s="8">
        <v>1</v>
      </c>
      <c r="O347" s="8">
        <v>0.99358190000000002</v>
      </c>
      <c r="P347" s="8">
        <v>0.99358190000000002</v>
      </c>
      <c r="Q347" s="8">
        <v>0.99358190000000002</v>
      </c>
      <c r="R347" s="8">
        <v>0.67006160000000003</v>
      </c>
    </row>
    <row r="348" spans="2:18" ht="1" customHeight="1">
      <c r="B348" s="8">
        <v>9</v>
      </c>
      <c r="C348" s="8" t="s">
        <v>52</v>
      </c>
      <c r="D348" s="8" t="str">
        <f t="shared" si="20"/>
        <v>9Mexico</v>
      </c>
      <c r="E348" s="8">
        <v>1</v>
      </c>
      <c r="F348" s="8">
        <v>0.97378100000000001</v>
      </c>
      <c r="G348" s="8">
        <v>0.97378100000000001</v>
      </c>
      <c r="H348" s="8">
        <v>0.97378100000000001</v>
      </c>
      <c r="I348" s="8">
        <v>0.96195169999999997</v>
      </c>
      <c r="K348" s="8">
        <v>9</v>
      </c>
      <c r="L348" s="8" t="s">
        <v>52</v>
      </c>
      <c r="M348" s="8" t="str">
        <f t="shared" si="21"/>
        <v>9Mexico</v>
      </c>
      <c r="N348" s="8">
        <v>1</v>
      </c>
      <c r="O348" s="8">
        <v>0.99379519999999999</v>
      </c>
      <c r="P348" s="8">
        <v>0.99379519999999999</v>
      </c>
      <c r="Q348" s="8">
        <v>0.99379519999999999</v>
      </c>
      <c r="R348" s="8">
        <v>0.66904739999999996</v>
      </c>
    </row>
    <row r="349" spans="2:18" ht="1" customHeight="1">
      <c r="B349" s="8">
        <v>10</v>
      </c>
      <c r="C349" s="8" t="s">
        <v>52</v>
      </c>
      <c r="D349" s="8" t="str">
        <f t="shared" si="20"/>
        <v>10Mexico</v>
      </c>
      <c r="E349" s="8">
        <v>1</v>
      </c>
      <c r="F349" s="8">
        <v>0.97457729999999998</v>
      </c>
      <c r="G349" s="8">
        <v>0.9734197</v>
      </c>
      <c r="H349" s="8">
        <v>0.96782699999999999</v>
      </c>
      <c r="I349" s="8">
        <v>0.95571329999999999</v>
      </c>
      <c r="K349" s="8">
        <v>10</v>
      </c>
      <c r="L349" s="8" t="s">
        <v>52</v>
      </c>
      <c r="M349" s="8" t="str">
        <f t="shared" si="21"/>
        <v>10Mexico</v>
      </c>
      <c r="N349" s="8">
        <v>1</v>
      </c>
      <c r="O349" s="8">
        <v>0.99130359999999995</v>
      </c>
      <c r="P349" s="8">
        <v>0.99130359999999995</v>
      </c>
      <c r="Q349" s="8">
        <v>0.98745269999999996</v>
      </c>
      <c r="R349" s="8">
        <v>0.67835590000000001</v>
      </c>
    </row>
    <row r="350" spans="2:18" ht="1" customHeight="1">
      <c r="B350" s="8">
        <v>11</v>
      </c>
      <c r="C350" s="8" t="s">
        <v>52</v>
      </c>
      <c r="D350" s="8" t="str">
        <f t="shared" ref="D350:D413" si="22">CONCATENATE(B350,C350)</f>
        <v>11Mexico</v>
      </c>
      <c r="E350" s="8">
        <v>1</v>
      </c>
      <c r="F350" s="8">
        <v>0.97537359999999995</v>
      </c>
      <c r="G350" s="8">
        <v>0.97305819999999998</v>
      </c>
      <c r="H350" s="8">
        <v>0.96187279999999997</v>
      </c>
      <c r="I350" s="8">
        <v>0.94947479999999995</v>
      </c>
      <c r="K350" s="8">
        <v>11</v>
      </c>
      <c r="L350" s="8" t="s">
        <v>52</v>
      </c>
      <c r="M350" s="8" t="str">
        <f t="shared" ref="M350:M413" si="23">CONCATENATE(K350,L350)</f>
        <v>11Mexico</v>
      </c>
      <c r="N350" s="8">
        <v>1</v>
      </c>
      <c r="O350" s="8">
        <v>0.98881200000000002</v>
      </c>
      <c r="P350" s="8">
        <v>0.98881200000000002</v>
      </c>
      <c r="Q350" s="8">
        <v>0.98111020000000004</v>
      </c>
      <c r="R350" s="8">
        <v>0.68766439999999995</v>
      </c>
    </row>
    <row r="351" spans="2:18" ht="1" customHeight="1">
      <c r="B351" s="8">
        <v>12</v>
      </c>
      <c r="C351" s="8" t="s">
        <v>52</v>
      </c>
      <c r="D351" s="8" t="str">
        <f t="shared" si="22"/>
        <v>12Mexico</v>
      </c>
      <c r="E351" s="8">
        <v>1</v>
      </c>
      <c r="F351" s="8">
        <v>0.96286579999999999</v>
      </c>
      <c r="G351" s="8">
        <v>0.95727090000000004</v>
      </c>
      <c r="H351" s="8">
        <v>0.92328540000000003</v>
      </c>
      <c r="I351" s="8">
        <v>0.9108406</v>
      </c>
      <c r="K351" s="8">
        <v>12</v>
      </c>
      <c r="L351" s="8" t="s">
        <v>52</v>
      </c>
      <c r="M351" s="8" t="str">
        <f t="shared" si="23"/>
        <v>12Mexico</v>
      </c>
      <c r="N351" s="8">
        <v>1</v>
      </c>
      <c r="O351" s="8">
        <v>0.98170679999999999</v>
      </c>
      <c r="P351" s="8">
        <v>0.98067420000000005</v>
      </c>
      <c r="Q351" s="8">
        <v>0.9645994</v>
      </c>
      <c r="R351" s="8">
        <v>0.68641229999999998</v>
      </c>
    </row>
    <row r="352" spans="2:18" ht="1" customHeight="1">
      <c r="B352" s="8">
        <v>13</v>
      </c>
      <c r="C352" s="8" t="s">
        <v>52</v>
      </c>
      <c r="D352" s="8" t="str">
        <f t="shared" si="22"/>
        <v>13Mexico</v>
      </c>
      <c r="E352" s="8">
        <v>1</v>
      </c>
      <c r="F352" s="8">
        <v>0.95035809999999998</v>
      </c>
      <c r="G352" s="8">
        <v>0.94148350000000003</v>
      </c>
      <c r="H352" s="8">
        <v>0.88469799999999998</v>
      </c>
      <c r="I352" s="8">
        <v>0.87220640000000005</v>
      </c>
      <c r="K352" s="8">
        <v>13</v>
      </c>
      <c r="L352" s="8" t="s">
        <v>52</v>
      </c>
      <c r="M352" s="8" t="str">
        <f t="shared" si="23"/>
        <v>13Mexico</v>
      </c>
      <c r="N352" s="8">
        <v>1</v>
      </c>
      <c r="O352" s="8">
        <v>0.97460159999999996</v>
      </c>
      <c r="P352" s="8">
        <v>0.97253639999999997</v>
      </c>
      <c r="Q352" s="8">
        <v>0.9480885</v>
      </c>
      <c r="R352" s="8">
        <v>0.6851602</v>
      </c>
    </row>
    <row r="353" spans="2:18" ht="1" customHeight="1">
      <c r="B353" s="8">
        <v>14</v>
      </c>
      <c r="C353" s="8" t="s">
        <v>52</v>
      </c>
      <c r="D353" s="8" t="str">
        <f t="shared" si="22"/>
        <v>14Mexico</v>
      </c>
      <c r="E353" s="8">
        <v>1</v>
      </c>
      <c r="F353" s="8">
        <v>0.93076499999999995</v>
      </c>
      <c r="G353" s="8">
        <v>0.91758189999999995</v>
      </c>
      <c r="H353" s="8">
        <v>0.8173937</v>
      </c>
      <c r="I353" s="8">
        <v>0.80296639999999997</v>
      </c>
      <c r="K353" s="8">
        <v>14</v>
      </c>
      <c r="L353" s="8" t="s">
        <v>52</v>
      </c>
      <c r="M353" s="8" t="str">
        <f t="shared" si="23"/>
        <v>14Mexico</v>
      </c>
      <c r="N353" s="8">
        <v>1</v>
      </c>
      <c r="O353" s="8">
        <v>0.9599818</v>
      </c>
      <c r="P353" s="8">
        <v>0.95425320000000002</v>
      </c>
      <c r="Q353" s="8">
        <v>0.91904090000000005</v>
      </c>
      <c r="R353" s="8">
        <v>0.66230739999999999</v>
      </c>
    </row>
    <row r="354" spans="2:18" ht="1" customHeight="1">
      <c r="B354" s="8">
        <v>15</v>
      </c>
      <c r="C354" s="8" t="s">
        <v>52</v>
      </c>
      <c r="D354" s="8" t="str">
        <f t="shared" si="22"/>
        <v>15Mexico</v>
      </c>
      <c r="E354" s="8">
        <v>1</v>
      </c>
      <c r="F354" s="8">
        <v>0.91117199999999998</v>
      </c>
      <c r="G354" s="8">
        <v>0.89368029999999998</v>
      </c>
      <c r="H354" s="8">
        <v>0.75008929999999996</v>
      </c>
      <c r="I354" s="8">
        <v>0.7337264</v>
      </c>
      <c r="K354" s="8">
        <v>15</v>
      </c>
      <c r="L354" s="8" t="s">
        <v>52</v>
      </c>
      <c r="M354" s="8" t="str">
        <f t="shared" si="23"/>
        <v>15Mexico</v>
      </c>
      <c r="N354" s="8">
        <v>1</v>
      </c>
      <c r="O354" s="8">
        <v>0.94536200000000004</v>
      </c>
      <c r="P354" s="8">
        <v>0.93596999999999997</v>
      </c>
      <c r="Q354" s="8">
        <v>0.88999340000000005</v>
      </c>
      <c r="R354" s="8">
        <v>0.63945459999999998</v>
      </c>
    </row>
    <row r="355" spans="2:18" ht="1" customHeight="1">
      <c r="B355" s="8">
        <v>16</v>
      </c>
      <c r="C355" s="8" t="s">
        <v>52</v>
      </c>
      <c r="D355" s="8" t="str">
        <f t="shared" si="22"/>
        <v>16Mexico</v>
      </c>
      <c r="E355" s="8">
        <v>1</v>
      </c>
      <c r="F355" s="8">
        <v>0.88302579999999997</v>
      </c>
      <c r="G355" s="8">
        <v>0.85958069999999998</v>
      </c>
      <c r="H355" s="8">
        <v>0.65586100000000003</v>
      </c>
      <c r="I355" s="8">
        <v>0.63818609999999998</v>
      </c>
      <c r="K355" s="8">
        <v>16</v>
      </c>
      <c r="L355" s="8" t="s">
        <v>52</v>
      </c>
      <c r="M355" s="8" t="str">
        <f t="shared" si="23"/>
        <v>16Mexico</v>
      </c>
      <c r="N355" s="8">
        <v>1</v>
      </c>
      <c r="O355" s="8">
        <v>0.93350860000000002</v>
      </c>
      <c r="P355" s="8">
        <v>0.91792669999999998</v>
      </c>
      <c r="Q355" s="8">
        <v>0.82727079999999997</v>
      </c>
      <c r="R355" s="8">
        <v>0.5858371</v>
      </c>
    </row>
    <row r="356" spans="2:18" ht="1" customHeight="1">
      <c r="B356" s="8">
        <v>17</v>
      </c>
      <c r="C356" s="8" t="s">
        <v>52</v>
      </c>
      <c r="D356" s="8" t="str">
        <f t="shared" si="22"/>
        <v>17Mexico</v>
      </c>
      <c r="E356" s="8">
        <v>1</v>
      </c>
      <c r="F356" s="8">
        <v>0.85487950000000001</v>
      </c>
      <c r="G356" s="8">
        <v>0.82548109999999997</v>
      </c>
      <c r="H356" s="8">
        <v>0.56163269999999998</v>
      </c>
      <c r="I356" s="8">
        <v>0.54264570000000001</v>
      </c>
      <c r="K356" s="8">
        <v>17</v>
      </c>
      <c r="L356" s="8" t="s">
        <v>52</v>
      </c>
      <c r="M356" s="8" t="str">
        <f t="shared" si="23"/>
        <v>17Mexico</v>
      </c>
      <c r="N356" s="8">
        <v>1</v>
      </c>
      <c r="O356" s="8">
        <v>0.92165529999999996</v>
      </c>
      <c r="P356" s="8">
        <v>0.89988330000000005</v>
      </c>
      <c r="Q356" s="8">
        <v>0.76454820000000001</v>
      </c>
      <c r="R356" s="8">
        <v>0.53221960000000001</v>
      </c>
    </row>
    <row r="357" spans="2:18" ht="1" customHeight="1">
      <c r="B357" s="8">
        <v>18</v>
      </c>
      <c r="C357" s="8" t="s">
        <v>52</v>
      </c>
      <c r="D357" s="8" t="str">
        <f t="shared" si="22"/>
        <v>18Mexico</v>
      </c>
      <c r="E357" s="8">
        <v>1</v>
      </c>
      <c r="F357" s="8">
        <v>0.81573189999999995</v>
      </c>
      <c r="G357" s="8">
        <v>0.77980499999999997</v>
      </c>
      <c r="H357" s="8">
        <v>0.46280060000000001</v>
      </c>
      <c r="I357" s="8">
        <v>0.4415367</v>
      </c>
      <c r="K357" s="8">
        <v>18</v>
      </c>
      <c r="L357" s="8" t="s">
        <v>52</v>
      </c>
      <c r="M357" s="8" t="str">
        <f t="shared" si="23"/>
        <v>18Mexico</v>
      </c>
      <c r="N357" s="8">
        <v>1</v>
      </c>
      <c r="O357" s="8">
        <v>0.91830149999999999</v>
      </c>
      <c r="P357" s="8">
        <v>0.89328640000000004</v>
      </c>
      <c r="Q357" s="8">
        <v>0.67409870000000005</v>
      </c>
      <c r="R357" s="8">
        <v>0.46126250000000002</v>
      </c>
    </row>
    <row r="358" spans="2:18" ht="1" customHeight="1">
      <c r="B358" s="8">
        <v>19</v>
      </c>
      <c r="C358" s="8" t="s">
        <v>52</v>
      </c>
      <c r="D358" s="8" t="str">
        <f t="shared" si="22"/>
        <v>19Mexico</v>
      </c>
      <c r="E358" s="8">
        <v>1</v>
      </c>
      <c r="F358" s="8">
        <v>0.77658419999999995</v>
      </c>
      <c r="G358" s="8">
        <v>0.73412900000000003</v>
      </c>
      <c r="H358" s="8">
        <v>0.36396849999999997</v>
      </c>
      <c r="I358" s="8">
        <v>0.3404276</v>
      </c>
      <c r="K358" s="8">
        <v>19</v>
      </c>
      <c r="L358" s="8" t="s">
        <v>52</v>
      </c>
      <c r="M358" s="8" t="str">
        <f t="shared" si="23"/>
        <v>19Mexico</v>
      </c>
      <c r="N358" s="8">
        <v>1</v>
      </c>
      <c r="O358" s="8">
        <v>0.91494770000000003</v>
      </c>
      <c r="P358" s="8">
        <v>0.88668950000000002</v>
      </c>
      <c r="Q358" s="8">
        <v>0.58364930000000004</v>
      </c>
      <c r="R358" s="8">
        <v>0.39030540000000002</v>
      </c>
    </row>
    <row r="359" spans="2:18" ht="1" customHeight="1">
      <c r="B359" s="8">
        <v>20</v>
      </c>
      <c r="C359" s="8" t="s">
        <v>52</v>
      </c>
      <c r="D359" s="8" t="str">
        <f t="shared" si="22"/>
        <v>20Mexico</v>
      </c>
      <c r="E359" s="8">
        <v>1</v>
      </c>
      <c r="F359" s="8">
        <v>0.74553780000000003</v>
      </c>
      <c r="G359" s="8">
        <v>0.69699060000000002</v>
      </c>
      <c r="H359" s="8">
        <v>0.29895339999999998</v>
      </c>
      <c r="I359" s="8">
        <v>0.27616800000000002</v>
      </c>
      <c r="K359" s="8">
        <v>20</v>
      </c>
      <c r="L359" s="8" t="s">
        <v>52</v>
      </c>
      <c r="M359" s="8" t="str">
        <f t="shared" si="23"/>
        <v>20Mexico</v>
      </c>
      <c r="N359" s="8">
        <v>1</v>
      </c>
      <c r="O359" s="8">
        <v>0.91037389999999996</v>
      </c>
      <c r="P359" s="8">
        <v>0.88260819999999995</v>
      </c>
      <c r="Q359" s="8">
        <v>0.50017520000000004</v>
      </c>
      <c r="R359" s="8">
        <v>0.33086680000000002</v>
      </c>
    </row>
    <row r="360" spans="2:18" ht="1" customHeight="1">
      <c r="B360" s="8">
        <v>21</v>
      </c>
      <c r="C360" s="8" t="s">
        <v>52</v>
      </c>
      <c r="D360" s="8" t="str">
        <f t="shared" si="22"/>
        <v>21Mexico</v>
      </c>
      <c r="E360" s="8">
        <v>1</v>
      </c>
      <c r="F360" s="8">
        <v>0.7144914</v>
      </c>
      <c r="G360" s="8">
        <v>0.65985229999999995</v>
      </c>
      <c r="H360" s="8">
        <v>0.23393829999999999</v>
      </c>
      <c r="I360" s="8">
        <v>0.21190829999999999</v>
      </c>
      <c r="K360" s="8">
        <v>21</v>
      </c>
      <c r="L360" s="8" t="s">
        <v>52</v>
      </c>
      <c r="M360" s="8" t="str">
        <f t="shared" si="23"/>
        <v>21Mexico</v>
      </c>
      <c r="N360" s="8">
        <v>1</v>
      </c>
      <c r="O360" s="8">
        <v>0.90580020000000006</v>
      </c>
      <c r="P360" s="8">
        <v>0.8785269</v>
      </c>
      <c r="Q360" s="8">
        <v>0.41670109999999999</v>
      </c>
      <c r="R360" s="8">
        <v>0.27142810000000001</v>
      </c>
    </row>
    <row r="361" spans="2:18" ht="1" customHeight="1">
      <c r="B361" s="8">
        <v>22</v>
      </c>
      <c r="C361" s="8" t="s">
        <v>52</v>
      </c>
      <c r="D361" s="8" t="str">
        <f t="shared" si="22"/>
        <v>22Mexico</v>
      </c>
      <c r="E361" s="8">
        <v>1</v>
      </c>
      <c r="F361" s="8">
        <v>0.69296380000000002</v>
      </c>
      <c r="G361" s="8">
        <v>0.6363953</v>
      </c>
      <c r="H361" s="8">
        <v>0.17947569999999999</v>
      </c>
      <c r="I361" s="8">
        <v>0.16343360000000001</v>
      </c>
      <c r="K361" s="8">
        <v>22</v>
      </c>
      <c r="L361" s="8" t="s">
        <v>52</v>
      </c>
      <c r="M361" s="8" t="str">
        <f t="shared" si="23"/>
        <v>22Mexico</v>
      </c>
      <c r="N361" s="8">
        <v>1</v>
      </c>
      <c r="O361" s="8">
        <v>0.90024210000000005</v>
      </c>
      <c r="P361" s="8">
        <v>0.86901430000000002</v>
      </c>
      <c r="Q361" s="8">
        <v>0.3433177</v>
      </c>
      <c r="R361" s="8">
        <v>0.2250586</v>
      </c>
    </row>
    <row r="362" spans="2:18" ht="1" customHeight="1">
      <c r="B362" s="8">
        <v>23</v>
      </c>
      <c r="C362" s="8" t="s">
        <v>52</v>
      </c>
      <c r="D362" s="8" t="str">
        <f t="shared" si="22"/>
        <v>23Mexico</v>
      </c>
      <c r="E362" s="8">
        <v>1</v>
      </c>
      <c r="F362" s="8">
        <v>0.67143629999999999</v>
      </c>
      <c r="G362" s="8">
        <v>0.61293830000000005</v>
      </c>
      <c r="H362" s="8">
        <v>0.12501300000000001</v>
      </c>
      <c r="I362" s="8">
        <v>0.1149589</v>
      </c>
      <c r="K362" s="8">
        <v>23</v>
      </c>
      <c r="L362" s="8" t="s">
        <v>52</v>
      </c>
      <c r="M362" s="8" t="str">
        <f t="shared" si="23"/>
        <v>23Mexico</v>
      </c>
      <c r="N362" s="8">
        <v>1</v>
      </c>
      <c r="O362" s="8">
        <v>0.89468409999999998</v>
      </c>
      <c r="P362" s="8">
        <v>0.85950150000000003</v>
      </c>
      <c r="Q362" s="8">
        <v>0.26993420000000001</v>
      </c>
      <c r="R362" s="8">
        <v>0.17868919999999999</v>
      </c>
    </row>
    <row r="363" spans="2:18" ht="1" customHeight="1">
      <c r="B363" s="8">
        <v>24</v>
      </c>
      <c r="C363" s="8" t="s">
        <v>52</v>
      </c>
      <c r="D363" s="8" t="str">
        <f t="shared" si="22"/>
        <v>24Mexico</v>
      </c>
      <c r="E363" s="8">
        <v>1</v>
      </c>
      <c r="F363" s="8">
        <v>0.65263170000000004</v>
      </c>
      <c r="G363" s="8">
        <v>0.60178730000000002</v>
      </c>
      <c r="H363" s="8">
        <v>8.5258500000000001E-2</v>
      </c>
      <c r="I363" s="8">
        <v>7.8785800000000003E-2</v>
      </c>
      <c r="K363" s="8">
        <v>24</v>
      </c>
      <c r="L363" s="8" t="s">
        <v>52</v>
      </c>
      <c r="M363" s="8" t="str">
        <f t="shared" si="23"/>
        <v>24Mexico</v>
      </c>
      <c r="N363" s="8">
        <v>1</v>
      </c>
      <c r="O363" s="8">
        <v>0.89811490000000005</v>
      </c>
      <c r="P363" s="8">
        <v>0.85867629999999995</v>
      </c>
      <c r="Q363" s="8">
        <v>0.22262460000000001</v>
      </c>
      <c r="R363" s="8">
        <v>0.15035960000000001</v>
      </c>
    </row>
    <row r="364" spans="2:18" ht="1" customHeight="1">
      <c r="B364" s="8">
        <v>25</v>
      </c>
      <c r="C364" s="8" t="s">
        <v>52</v>
      </c>
      <c r="D364" s="8" t="str">
        <f t="shared" si="22"/>
        <v>25Mexico</v>
      </c>
      <c r="E364" s="8">
        <v>1</v>
      </c>
      <c r="F364" s="8">
        <v>0.63382709999999998</v>
      </c>
      <c r="G364" s="8">
        <v>0.5906363</v>
      </c>
      <c r="H364" s="8">
        <v>4.5504000000000003E-2</v>
      </c>
      <c r="I364" s="8">
        <v>4.26126E-2</v>
      </c>
      <c r="K364" s="8">
        <v>25</v>
      </c>
      <c r="L364" s="8" t="s">
        <v>52</v>
      </c>
      <c r="M364" s="8" t="str">
        <f t="shared" si="23"/>
        <v>25Mexico</v>
      </c>
      <c r="N364" s="8">
        <v>1</v>
      </c>
      <c r="O364" s="8">
        <v>0.90154579999999995</v>
      </c>
      <c r="P364" s="8">
        <v>0.85785109999999998</v>
      </c>
      <c r="Q364" s="8">
        <v>0.175315</v>
      </c>
      <c r="R364" s="8">
        <v>0.12203</v>
      </c>
    </row>
    <row r="365" spans="2:18" ht="1" customHeight="1">
      <c r="B365" s="8">
        <v>26</v>
      </c>
      <c r="C365" s="8" t="s">
        <v>52</v>
      </c>
      <c r="D365" s="8" t="str">
        <f t="shared" si="22"/>
        <v>26Mexico</v>
      </c>
      <c r="E365" s="8">
        <v>1</v>
      </c>
      <c r="F365" s="8">
        <v>0.6384398</v>
      </c>
      <c r="G365" s="8">
        <v>0.60459099999999999</v>
      </c>
      <c r="H365" s="8">
        <v>3.6865700000000001E-2</v>
      </c>
      <c r="I365" s="8">
        <v>3.3468400000000002E-2</v>
      </c>
      <c r="K365" s="8">
        <v>26</v>
      </c>
      <c r="L365" s="8" t="s">
        <v>52</v>
      </c>
      <c r="M365" s="8" t="str">
        <f t="shared" si="23"/>
        <v>26Mexico</v>
      </c>
      <c r="N365" s="8">
        <v>1</v>
      </c>
      <c r="O365" s="8">
        <v>0.90313330000000003</v>
      </c>
      <c r="P365" s="8">
        <v>0.85983100000000001</v>
      </c>
      <c r="Q365" s="8">
        <v>0.1471354</v>
      </c>
      <c r="R365" s="8">
        <v>9.8321699999999998E-2</v>
      </c>
    </row>
    <row r="366" spans="2:18" ht="1" customHeight="1">
      <c r="B366" s="8">
        <v>27</v>
      </c>
      <c r="C366" s="8" t="s">
        <v>52</v>
      </c>
      <c r="D366" s="8" t="str">
        <f t="shared" si="22"/>
        <v>27Mexico</v>
      </c>
      <c r="E366" s="8">
        <v>1</v>
      </c>
      <c r="F366" s="8">
        <v>0.64305259999999997</v>
      </c>
      <c r="G366" s="8">
        <v>0.61854569999999998</v>
      </c>
      <c r="H366" s="8">
        <v>2.8227499999999999E-2</v>
      </c>
      <c r="I366" s="8">
        <v>2.4324100000000001E-2</v>
      </c>
      <c r="K366" s="8">
        <v>27</v>
      </c>
      <c r="L366" s="8" t="s">
        <v>52</v>
      </c>
      <c r="M366" s="8" t="str">
        <f t="shared" si="23"/>
        <v>27Mexico</v>
      </c>
      <c r="N366" s="8">
        <v>1</v>
      </c>
      <c r="O366" s="8">
        <v>0.90472079999999999</v>
      </c>
      <c r="P366" s="8">
        <v>0.86181079999999999</v>
      </c>
      <c r="Q366" s="8">
        <v>0.1189559</v>
      </c>
      <c r="R366" s="8">
        <v>7.4613299999999994E-2</v>
      </c>
    </row>
    <row r="367" spans="2:18" ht="1" customHeight="1">
      <c r="B367" s="8">
        <v>28</v>
      </c>
      <c r="C367" s="8" t="s">
        <v>52</v>
      </c>
      <c r="D367" s="8" t="str">
        <f t="shared" si="22"/>
        <v>28Mexico</v>
      </c>
      <c r="E367" s="8">
        <v>1</v>
      </c>
      <c r="F367" s="8">
        <v>0.66523739999999998</v>
      </c>
      <c r="G367" s="8">
        <v>0.64427730000000005</v>
      </c>
      <c r="H367" s="8">
        <v>2.4204199999999999E-2</v>
      </c>
      <c r="I367" s="8">
        <v>2.03962E-2</v>
      </c>
      <c r="K367" s="8">
        <v>28</v>
      </c>
      <c r="L367" s="8" t="s">
        <v>52</v>
      </c>
      <c r="M367" s="8" t="str">
        <f t="shared" si="23"/>
        <v>28Mexico</v>
      </c>
      <c r="N367" s="8">
        <v>1</v>
      </c>
      <c r="O367" s="8">
        <v>0.89498129999999998</v>
      </c>
      <c r="P367" s="8">
        <v>0.85469790000000001</v>
      </c>
      <c r="Q367" s="8">
        <v>9.0655299999999994E-2</v>
      </c>
      <c r="R367" s="8">
        <v>5.1475199999999999E-2</v>
      </c>
    </row>
    <row r="368" spans="2:18" ht="1" customHeight="1">
      <c r="B368" s="8">
        <v>29</v>
      </c>
      <c r="C368" s="8" t="s">
        <v>52</v>
      </c>
      <c r="D368" s="8" t="str">
        <f t="shared" si="22"/>
        <v>29Mexico</v>
      </c>
      <c r="E368" s="8">
        <v>1</v>
      </c>
      <c r="F368" s="8">
        <v>0.68742219999999998</v>
      </c>
      <c r="G368" s="8">
        <v>0.67000890000000002</v>
      </c>
      <c r="H368" s="8">
        <v>2.0180900000000002E-2</v>
      </c>
      <c r="I368" s="8">
        <v>1.6468300000000002E-2</v>
      </c>
      <c r="K368" s="8">
        <v>29</v>
      </c>
      <c r="L368" s="8" t="s">
        <v>52</v>
      </c>
      <c r="M368" s="8" t="str">
        <f t="shared" si="23"/>
        <v>29Mexico</v>
      </c>
      <c r="N368" s="8">
        <v>1</v>
      </c>
      <c r="O368" s="8">
        <v>0.88524170000000002</v>
      </c>
      <c r="P368" s="8">
        <v>0.84758500000000003</v>
      </c>
      <c r="Q368" s="8">
        <v>6.2354699999999999E-2</v>
      </c>
      <c r="R368" s="8">
        <v>2.83371E-2</v>
      </c>
    </row>
    <row r="369" spans="2:18" ht="1" customHeight="1">
      <c r="B369" s="8">
        <v>30</v>
      </c>
      <c r="C369" s="8" t="s">
        <v>52</v>
      </c>
      <c r="D369" s="8" t="str">
        <f t="shared" si="22"/>
        <v>30Mexico</v>
      </c>
      <c r="E369" s="8">
        <v>1</v>
      </c>
      <c r="F369" s="8">
        <v>0.69765909999999998</v>
      </c>
      <c r="G369" s="8">
        <v>0.67759539999999996</v>
      </c>
      <c r="H369" s="8">
        <v>1.4761E-2</v>
      </c>
      <c r="I369" s="8">
        <v>1.23941E-2</v>
      </c>
      <c r="K369" s="8">
        <v>30</v>
      </c>
      <c r="L369" s="8" t="s">
        <v>52</v>
      </c>
      <c r="M369" s="8" t="str">
        <f t="shared" si="23"/>
        <v>30Mexico</v>
      </c>
      <c r="N369" s="8">
        <v>1</v>
      </c>
      <c r="O369" s="8">
        <v>0.87756999999999996</v>
      </c>
      <c r="P369" s="8">
        <v>0.84494809999999998</v>
      </c>
      <c r="Q369" s="8">
        <v>4.9765299999999998E-2</v>
      </c>
      <c r="R369" s="8">
        <v>1.96689E-2</v>
      </c>
    </row>
    <row r="370" spans="2:18" ht="1" customHeight="1">
      <c r="B370" s="8">
        <v>31</v>
      </c>
      <c r="C370" s="8" t="s">
        <v>52</v>
      </c>
      <c r="D370" s="8" t="str">
        <f t="shared" si="22"/>
        <v>31Mexico</v>
      </c>
      <c r="E370" s="8">
        <v>1</v>
      </c>
      <c r="F370" s="8">
        <v>0.70789599999999997</v>
      </c>
      <c r="G370" s="8">
        <v>0.68518190000000001</v>
      </c>
      <c r="H370" s="8">
        <v>9.3410000000000003E-3</v>
      </c>
      <c r="I370" s="8">
        <v>8.3198000000000005E-3</v>
      </c>
      <c r="K370" s="8">
        <v>31</v>
      </c>
      <c r="L370" s="8" t="s">
        <v>52</v>
      </c>
      <c r="M370" s="8" t="str">
        <f t="shared" si="23"/>
        <v>31Mexico</v>
      </c>
      <c r="N370" s="8">
        <v>1</v>
      </c>
      <c r="O370" s="8">
        <v>0.86989839999999996</v>
      </c>
      <c r="P370" s="8">
        <v>0.84231109999999998</v>
      </c>
      <c r="Q370" s="8">
        <v>3.7176000000000001E-2</v>
      </c>
      <c r="R370" s="8">
        <v>1.10008E-2</v>
      </c>
    </row>
    <row r="371" spans="2:18" ht="1" customHeight="1">
      <c r="B371" s="8">
        <v>32</v>
      </c>
      <c r="C371" s="8" t="s">
        <v>52</v>
      </c>
      <c r="D371" s="8" t="str">
        <f t="shared" si="22"/>
        <v>32Mexico</v>
      </c>
      <c r="E371" s="8">
        <v>1</v>
      </c>
      <c r="F371" s="8">
        <v>0.70795459999999999</v>
      </c>
      <c r="G371" s="8">
        <v>0.67908259999999998</v>
      </c>
      <c r="H371" s="8">
        <v>8.4580000000000002E-3</v>
      </c>
      <c r="I371" s="8">
        <v>8.0894000000000001E-3</v>
      </c>
      <c r="K371" s="8">
        <v>32</v>
      </c>
      <c r="L371" s="8" t="s">
        <v>52</v>
      </c>
      <c r="M371" s="8" t="str">
        <f t="shared" si="23"/>
        <v>32Mexico</v>
      </c>
      <c r="N371" s="8">
        <v>1</v>
      </c>
      <c r="O371" s="8">
        <v>0.87562419999999996</v>
      </c>
      <c r="P371" s="8">
        <v>0.85257959999999999</v>
      </c>
      <c r="Q371" s="8">
        <v>3.4590799999999998E-2</v>
      </c>
      <c r="R371" s="8">
        <v>1.0027400000000001E-2</v>
      </c>
    </row>
    <row r="372" spans="2:18" ht="1" customHeight="1">
      <c r="B372" s="8">
        <v>33</v>
      </c>
      <c r="C372" s="8" t="s">
        <v>52</v>
      </c>
      <c r="D372" s="8" t="str">
        <f t="shared" si="22"/>
        <v>33Mexico</v>
      </c>
      <c r="E372" s="8">
        <v>1</v>
      </c>
      <c r="F372" s="8">
        <v>0.70801329999999996</v>
      </c>
      <c r="G372" s="8">
        <v>0.67298340000000001</v>
      </c>
      <c r="H372" s="8">
        <v>7.5750000000000001E-3</v>
      </c>
      <c r="I372" s="8">
        <v>7.8589999999999997E-3</v>
      </c>
      <c r="K372" s="8">
        <v>33</v>
      </c>
      <c r="L372" s="8" t="s">
        <v>52</v>
      </c>
      <c r="M372" s="8" t="str">
        <f t="shared" si="23"/>
        <v>33Mexico</v>
      </c>
      <c r="N372" s="8">
        <v>1</v>
      </c>
      <c r="O372" s="8">
        <v>0.88134990000000002</v>
      </c>
      <c r="P372" s="8">
        <v>0.86284799999999995</v>
      </c>
      <c r="Q372" s="8">
        <v>3.2005600000000002E-2</v>
      </c>
      <c r="R372" s="8">
        <v>9.0539999999999995E-3</v>
      </c>
    </row>
    <row r="373" spans="2:18" ht="1" customHeight="1">
      <c r="B373" s="8">
        <v>34</v>
      </c>
      <c r="C373" s="8" t="s">
        <v>52</v>
      </c>
      <c r="D373" s="8" t="str">
        <f t="shared" si="22"/>
        <v>34Mexico</v>
      </c>
      <c r="E373" s="8">
        <v>1</v>
      </c>
      <c r="F373" s="8">
        <v>0.71220249999999996</v>
      </c>
      <c r="G373" s="8">
        <v>0.67334609999999995</v>
      </c>
      <c r="H373" s="8">
        <v>1.06102E-2</v>
      </c>
      <c r="I373" s="8">
        <v>1.1065500000000001E-2</v>
      </c>
      <c r="K373" s="8">
        <v>34</v>
      </c>
      <c r="L373" s="8" t="s">
        <v>52</v>
      </c>
      <c r="M373" s="8" t="str">
        <f t="shared" si="23"/>
        <v>34Mexico</v>
      </c>
      <c r="N373" s="8">
        <v>1</v>
      </c>
      <c r="O373" s="8">
        <v>0.88595939999999995</v>
      </c>
      <c r="P373" s="8">
        <v>0.87025980000000003</v>
      </c>
      <c r="Q373" s="8">
        <v>3.1315700000000002E-2</v>
      </c>
      <c r="R373" s="8">
        <v>8.3531999999999999E-3</v>
      </c>
    </row>
    <row r="374" spans="2:18" ht="1" customHeight="1">
      <c r="B374" s="8">
        <v>35</v>
      </c>
      <c r="C374" s="8" t="s">
        <v>52</v>
      </c>
      <c r="D374" s="8" t="str">
        <f t="shared" si="22"/>
        <v>35Mexico</v>
      </c>
      <c r="E374" s="8">
        <v>1</v>
      </c>
      <c r="F374" s="8">
        <v>0.71639180000000002</v>
      </c>
      <c r="G374" s="8">
        <v>0.6737088</v>
      </c>
      <c r="H374" s="8">
        <v>1.36454E-2</v>
      </c>
      <c r="I374" s="8">
        <v>1.4272099999999999E-2</v>
      </c>
      <c r="K374" s="8">
        <v>35</v>
      </c>
      <c r="L374" s="8" t="s">
        <v>52</v>
      </c>
      <c r="M374" s="8" t="str">
        <f t="shared" si="23"/>
        <v>35Mexico</v>
      </c>
      <c r="N374" s="8">
        <v>1</v>
      </c>
      <c r="O374" s="8">
        <v>0.8905689</v>
      </c>
      <c r="P374" s="8">
        <v>0.87767150000000005</v>
      </c>
      <c r="Q374" s="8">
        <v>3.0625800000000002E-2</v>
      </c>
      <c r="R374" s="8">
        <v>7.6524999999999996E-3</v>
      </c>
    </row>
    <row r="375" spans="2:18" ht="1" customHeight="1">
      <c r="B375" s="8">
        <v>36</v>
      </c>
      <c r="C375" s="8" t="s">
        <v>52</v>
      </c>
      <c r="D375" s="8" t="str">
        <f t="shared" si="22"/>
        <v>36Mexico</v>
      </c>
      <c r="E375" s="8">
        <v>1</v>
      </c>
      <c r="F375" s="8">
        <v>0.73276379999999997</v>
      </c>
      <c r="G375" s="8">
        <v>0.68727329999999998</v>
      </c>
      <c r="H375" s="8">
        <v>1.4407E-2</v>
      </c>
      <c r="I375" s="8">
        <v>1.50788E-2</v>
      </c>
      <c r="K375" s="8">
        <v>36</v>
      </c>
      <c r="L375" s="8" t="s">
        <v>52</v>
      </c>
      <c r="M375" s="8" t="str">
        <f t="shared" si="23"/>
        <v>36Mexico</v>
      </c>
      <c r="N375" s="8">
        <v>1</v>
      </c>
      <c r="O375" s="8">
        <v>0.88063400000000003</v>
      </c>
      <c r="P375" s="8">
        <v>0.86864419999999998</v>
      </c>
      <c r="Q375" s="8">
        <v>3.5608399999999998E-2</v>
      </c>
      <c r="R375" s="8">
        <v>1.0907200000000001E-2</v>
      </c>
    </row>
    <row r="376" spans="2:18" ht="1" customHeight="1">
      <c r="B376" s="8">
        <v>37</v>
      </c>
      <c r="C376" s="8" t="s">
        <v>52</v>
      </c>
      <c r="D376" s="8" t="str">
        <f t="shared" si="22"/>
        <v>37Mexico</v>
      </c>
      <c r="E376" s="8">
        <v>1</v>
      </c>
      <c r="F376" s="8">
        <v>0.74913589999999997</v>
      </c>
      <c r="G376" s="8">
        <v>0.70083779999999996</v>
      </c>
      <c r="H376" s="8">
        <v>1.5168600000000001E-2</v>
      </c>
      <c r="I376" s="8">
        <v>1.5885400000000001E-2</v>
      </c>
      <c r="K376" s="8">
        <v>37</v>
      </c>
      <c r="L376" s="8" t="s">
        <v>52</v>
      </c>
      <c r="M376" s="8" t="str">
        <f t="shared" si="23"/>
        <v>37Mexico</v>
      </c>
      <c r="N376" s="8">
        <v>1</v>
      </c>
      <c r="O376" s="8">
        <v>0.87069890000000005</v>
      </c>
      <c r="P376" s="8">
        <v>0.85961690000000002</v>
      </c>
      <c r="Q376" s="8">
        <v>4.0591000000000002E-2</v>
      </c>
      <c r="R376" s="8">
        <v>1.41619E-2</v>
      </c>
    </row>
    <row r="377" spans="2:18" ht="1" customHeight="1">
      <c r="B377" s="8">
        <v>38</v>
      </c>
      <c r="C377" s="8" t="s">
        <v>52</v>
      </c>
      <c r="D377" s="8" t="str">
        <f t="shared" si="22"/>
        <v>38Mexico</v>
      </c>
      <c r="E377" s="8">
        <v>1</v>
      </c>
      <c r="F377" s="8">
        <v>0.7503147</v>
      </c>
      <c r="G377" s="8">
        <v>0.70313639999999999</v>
      </c>
      <c r="H377" s="8">
        <v>1.10949E-2</v>
      </c>
      <c r="I377" s="8">
        <v>1.16317E-2</v>
      </c>
      <c r="K377" s="8">
        <v>38</v>
      </c>
      <c r="L377" s="8" t="s">
        <v>52</v>
      </c>
      <c r="M377" s="8" t="str">
        <f t="shared" si="23"/>
        <v>38Mexico</v>
      </c>
      <c r="N377" s="8">
        <v>1</v>
      </c>
      <c r="O377" s="8">
        <v>0.85996640000000002</v>
      </c>
      <c r="P377" s="8">
        <v>0.85042519999999999</v>
      </c>
      <c r="Q377" s="8">
        <v>4.0624100000000003E-2</v>
      </c>
      <c r="R377" s="8">
        <v>1.6697500000000001E-2</v>
      </c>
    </row>
    <row r="378" spans="2:18" ht="1" customHeight="1">
      <c r="B378" s="8">
        <v>39</v>
      </c>
      <c r="C378" s="8" t="s">
        <v>52</v>
      </c>
      <c r="D378" s="8" t="str">
        <f t="shared" si="22"/>
        <v>39Mexico</v>
      </c>
      <c r="E378" s="8">
        <v>1</v>
      </c>
      <c r="F378" s="8">
        <v>0.75149359999999998</v>
      </c>
      <c r="G378" s="8">
        <v>0.70543500000000003</v>
      </c>
      <c r="H378" s="8">
        <v>7.0213000000000003E-3</v>
      </c>
      <c r="I378" s="8">
        <v>7.3778999999999997E-3</v>
      </c>
      <c r="K378" s="8">
        <v>39</v>
      </c>
      <c r="L378" s="8" t="s">
        <v>52</v>
      </c>
      <c r="M378" s="8" t="str">
        <f t="shared" si="23"/>
        <v>39Mexico</v>
      </c>
      <c r="N378" s="8">
        <v>1</v>
      </c>
      <c r="O378" s="8">
        <v>0.84923389999999999</v>
      </c>
      <c r="P378" s="8">
        <v>0.84123360000000003</v>
      </c>
      <c r="Q378" s="8">
        <v>4.06573E-2</v>
      </c>
      <c r="R378" s="8">
        <v>1.92331E-2</v>
      </c>
    </row>
    <row r="379" spans="2:18" ht="1" customHeight="1">
      <c r="B379" s="8">
        <v>40</v>
      </c>
      <c r="C379" s="8" t="s">
        <v>52</v>
      </c>
      <c r="D379" s="8" t="str">
        <f t="shared" si="22"/>
        <v>40Mexico</v>
      </c>
      <c r="E379" s="8">
        <v>1</v>
      </c>
      <c r="F379" s="8">
        <v>0.74495409999999995</v>
      </c>
      <c r="G379" s="8">
        <v>0.70705929999999995</v>
      </c>
      <c r="H379" s="8">
        <v>7.7204999999999999E-3</v>
      </c>
      <c r="I379" s="8">
        <v>8.0070000000000002E-3</v>
      </c>
      <c r="K379" s="8">
        <v>40</v>
      </c>
      <c r="L379" s="8" t="s">
        <v>52</v>
      </c>
      <c r="M379" s="8" t="str">
        <f t="shared" si="23"/>
        <v>40Mexico</v>
      </c>
      <c r="N379" s="8">
        <v>1</v>
      </c>
      <c r="O379" s="8">
        <v>0.84725819999999996</v>
      </c>
      <c r="P379" s="8">
        <v>0.84116820000000003</v>
      </c>
      <c r="Q379" s="8">
        <v>3.3170600000000001E-2</v>
      </c>
      <c r="R379" s="8">
        <v>1.3893000000000001E-2</v>
      </c>
    </row>
    <row r="380" spans="2:18" ht="1" customHeight="1">
      <c r="B380" s="8">
        <v>0</v>
      </c>
      <c r="C380" s="8" t="s">
        <v>56</v>
      </c>
      <c r="D380" s="8" t="str">
        <f t="shared" si="22"/>
        <v>0Peru</v>
      </c>
      <c r="E380" s="8"/>
      <c r="F380" s="8"/>
      <c r="G380" s="8"/>
      <c r="H380" s="8"/>
      <c r="I380" s="8"/>
      <c r="K380" s="8">
        <v>0</v>
      </c>
      <c r="L380" s="8" t="s">
        <v>56</v>
      </c>
      <c r="M380" s="8" t="str">
        <f t="shared" si="23"/>
        <v>0Peru</v>
      </c>
      <c r="N380" s="8"/>
      <c r="O380" s="8"/>
      <c r="P380" s="8"/>
      <c r="Q380" s="8"/>
      <c r="R380" s="8"/>
    </row>
    <row r="381" spans="2:18" ht="1" customHeight="1">
      <c r="B381" s="8">
        <v>1</v>
      </c>
      <c r="C381" s="8" t="s">
        <v>56</v>
      </c>
      <c r="D381" s="8" t="str">
        <f t="shared" si="22"/>
        <v>1Peru</v>
      </c>
      <c r="E381" s="8"/>
      <c r="F381" s="8"/>
      <c r="G381" s="8"/>
      <c r="H381" s="8"/>
      <c r="I381" s="8"/>
      <c r="K381" s="8">
        <v>1</v>
      </c>
      <c r="L381" s="8" t="s">
        <v>56</v>
      </c>
      <c r="M381" s="8" t="str">
        <f t="shared" si="23"/>
        <v>1Peru</v>
      </c>
      <c r="N381" s="8"/>
      <c r="O381" s="8"/>
      <c r="P381" s="8"/>
      <c r="Q381" s="8"/>
      <c r="R381" s="8"/>
    </row>
    <row r="382" spans="2:18" ht="1" customHeight="1">
      <c r="B382" s="8">
        <v>2</v>
      </c>
      <c r="C382" s="8" t="s">
        <v>56</v>
      </c>
      <c r="D382" s="8" t="str">
        <f t="shared" si="22"/>
        <v>2Peru</v>
      </c>
      <c r="E382" s="8"/>
      <c r="F382" s="8"/>
      <c r="G382" s="8"/>
      <c r="H382" s="8"/>
      <c r="I382" s="8"/>
      <c r="K382" s="8">
        <v>2</v>
      </c>
      <c r="L382" s="8" t="s">
        <v>56</v>
      </c>
      <c r="M382" s="8" t="str">
        <f t="shared" si="23"/>
        <v>2Peru</v>
      </c>
      <c r="N382" s="8"/>
      <c r="O382" s="8"/>
      <c r="P382" s="8"/>
      <c r="Q382" s="8"/>
      <c r="R382" s="8"/>
    </row>
    <row r="383" spans="2:18" ht="1" customHeight="1">
      <c r="B383" s="8">
        <v>3</v>
      </c>
      <c r="C383" s="8" t="s">
        <v>56</v>
      </c>
      <c r="D383" s="8" t="str">
        <f t="shared" si="22"/>
        <v>3Peru</v>
      </c>
      <c r="E383" s="8"/>
      <c r="F383" s="8"/>
      <c r="G383" s="8"/>
      <c r="H383" s="8"/>
      <c r="I383" s="8"/>
      <c r="K383" s="8">
        <v>3</v>
      </c>
      <c r="L383" s="8" t="s">
        <v>56</v>
      </c>
      <c r="M383" s="8" t="str">
        <f t="shared" si="23"/>
        <v>3Peru</v>
      </c>
      <c r="N383" s="8"/>
      <c r="O383" s="8"/>
      <c r="P383" s="8"/>
      <c r="Q383" s="8"/>
      <c r="R383" s="8"/>
    </row>
    <row r="384" spans="2:18" ht="1" customHeight="1">
      <c r="B384" s="8">
        <v>4</v>
      </c>
      <c r="C384" s="8" t="s">
        <v>56</v>
      </c>
      <c r="D384" s="8" t="str">
        <f t="shared" si="22"/>
        <v>4Peru</v>
      </c>
      <c r="E384" s="8"/>
      <c r="F384" s="8"/>
      <c r="G384" s="8"/>
      <c r="H384" s="8"/>
      <c r="I384" s="8"/>
      <c r="K384" s="8">
        <v>4</v>
      </c>
      <c r="L384" s="8" t="s">
        <v>56</v>
      </c>
      <c r="M384" s="8" t="str">
        <f t="shared" si="23"/>
        <v>4Peru</v>
      </c>
      <c r="N384" s="8"/>
      <c r="O384" s="8"/>
      <c r="P384" s="8"/>
      <c r="Q384" s="8"/>
      <c r="R384" s="8"/>
    </row>
    <row r="385" spans="2:18" ht="1" customHeight="1">
      <c r="B385" s="8">
        <v>5</v>
      </c>
      <c r="C385" s="8" t="s">
        <v>56</v>
      </c>
      <c r="D385" s="8" t="str">
        <f t="shared" si="22"/>
        <v>5Peru</v>
      </c>
      <c r="E385" s="8">
        <v>1</v>
      </c>
      <c r="F385" s="8">
        <v>0.90179730000000002</v>
      </c>
      <c r="G385" s="8">
        <v>0.90179730000000002</v>
      </c>
      <c r="H385" s="8">
        <v>0.90179730000000002</v>
      </c>
      <c r="I385" s="8">
        <v>0.71190569999999997</v>
      </c>
      <c r="K385" s="8">
        <v>5</v>
      </c>
      <c r="L385" s="8" t="s">
        <v>56</v>
      </c>
      <c r="M385" s="8" t="str">
        <f t="shared" si="23"/>
        <v>5Peru</v>
      </c>
      <c r="N385" s="8">
        <v>1</v>
      </c>
      <c r="O385" s="8">
        <v>0.97921809999999998</v>
      </c>
      <c r="P385" s="8">
        <v>0.97921809999999998</v>
      </c>
      <c r="Q385" s="8">
        <v>0.97921809999999998</v>
      </c>
      <c r="R385" s="8">
        <v>0.42394229999999999</v>
      </c>
    </row>
    <row r="386" spans="2:18" ht="1" customHeight="1">
      <c r="B386" s="8">
        <v>6</v>
      </c>
      <c r="C386" s="8" t="s">
        <v>56</v>
      </c>
      <c r="D386" s="8" t="str">
        <f t="shared" si="22"/>
        <v>6Peru</v>
      </c>
      <c r="E386" s="8">
        <v>1</v>
      </c>
      <c r="F386" s="8">
        <v>0.93174659999999998</v>
      </c>
      <c r="G386" s="8">
        <v>0.93174659999999998</v>
      </c>
      <c r="H386" s="8">
        <v>0.93174659999999998</v>
      </c>
      <c r="I386" s="8">
        <v>0.80373289999999997</v>
      </c>
      <c r="K386" s="8">
        <v>6</v>
      </c>
      <c r="L386" s="8" t="s">
        <v>56</v>
      </c>
      <c r="M386" s="8" t="str">
        <f t="shared" si="23"/>
        <v>6Peru</v>
      </c>
      <c r="N386" s="8">
        <v>1</v>
      </c>
      <c r="O386" s="8">
        <v>0.98575429999999997</v>
      </c>
      <c r="P386" s="8">
        <v>0.98575429999999997</v>
      </c>
      <c r="Q386" s="8">
        <v>0.98575429999999997</v>
      </c>
      <c r="R386" s="8">
        <v>0.45551360000000002</v>
      </c>
    </row>
    <row r="387" spans="2:18" ht="1" customHeight="1">
      <c r="B387" s="8">
        <v>7</v>
      </c>
      <c r="C387" s="8" t="s">
        <v>56</v>
      </c>
      <c r="D387" s="8" t="str">
        <f t="shared" si="22"/>
        <v>7Peru</v>
      </c>
      <c r="E387" s="8">
        <v>1</v>
      </c>
      <c r="F387" s="8">
        <v>0.961696</v>
      </c>
      <c r="G387" s="8">
        <v>0.961696</v>
      </c>
      <c r="H387" s="8">
        <v>0.961696</v>
      </c>
      <c r="I387" s="8">
        <v>0.89556009999999997</v>
      </c>
      <c r="K387" s="8">
        <v>7</v>
      </c>
      <c r="L387" s="8" t="s">
        <v>56</v>
      </c>
      <c r="M387" s="8" t="str">
        <f t="shared" si="23"/>
        <v>7Peru</v>
      </c>
      <c r="N387" s="8">
        <v>1</v>
      </c>
      <c r="O387" s="8">
        <v>0.99229040000000002</v>
      </c>
      <c r="P387" s="8">
        <v>0.99229040000000002</v>
      </c>
      <c r="Q387" s="8">
        <v>0.99229040000000002</v>
      </c>
      <c r="R387" s="8">
        <v>0.48708499999999999</v>
      </c>
    </row>
    <row r="388" spans="2:18" ht="1" customHeight="1">
      <c r="B388" s="8">
        <v>8</v>
      </c>
      <c r="C388" s="8" t="s">
        <v>56</v>
      </c>
      <c r="D388" s="8" t="str">
        <f t="shared" si="22"/>
        <v>8Peru</v>
      </c>
      <c r="E388" s="8">
        <v>1</v>
      </c>
      <c r="F388" s="8">
        <v>0.97485219999999995</v>
      </c>
      <c r="G388" s="8">
        <v>0.97485219999999995</v>
      </c>
      <c r="H388" s="8">
        <v>0.97485219999999995</v>
      </c>
      <c r="I388" s="8">
        <v>0.92599860000000001</v>
      </c>
      <c r="K388" s="8">
        <v>8</v>
      </c>
      <c r="L388" s="8" t="s">
        <v>56</v>
      </c>
      <c r="M388" s="8" t="str">
        <f t="shared" si="23"/>
        <v>8Peru</v>
      </c>
      <c r="N388" s="8">
        <v>1</v>
      </c>
      <c r="O388" s="8">
        <v>0.99441869999999999</v>
      </c>
      <c r="P388" s="8">
        <v>0.99441869999999999</v>
      </c>
      <c r="Q388" s="8">
        <v>0.99441869999999999</v>
      </c>
      <c r="R388" s="8">
        <v>0.49887100000000001</v>
      </c>
    </row>
    <row r="389" spans="2:18" ht="1" customHeight="1">
      <c r="B389" s="8">
        <v>9</v>
      </c>
      <c r="C389" s="8" t="s">
        <v>56</v>
      </c>
      <c r="D389" s="8" t="str">
        <f t="shared" si="22"/>
        <v>9Peru</v>
      </c>
      <c r="E389" s="8">
        <v>1</v>
      </c>
      <c r="F389" s="8">
        <v>0.98800849999999996</v>
      </c>
      <c r="G389" s="8">
        <v>0.98800849999999996</v>
      </c>
      <c r="H389" s="8">
        <v>0.98800849999999996</v>
      </c>
      <c r="I389" s="8">
        <v>0.95643719999999999</v>
      </c>
      <c r="K389" s="8">
        <v>9</v>
      </c>
      <c r="L389" s="8" t="s">
        <v>56</v>
      </c>
      <c r="M389" s="8" t="str">
        <f t="shared" si="23"/>
        <v>9Peru</v>
      </c>
      <c r="N389" s="8">
        <v>1</v>
      </c>
      <c r="O389" s="8">
        <v>0.99654710000000002</v>
      </c>
      <c r="P389" s="8">
        <v>0.99654710000000002</v>
      </c>
      <c r="Q389" s="8">
        <v>0.99654710000000002</v>
      </c>
      <c r="R389" s="8">
        <v>0.51065700000000003</v>
      </c>
    </row>
    <row r="390" spans="2:18" ht="1" customHeight="1">
      <c r="B390" s="8">
        <v>10</v>
      </c>
      <c r="C390" s="8" t="s">
        <v>56</v>
      </c>
      <c r="D390" s="8" t="str">
        <f t="shared" si="22"/>
        <v>10Peru</v>
      </c>
      <c r="E390" s="8">
        <v>1</v>
      </c>
      <c r="F390" s="8">
        <v>0.9866222</v>
      </c>
      <c r="G390" s="8">
        <v>0.9866222</v>
      </c>
      <c r="H390" s="8">
        <v>0.9866222</v>
      </c>
      <c r="I390" s="8">
        <v>0.95380220000000004</v>
      </c>
      <c r="K390" s="8">
        <v>10</v>
      </c>
      <c r="L390" s="8" t="s">
        <v>56</v>
      </c>
      <c r="M390" s="8" t="str">
        <f t="shared" si="23"/>
        <v>10Peru</v>
      </c>
      <c r="N390" s="8">
        <v>1</v>
      </c>
      <c r="O390" s="8">
        <v>0.99433130000000003</v>
      </c>
      <c r="P390" s="8">
        <v>0.99433130000000003</v>
      </c>
      <c r="Q390" s="8">
        <v>0.99433130000000003</v>
      </c>
      <c r="R390" s="8">
        <v>0.49997370000000002</v>
      </c>
    </row>
    <row r="391" spans="2:18" ht="1" customHeight="1">
      <c r="B391" s="8">
        <v>11</v>
      </c>
      <c r="C391" s="8" t="s">
        <v>56</v>
      </c>
      <c r="D391" s="8" t="str">
        <f t="shared" si="22"/>
        <v>11Peru</v>
      </c>
      <c r="E391" s="8">
        <v>1</v>
      </c>
      <c r="F391" s="8">
        <v>0.98523579999999999</v>
      </c>
      <c r="G391" s="8">
        <v>0.98523579999999999</v>
      </c>
      <c r="H391" s="8">
        <v>0.98523579999999999</v>
      </c>
      <c r="I391" s="8">
        <v>0.95116730000000005</v>
      </c>
      <c r="K391" s="8">
        <v>11</v>
      </c>
      <c r="L391" s="8" t="s">
        <v>56</v>
      </c>
      <c r="M391" s="8" t="str">
        <f t="shared" si="23"/>
        <v>11Peru</v>
      </c>
      <c r="N391" s="8">
        <v>1</v>
      </c>
      <c r="O391" s="8">
        <v>0.99211550000000004</v>
      </c>
      <c r="P391" s="8">
        <v>0.99211550000000004</v>
      </c>
      <c r="Q391" s="8">
        <v>0.99211550000000004</v>
      </c>
      <c r="R391" s="8">
        <v>0.48929050000000002</v>
      </c>
    </row>
    <row r="392" spans="2:18" ht="1" customHeight="1">
      <c r="B392" s="8">
        <v>12</v>
      </c>
      <c r="C392" s="8" t="s">
        <v>56</v>
      </c>
      <c r="D392" s="8" t="str">
        <f t="shared" si="22"/>
        <v>12Peru</v>
      </c>
      <c r="E392" s="8">
        <v>1</v>
      </c>
      <c r="F392" s="8">
        <v>0.98179470000000002</v>
      </c>
      <c r="G392" s="8">
        <v>0.98179470000000002</v>
      </c>
      <c r="H392" s="8">
        <v>0.97315010000000002</v>
      </c>
      <c r="I392" s="8">
        <v>0.9402914</v>
      </c>
      <c r="K392" s="8">
        <v>12</v>
      </c>
      <c r="L392" s="8" t="s">
        <v>56</v>
      </c>
      <c r="M392" s="8" t="str">
        <f t="shared" si="23"/>
        <v>12Peru</v>
      </c>
      <c r="N392" s="8">
        <v>1</v>
      </c>
      <c r="O392" s="8">
        <v>0.98710790000000004</v>
      </c>
      <c r="P392" s="8">
        <v>0.98683860000000001</v>
      </c>
      <c r="Q392" s="8">
        <v>0.98270599999999997</v>
      </c>
      <c r="R392" s="8">
        <v>0.47891129999999998</v>
      </c>
    </row>
    <row r="393" spans="2:18" ht="1" customHeight="1">
      <c r="B393" s="8">
        <v>13</v>
      </c>
      <c r="C393" s="8" t="s">
        <v>56</v>
      </c>
      <c r="D393" s="8" t="str">
        <f t="shared" si="22"/>
        <v>13Peru</v>
      </c>
      <c r="E393" s="8">
        <v>1</v>
      </c>
      <c r="F393" s="8">
        <v>0.97835360000000005</v>
      </c>
      <c r="G393" s="8">
        <v>0.97835360000000005</v>
      </c>
      <c r="H393" s="8">
        <v>0.96106429999999998</v>
      </c>
      <c r="I393" s="8">
        <v>0.92941549999999995</v>
      </c>
      <c r="K393" s="8">
        <v>13</v>
      </c>
      <c r="L393" s="8" t="s">
        <v>56</v>
      </c>
      <c r="M393" s="8" t="str">
        <f t="shared" si="23"/>
        <v>13Peru</v>
      </c>
      <c r="N393" s="8">
        <v>1</v>
      </c>
      <c r="O393" s="8">
        <v>0.98210019999999998</v>
      </c>
      <c r="P393" s="8">
        <v>0.98156169999999998</v>
      </c>
      <c r="Q393" s="8">
        <v>0.97329650000000001</v>
      </c>
      <c r="R393" s="8">
        <v>0.46853210000000001</v>
      </c>
    </row>
    <row r="394" spans="2:18" ht="1" customHeight="1">
      <c r="B394" s="8">
        <v>14</v>
      </c>
      <c r="C394" s="8" t="s">
        <v>56</v>
      </c>
      <c r="D394" s="8" t="str">
        <f t="shared" si="22"/>
        <v>14Peru</v>
      </c>
      <c r="E394" s="8">
        <v>1</v>
      </c>
      <c r="F394" s="8">
        <v>0.96562650000000005</v>
      </c>
      <c r="G394" s="8">
        <v>0.96412399999999998</v>
      </c>
      <c r="H394" s="8">
        <v>0.91438030000000003</v>
      </c>
      <c r="I394" s="8">
        <v>0.87975110000000001</v>
      </c>
      <c r="K394" s="8">
        <v>14</v>
      </c>
      <c r="L394" s="8" t="s">
        <v>56</v>
      </c>
      <c r="M394" s="8" t="str">
        <f t="shared" si="23"/>
        <v>14Peru</v>
      </c>
      <c r="N394" s="8">
        <v>1</v>
      </c>
      <c r="O394" s="8">
        <v>0.95699650000000003</v>
      </c>
      <c r="P394" s="8">
        <v>0.94961309999999999</v>
      </c>
      <c r="Q394" s="8">
        <v>0.91855430000000005</v>
      </c>
      <c r="R394" s="8">
        <v>0.4491656</v>
      </c>
    </row>
    <row r="395" spans="2:18" ht="1" customHeight="1">
      <c r="B395" s="8">
        <v>15</v>
      </c>
      <c r="C395" s="8" t="s">
        <v>56</v>
      </c>
      <c r="D395" s="8" t="str">
        <f t="shared" si="22"/>
        <v>15Peru</v>
      </c>
      <c r="E395" s="8">
        <v>1</v>
      </c>
      <c r="F395" s="8">
        <v>0.9528993</v>
      </c>
      <c r="G395" s="8">
        <v>0.94989420000000002</v>
      </c>
      <c r="H395" s="8">
        <v>0.86769620000000003</v>
      </c>
      <c r="I395" s="8">
        <v>0.83008669999999996</v>
      </c>
      <c r="K395" s="8">
        <v>15</v>
      </c>
      <c r="L395" s="8" t="s">
        <v>56</v>
      </c>
      <c r="M395" s="8" t="str">
        <f t="shared" si="23"/>
        <v>15Peru</v>
      </c>
      <c r="N395" s="8">
        <v>1</v>
      </c>
      <c r="O395" s="8">
        <v>0.93189279999999997</v>
      </c>
      <c r="P395" s="8">
        <v>0.91766449999999999</v>
      </c>
      <c r="Q395" s="8">
        <v>0.86381209999999997</v>
      </c>
      <c r="R395" s="8">
        <v>0.42979909999999999</v>
      </c>
    </row>
    <row r="396" spans="2:18" ht="1" customHeight="1">
      <c r="B396" s="8">
        <v>16</v>
      </c>
      <c r="C396" s="8" t="s">
        <v>56</v>
      </c>
      <c r="D396" s="8" t="str">
        <f t="shared" si="22"/>
        <v>16Peru</v>
      </c>
      <c r="E396" s="8">
        <v>1</v>
      </c>
      <c r="F396" s="8">
        <v>0.91541229999999996</v>
      </c>
      <c r="G396" s="8">
        <v>0.91036240000000002</v>
      </c>
      <c r="H396" s="8">
        <v>0.76789499999999999</v>
      </c>
      <c r="I396" s="8">
        <v>0.71670659999999997</v>
      </c>
      <c r="K396" s="8">
        <v>16</v>
      </c>
      <c r="L396" s="8" t="s">
        <v>56</v>
      </c>
      <c r="M396" s="8" t="str">
        <f t="shared" si="23"/>
        <v>16Peru</v>
      </c>
      <c r="N396" s="8">
        <v>1</v>
      </c>
      <c r="O396" s="8">
        <v>0.89771009999999996</v>
      </c>
      <c r="P396" s="8">
        <v>0.87361730000000004</v>
      </c>
      <c r="Q396" s="8">
        <v>0.7677619</v>
      </c>
      <c r="R396" s="8">
        <v>0.3743591</v>
      </c>
    </row>
    <row r="397" spans="2:18" ht="1" customHeight="1">
      <c r="B397" s="8">
        <v>17</v>
      </c>
      <c r="C397" s="8" t="s">
        <v>56</v>
      </c>
      <c r="D397" s="8" t="str">
        <f t="shared" si="22"/>
        <v>17Peru</v>
      </c>
      <c r="E397" s="8">
        <v>1</v>
      </c>
      <c r="F397" s="8">
        <v>0.87792530000000002</v>
      </c>
      <c r="G397" s="8">
        <v>0.8708304</v>
      </c>
      <c r="H397" s="8">
        <v>0.66809379999999996</v>
      </c>
      <c r="I397" s="8">
        <v>0.60332640000000004</v>
      </c>
      <c r="K397" s="8">
        <v>17</v>
      </c>
      <c r="L397" s="8" t="s">
        <v>56</v>
      </c>
      <c r="M397" s="8" t="str">
        <f t="shared" si="23"/>
        <v>17Peru</v>
      </c>
      <c r="N397" s="8">
        <v>1</v>
      </c>
      <c r="O397" s="8">
        <v>0.8635275</v>
      </c>
      <c r="P397" s="8">
        <v>0.82957009999999998</v>
      </c>
      <c r="Q397" s="8">
        <v>0.67171179999999997</v>
      </c>
      <c r="R397" s="8">
        <v>0.31891920000000001</v>
      </c>
    </row>
    <row r="398" spans="2:18" ht="1" customHeight="1">
      <c r="B398" s="8">
        <v>18</v>
      </c>
      <c r="C398" s="8" t="s">
        <v>56</v>
      </c>
      <c r="D398" s="8" t="str">
        <f t="shared" si="22"/>
        <v>18Peru</v>
      </c>
      <c r="E398" s="8">
        <v>1</v>
      </c>
      <c r="F398" s="8">
        <v>0.84337010000000001</v>
      </c>
      <c r="G398" s="8">
        <v>0.83433889999999999</v>
      </c>
      <c r="H398" s="8">
        <v>0.56711809999999996</v>
      </c>
      <c r="I398" s="8">
        <v>0.48647370000000001</v>
      </c>
      <c r="K398" s="8">
        <v>18</v>
      </c>
      <c r="L398" s="8" t="s">
        <v>56</v>
      </c>
      <c r="M398" s="8" t="str">
        <f t="shared" si="23"/>
        <v>18Peru</v>
      </c>
      <c r="N398" s="8">
        <v>1</v>
      </c>
      <c r="O398" s="8">
        <v>0.86556270000000002</v>
      </c>
      <c r="P398" s="8">
        <v>0.83230899999999997</v>
      </c>
      <c r="Q398" s="8">
        <v>0.61118470000000003</v>
      </c>
      <c r="R398" s="8">
        <v>0.26159890000000002</v>
      </c>
    </row>
    <row r="399" spans="2:18" ht="1" customHeight="1">
      <c r="B399" s="8">
        <v>19</v>
      </c>
      <c r="C399" s="8" t="s">
        <v>56</v>
      </c>
      <c r="D399" s="8" t="str">
        <f t="shared" si="22"/>
        <v>19Peru</v>
      </c>
      <c r="E399" s="8">
        <v>1</v>
      </c>
      <c r="F399" s="8">
        <v>0.80881499999999995</v>
      </c>
      <c r="G399" s="8">
        <v>0.79784739999999998</v>
      </c>
      <c r="H399" s="8">
        <v>0.46614240000000001</v>
      </c>
      <c r="I399" s="8">
        <v>0.36962099999999998</v>
      </c>
      <c r="K399" s="8">
        <v>19</v>
      </c>
      <c r="L399" s="8" t="s">
        <v>56</v>
      </c>
      <c r="M399" s="8" t="str">
        <f t="shared" si="23"/>
        <v>19Peru</v>
      </c>
      <c r="N399" s="8">
        <v>1</v>
      </c>
      <c r="O399" s="8">
        <v>0.86759779999999997</v>
      </c>
      <c r="P399" s="8">
        <v>0.83504800000000001</v>
      </c>
      <c r="Q399" s="8">
        <v>0.55065750000000002</v>
      </c>
      <c r="R399" s="8">
        <v>0.2042786</v>
      </c>
    </row>
    <row r="400" spans="2:18" ht="1" customHeight="1">
      <c r="B400" s="8">
        <v>20</v>
      </c>
      <c r="C400" s="8" t="s">
        <v>56</v>
      </c>
      <c r="D400" s="8" t="str">
        <f t="shared" si="22"/>
        <v>20Peru</v>
      </c>
      <c r="E400" s="8">
        <v>1</v>
      </c>
      <c r="F400" s="8">
        <v>0.80199679999999995</v>
      </c>
      <c r="G400" s="8">
        <v>0.78241430000000001</v>
      </c>
      <c r="H400" s="8">
        <v>0.38776919999999998</v>
      </c>
      <c r="I400" s="8">
        <v>0.3003207</v>
      </c>
      <c r="K400" s="8">
        <v>20</v>
      </c>
      <c r="L400" s="8" t="s">
        <v>56</v>
      </c>
      <c r="M400" s="8" t="str">
        <f t="shared" si="23"/>
        <v>20Peru</v>
      </c>
      <c r="N400" s="8">
        <v>1</v>
      </c>
      <c r="O400" s="8">
        <v>0.88955340000000005</v>
      </c>
      <c r="P400" s="8">
        <v>0.86202579999999995</v>
      </c>
      <c r="Q400" s="8">
        <v>0.51270349999999998</v>
      </c>
      <c r="R400" s="8">
        <v>0.17811569999999999</v>
      </c>
    </row>
    <row r="401" spans="2:18" ht="1" customHeight="1">
      <c r="B401" s="8">
        <v>21</v>
      </c>
      <c r="C401" s="8" t="s">
        <v>56</v>
      </c>
      <c r="D401" s="8" t="str">
        <f t="shared" si="22"/>
        <v>21Peru</v>
      </c>
      <c r="E401" s="8">
        <v>1</v>
      </c>
      <c r="F401" s="8">
        <v>0.79517850000000001</v>
      </c>
      <c r="G401" s="8">
        <v>0.76698120000000003</v>
      </c>
      <c r="H401" s="8">
        <v>0.3093959</v>
      </c>
      <c r="I401" s="8">
        <v>0.23102049999999999</v>
      </c>
      <c r="K401" s="8">
        <v>21</v>
      </c>
      <c r="L401" s="8" t="s">
        <v>56</v>
      </c>
      <c r="M401" s="8" t="str">
        <f t="shared" si="23"/>
        <v>21Peru</v>
      </c>
      <c r="N401" s="8">
        <v>1</v>
      </c>
      <c r="O401" s="8">
        <v>0.91150900000000001</v>
      </c>
      <c r="P401" s="8">
        <v>0.8890036</v>
      </c>
      <c r="Q401" s="8">
        <v>0.47474959999999999</v>
      </c>
      <c r="R401" s="8">
        <v>0.1519528</v>
      </c>
    </row>
    <row r="402" spans="2:18" ht="1" customHeight="1">
      <c r="B402" s="8">
        <v>22</v>
      </c>
      <c r="C402" s="8" t="s">
        <v>56</v>
      </c>
      <c r="D402" s="8" t="str">
        <f t="shared" si="22"/>
        <v>22Peru</v>
      </c>
      <c r="E402" s="8">
        <v>1</v>
      </c>
      <c r="F402" s="8">
        <v>0.79887839999999999</v>
      </c>
      <c r="G402" s="8">
        <v>0.7626965</v>
      </c>
      <c r="H402" s="8">
        <v>0.2452529</v>
      </c>
      <c r="I402" s="8">
        <v>0.18522150000000001</v>
      </c>
      <c r="K402" s="8">
        <v>22</v>
      </c>
      <c r="L402" s="8" t="s">
        <v>56</v>
      </c>
      <c r="M402" s="8" t="str">
        <f t="shared" si="23"/>
        <v>22Peru</v>
      </c>
      <c r="N402" s="8">
        <v>1</v>
      </c>
      <c r="O402" s="8">
        <v>0.92045129999999997</v>
      </c>
      <c r="P402" s="8">
        <v>0.89813540000000003</v>
      </c>
      <c r="Q402" s="8">
        <v>0.4166629</v>
      </c>
      <c r="R402" s="8">
        <v>0.13166939999999999</v>
      </c>
    </row>
    <row r="403" spans="2:18" ht="1" customHeight="1">
      <c r="B403" s="8">
        <v>23</v>
      </c>
      <c r="C403" s="8" t="s">
        <v>56</v>
      </c>
      <c r="D403" s="8" t="str">
        <f t="shared" si="22"/>
        <v>23Peru</v>
      </c>
      <c r="E403" s="8">
        <v>1</v>
      </c>
      <c r="F403" s="8">
        <v>0.80257829999999997</v>
      </c>
      <c r="G403" s="8">
        <v>0.75841179999999997</v>
      </c>
      <c r="H403" s="8">
        <v>0.18110979999999999</v>
      </c>
      <c r="I403" s="8">
        <v>0.1394225</v>
      </c>
      <c r="K403" s="8">
        <v>23</v>
      </c>
      <c r="L403" s="8" t="s">
        <v>56</v>
      </c>
      <c r="M403" s="8" t="str">
        <f t="shared" si="23"/>
        <v>23Peru</v>
      </c>
      <c r="N403" s="8">
        <v>1</v>
      </c>
      <c r="O403" s="8">
        <v>0.92939349999999998</v>
      </c>
      <c r="P403" s="8">
        <v>0.90726709999999999</v>
      </c>
      <c r="Q403" s="8">
        <v>0.35857630000000001</v>
      </c>
      <c r="R403" s="8">
        <v>0.1113861</v>
      </c>
    </row>
    <row r="404" spans="2:18" ht="1" customHeight="1">
      <c r="B404" s="8">
        <v>24</v>
      </c>
      <c r="C404" s="8" t="s">
        <v>56</v>
      </c>
      <c r="D404" s="8" t="str">
        <f t="shared" si="22"/>
        <v>24Peru</v>
      </c>
      <c r="E404" s="8">
        <v>1</v>
      </c>
      <c r="F404" s="8">
        <v>0.79667940000000004</v>
      </c>
      <c r="G404" s="8">
        <v>0.75951210000000002</v>
      </c>
      <c r="H404" s="8">
        <v>0.14814089999999999</v>
      </c>
      <c r="I404" s="8">
        <v>0.11029600000000001</v>
      </c>
      <c r="K404" s="8">
        <v>24</v>
      </c>
      <c r="L404" s="8" t="s">
        <v>56</v>
      </c>
      <c r="M404" s="8" t="str">
        <f t="shared" si="23"/>
        <v>24Peru</v>
      </c>
      <c r="N404" s="8">
        <v>1</v>
      </c>
      <c r="O404" s="8">
        <v>0.92313829999999997</v>
      </c>
      <c r="P404" s="8">
        <v>0.90141930000000003</v>
      </c>
      <c r="Q404" s="8">
        <v>0.30365379999999997</v>
      </c>
      <c r="R404" s="8">
        <v>9.0370099999999995E-2</v>
      </c>
    </row>
    <row r="405" spans="2:18" ht="1" customHeight="1">
      <c r="B405" s="8">
        <v>25</v>
      </c>
      <c r="C405" s="8" t="s">
        <v>56</v>
      </c>
      <c r="D405" s="8" t="str">
        <f t="shared" si="22"/>
        <v>25Peru</v>
      </c>
      <c r="E405" s="8">
        <v>1</v>
      </c>
      <c r="F405" s="8">
        <v>0.79078040000000005</v>
      </c>
      <c r="G405" s="8">
        <v>0.76061239999999997</v>
      </c>
      <c r="H405" s="8">
        <v>0.115172</v>
      </c>
      <c r="I405" s="8">
        <v>8.1169599999999995E-2</v>
      </c>
      <c r="K405" s="8">
        <v>25</v>
      </c>
      <c r="L405" s="8" t="s">
        <v>56</v>
      </c>
      <c r="M405" s="8" t="str">
        <f t="shared" si="23"/>
        <v>25Peru</v>
      </c>
      <c r="N405" s="8">
        <v>1</v>
      </c>
      <c r="O405" s="8">
        <v>0.91688309999999995</v>
      </c>
      <c r="P405" s="8">
        <v>0.89557140000000002</v>
      </c>
      <c r="Q405" s="8">
        <v>0.24873139999999999</v>
      </c>
      <c r="R405" s="8">
        <v>6.9354100000000002E-2</v>
      </c>
    </row>
    <row r="406" spans="2:18" ht="1" customHeight="1">
      <c r="B406" s="8">
        <v>26</v>
      </c>
      <c r="C406" s="8" t="s">
        <v>56</v>
      </c>
      <c r="D406" s="8" t="str">
        <f t="shared" si="22"/>
        <v>26Peru</v>
      </c>
      <c r="E406" s="8">
        <v>1</v>
      </c>
      <c r="F406" s="8">
        <v>0.78467169999999997</v>
      </c>
      <c r="G406" s="8">
        <v>0.76592720000000003</v>
      </c>
      <c r="H406" s="8">
        <v>9.0023599999999995E-2</v>
      </c>
      <c r="I406" s="8">
        <v>6.0954800000000003E-2</v>
      </c>
      <c r="K406" s="8">
        <v>26</v>
      </c>
      <c r="L406" s="8" t="s">
        <v>56</v>
      </c>
      <c r="M406" s="8" t="str">
        <f t="shared" si="23"/>
        <v>26Peru</v>
      </c>
      <c r="N406" s="8">
        <v>1</v>
      </c>
      <c r="O406" s="8">
        <v>0.91207910000000003</v>
      </c>
      <c r="P406" s="8">
        <v>0.89354210000000001</v>
      </c>
      <c r="Q406" s="8">
        <v>0.21266270000000001</v>
      </c>
      <c r="R406" s="8">
        <v>6.18714E-2</v>
      </c>
    </row>
    <row r="407" spans="2:18" ht="1" customHeight="1">
      <c r="B407" s="8">
        <v>27</v>
      </c>
      <c r="C407" s="8" t="s">
        <v>56</v>
      </c>
      <c r="D407" s="8" t="str">
        <f t="shared" si="22"/>
        <v>27Peru</v>
      </c>
      <c r="E407" s="8">
        <v>1</v>
      </c>
      <c r="F407" s="8">
        <v>0.77856300000000001</v>
      </c>
      <c r="G407" s="8">
        <v>0.77124199999999998</v>
      </c>
      <c r="H407" s="8">
        <v>6.4875199999999994E-2</v>
      </c>
      <c r="I407" s="8">
        <v>4.0739999999999998E-2</v>
      </c>
      <c r="K407" s="8">
        <v>27</v>
      </c>
      <c r="L407" s="8" t="s">
        <v>56</v>
      </c>
      <c r="M407" s="8" t="str">
        <f t="shared" si="23"/>
        <v>27Peru</v>
      </c>
      <c r="N407" s="8">
        <v>1</v>
      </c>
      <c r="O407" s="8">
        <v>0.9072751</v>
      </c>
      <c r="P407" s="8">
        <v>0.89151279999999999</v>
      </c>
      <c r="Q407" s="8">
        <v>0.176594</v>
      </c>
      <c r="R407" s="8">
        <v>5.4388600000000002E-2</v>
      </c>
    </row>
    <row r="408" spans="2:18" ht="1" customHeight="1">
      <c r="B408" s="8">
        <v>28</v>
      </c>
      <c r="C408" s="8" t="s">
        <v>56</v>
      </c>
      <c r="D408" s="8" t="str">
        <f t="shared" si="22"/>
        <v>28Peru</v>
      </c>
      <c r="E408" s="8">
        <v>1</v>
      </c>
      <c r="F408" s="8">
        <v>0.78701810000000005</v>
      </c>
      <c r="G408" s="8">
        <v>0.78031700000000004</v>
      </c>
      <c r="H408" s="8">
        <v>5.2529699999999999E-2</v>
      </c>
      <c r="I408" s="8">
        <v>2.5177999999999999E-2</v>
      </c>
      <c r="K408" s="8">
        <v>28</v>
      </c>
      <c r="L408" s="8" t="s">
        <v>56</v>
      </c>
      <c r="M408" s="8" t="str">
        <f t="shared" si="23"/>
        <v>28Peru</v>
      </c>
      <c r="N408" s="8">
        <v>1</v>
      </c>
      <c r="O408" s="8">
        <v>0.91251490000000002</v>
      </c>
      <c r="P408" s="8">
        <v>0.89677669999999998</v>
      </c>
      <c r="Q408" s="8">
        <v>0.15535160000000001</v>
      </c>
      <c r="R408" s="8">
        <v>5.1595500000000002E-2</v>
      </c>
    </row>
    <row r="409" spans="2:18" ht="1" customHeight="1">
      <c r="B409" s="8">
        <v>29</v>
      </c>
      <c r="C409" s="8" t="s">
        <v>56</v>
      </c>
      <c r="D409" s="8" t="str">
        <f t="shared" si="22"/>
        <v>29Peru</v>
      </c>
      <c r="E409" s="8">
        <v>1</v>
      </c>
      <c r="F409" s="8">
        <v>0.79547319999999999</v>
      </c>
      <c r="G409" s="8">
        <v>0.78939199999999998</v>
      </c>
      <c r="H409" s="8">
        <v>4.0184200000000003E-2</v>
      </c>
      <c r="I409" s="8">
        <v>9.6159999999999995E-3</v>
      </c>
      <c r="K409" s="8">
        <v>29</v>
      </c>
      <c r="L409" s="8" t="s">
        <v>56</v>
      </c>
      <c r="M409" s="8" t="str">
        <f t="shared" si="23"/>
        <v>29Peru</v>
      </c>
      <c r="N409" s="8">
        <v>1</v>
      </c>
      <c r="O409" s="8">
        <v>0.91775479999999998</v>
      </c>
      <c r="P409" s="8">
        <v>0.90204059999999997</v>
      </c>
      <c r="Q409" s="8">
        <v>0.13410920000000001</v>
      </c>
      <c r="R409" s="8">
        <v>4.8802400000000003E-2</v>
      </c>
    </row>
    <row r="410" spans="2:18" ht="1" customHeight="1">
      <c r="B410" s="8">
        <v>30</v>
      </c>
      <c r="C410" s="8" t="s">
        <v>56</v>
      </c>
      <c r="D410" s="8" t="str">
        <f t="shared" si="22"/>
        <v>30Peru</v>
      </c>
      <c r="E410" s="8">
        <v>1</v>
      </c>
      <c r="F410" s="8">
        <v>0.80973200000000001</v>
      </c>
      <c r="G410" s="8">
        <v>0.79936370000000001</v>
      </c>
      <c r="H410" s="8">
        <v>4.21997E-2</v>
      </c>
      <c r="I410" s="8">
        <v>6.0196E-3</v>
      </c>
      <c r="K410" s="8">
        <v>30</v>
      </c>
      <c r="L410" s="8" t="s">
        <v>56</v>
      </c>
      <c r="M410" s="8" t="str">
        <f t="shared" si="23"/>
        <v>30Peru</v>
      </c>
      <c r="N410" s="8">
        <v>1</v>
      </c>
      <c r="O410" s="8">
        <v>0.91831339999999995</v>
      </c>
      <c r="P410" s="8">
        <v>0.90232769999999995</v>
      </c>
      <c r="Q410" s="8">
        <v>0.1195927</v>
      </c>
      <c r="R410" s="8">
        <v>4.0523400000000001E-2</v>
      </c>
    </row>
    <row r="411" spans="2:18" ht="1" customHeight="1">
      <c r="B411" s="8">
        <v>31</v>
      </c>
      <c r="C411" s="8" t="s">
        <v>56</v>
      </c>
      <c r="D411" s="8" t="str">
        <f t="shared" si="22"/>
        <v>31Peru</v>
      </c>
      <c r="E411" s="8">
        <v>1</v>
      </c>
      <c r="F411" s="8">
        <v>0.82399069999999996</v>
      </c>
      <c r="G411" s="8">
        <v>0.80933549999999999</v>
      </c>
      <c r="H411" s="8">
        <v>4.42151E-2</v>
      </c>
      <c r="I411" s="8">
        <v>2.4231000000000001E-3</v>
      </c>
      <c r="K411" s="8">
        <v>31</v>
      </c>
      <c r="L411" s="8" t="s">
        <v>56</v>
      </c>
      <c r="M411" s="8" t="str">
        <f t="shared" si="23"/>
        <v>31Peru</v>
      </c>
      <c r="N411" s="8">
        <v>1</v>
      </c>
      <c r="O411" s="8">
        <v>0.91887209999999997</v>
      </c>
      <c r="P411" s="8">
        <v>0.90261480000000005</v>
      </c>
      <c r="Q411" s="8">
        <v>0.10507610000000001</v>
      </c>
      <c r="R411" s="8">
        <v>3.2244399999999999E-2</v>
      </c>
    </row>
    <row r="412" spans="2:18" ht="1" customHeight="1">
      <c r="B412" s="8">
        <v>32</v>
      </c>
      <c r="C412" s="8" t="s">
        <v>56</v>
      </c>
      <c r="D412" s="8" t="str">
        <f t="shared" si="22"/>
        <v>32Peru</v>
      </c>
      <c r="E412" s="8">
        <v>1</v>
      </c>
      <c r="F412" s="8">
        <v>0.8377407</v>
      </c>
      <c r="G412" s="8">
        <v>0.82487949999999999</v>
      </c>
      <c r="H412" s="8">
        <v>3.3575800000000003E-2</v>
      </c>
      <c r="I412" s="8">
        <v>2.8322999999999998E-3</v>
      </c>
      <c r="K412" s="8">
        <v>32</v>
      </c>
      <c r="L412" s="8" t="s">
        <v>56</v>
      </c>
      <c r="M412" s="8" t="str">
        <f t="shared" si="23"/>
        <v>32Peru</v>
      </c>
      <c r="N412" s="8">
        <v>1</v>
      </c>
      <c r="O412" s="8">
        <v>0.91581990000000002</v>
      </c>
      <c r="P412" s="8">
        <v>0.90166630000000003</v>
      </c>
      <c r="Q412" s="8">
        <v>9.2864799999999997E-2</v>
      </c>
      <c r="R412" s="8">
        <v>2.5499299999999999E-2</v>
      </c>
    </row>
    <row r="413" spans="2:18" ht="1" customHeight="1">
      <c r="B413" s="8">
        <v>33</v>
      </c>
      <c r="C413" s="8" t="s">
        <v>56</v>
      </c>
      <c r="D413" s="8" t="str">
        <f t="shared" si="22"/>
        <v>33Peru</v>
      </c>
      <c r="E413" s="8">
        <v>1</v>
      </c>
      <c r="F413" s="8">
        <v>0.85149059999999999</v>
      </c>
      <c r="G413" s="8">
        <v>0.84042360000000005</v>
      </c>
      <c r="H413" s="8">
        <v>2.2936399999999999E-2</v>
      </c>
      <c r="I413" s="8">
        <v>3.2415E-3</v>
      </c>
      <c r="K413" s="8">
        <v>33</v>
      </c>
      <c r="L413" s="8" t="s">
        <v>56</v>
      </c>
      <c r="M413" s="8" t="str">
        <f t="shared" si="23"/>
        <v>33Peru</v>
      </c>
      <c r="N413" s="8">
        <v>1</v>
      </c>
      <c r="O413" s="8">
        <v>0.91276760000000001</v>
      </c>
      <c r="P413" s="8">
        <v>0.90071789999999996</v>
      </c>
      <c r="Q413" s="8">
        <v>8.06534E-2</v>
      </c>
      <c r="R413" s="8">
        <v>1.8754300000000002E-2</v>
      </c>
    </row>
    <row r="414" spans="2:18" ht="1" customHeight="1">
      <c r="B414" s="8">
        <v>34</v>
      </c>
      <c r="C414" s="8" t="s">
        <v>56</v>
      </c>
      <c r="D414" s="8" t="str">
        <f t="shared" ref="D414:D461" si="24">CONCATENATE(B414,C414)</f>
        <v>34Peru</v>
      </c>
      <c r="E414" s="8">
        <v>1</v>
      </c>
      <c r="F414" s="8">
        <v>0.86008240000000002</v>
      </c>
      <c r="G414" s="8">
        <v>0.85313989999999995</v>
      </c>
      <c r="H414" s="8">
        <v>1.4274200000000001E-2</v>
      </c>
      <c r="I414" s="8">
        <v>3.0401999999999998E-3</v>
      </c>
      <c r="K414" s="8">
        <v>34</v>
      </c>
      <c r="L414" s="8" t="s">
        <v>56</v>
      </c>
      <c r="M414" s="8" t="str">
        <f t="shared" ref="M414:M461" si="25">CONCATENATE(K414,L414)</f>
        <v>34Peru</v>
      </c>
      <c r="N414" s="8">
        <v>1</v>
      </c>
      <c r="O414" s="8">
        <v>0.91131450000000003</v>
      </c>
      <c r="P414" s="8">
        <v>0.89962470000000005</v>
      </c>
      <c r="Q414" s="8">
        <v>6.8323200000000001E-2</v>
      </c>
      <c r="R414" s="8">
        <v>1.58808E-2</v>
      </c>
    </row>
    <row r="415" spans="2:18" ht="1" customHeight="1">
      <c r="B415" s="8">
        <v>35</v>
      </c>
      <c r="C415" s="8" t="s">
        <v>56</v>
      </c>
      <c r="D415" s="8" t="str">
        <f t="shared" si="24"/>
        <v>35Peru</v>
      </c>
      <c r="E415" s="8">
        <v>1</v>
      </c>
      <c r="F415" s="8">
        <v>0.86867419999999995</v>
      </c>
      <c r="G415" s="8">
        <v>0.86585619999999996</v>
      </c>
      <c r="H415" s="8">
        <v>5.6119000000000004E-3</v>
      </c>
      <c r="I415" s="8">
        <v>2.8389000000000001E-3</v>
      </c>
      <c r="K415" s="8">
        <v>35</v>
      </c>
      <c r="L415" s="8" t="s">
        <v>56</v>
      </c>
      <c r="M415" s="8" t="str">
        <f t="shared" si="25"/>
        <v>35Peru</v>
      </c>
      <c r="N415" s="8">
        <v>1</v>
      </c>
      <c r="O415" s="8">
        <v>0.90986140000000004</v>
      </c>
      <c r="P415" s="8">
        <v>0.89853159999999999</v>
      </c>
      <c r="Q415" s="8">
        <v>5.5992899999999998E-2</v>
      </c>
      <c r="R415" s="8">
        <v>1.3007400000000001E-2</v>
      </c>
    </row>
    <row r="416" spans="2:18" ht="1" customHeight="1">
      <c r="B416" s="8">
        <v>36</v>
      </c>
      <c r="C416" s="8" t="s">
        <v>56</v>
      </c>
      <c r="D416" s="8" t="str">
        <f t="shared" si="24"/>
        <v>36Peru</v>
      </c>
      <c r="E416" s="8">
        <v>1</v>
      </c>
      <c r="F416" s="8">
        <v>0.87411000000000005</v>
      </c>
      <c r="G416" s="8">
        <v>0.87182769999999998</v>
      </c>
      <c r="H416" s="8">
        <v>4.9652999999999997E-3</v>
      </c>
      <c r="I416" s="8">
        <v>2.0980999999999999E-3</v>
      </c>
      <c r="K416" s="8">
        <v>36</v>
      </c>
      <c r="L416" s="8" t="s">
        <v>56</v>
      </c>
      <c r="M416" s="8" t="str">
        <f t="shared" si="25"/>
        <v>36Peru</v>
      </c>
      <c r="N416" s="8">
        <v>1</v>
      </c>
      <c r="O416" s="8">
        <v>0.91351130000000003</v>
      </c>
      <c r="P416" s="8">
        <v>0.9014567</v>
      </c>
      <c r="Q416" s="8">
        <v>5.3463900000000002E-2</v>
      </c>
      <c r="R416" s="8">
        <v>1.1823200000000001E-2</v>
      </c>
    </row>
    <row r="417" spans="2:18" ht="1" customHeight="1">
      <c r="B417" s="8">
        <v>37</v>
      </c>
      <c r="C417" s="8" t="s">
        <v>56</v>
      </c>
      <c r="D417" s="8" t="str">
        <f t="shared" si="24"/>
        <v>37Peru</v>
      </c>
      <c r="E417" s="8">
        <v>1</v>
      </c>
      <c r="F417" s="8">
        <v>0.87954589999999999</v>
      </c>
      <c r="G417" s="8">
        <v>0.87779929999999995</v>
      </c>
      <c r="H417" s="8">
        <v>4.3187E-3</v>
      </c>
      <c r="I417" s="8">
        <v>1.3573000000000001E-3</v>
      </c>
      <c r="K417" s="8">
        <v>37</v>
      </c>
      <c r="L417" s="8" t="s">
        <v>56</v>
      </c>
      <c r="M417" s="8" t="str">
        <f t="shared" si="25"/>
        <v>37Peru</v>
      </c>
      <c r="N417" s="8">
        <v>1</v>
      </c>
      <c r="O417" s="8">
        <v>0.91716120000000001</v>
      </c>
      <c r="P417" s="8">
        <v>0.90438180000000001</v>
      </c>
      <c r="Q417" s="8">
        <v>5.0934899999999998E-2</v>
      </c>
      <c r="R417" s="8">
        <v>1.06391E-2</v>
      </c>
    </row>
    <row r="418" spans="2:18" ht="1" customHeight="1">
      <c r="B418" s="8">
        <v>38</v>
      </c>
      <c r="C418" s="8" t="s">
        <v>56</v>
      </c>
      <c r="D418" s="8" t="str">
        <f t="shared" si="24"/>
        <v>38Peru</v>
      </c>
      <c r="E418" s="8">
        <v>1</v>
      </c>
      <c r="F418" s="8">
        <v>0.88657330000000001</v>
      </c>
      <c r="G418" s="8">
        <v>0.8826946</v>
      </c>
      <c r="H418" s="8">
        <v>3.6724000000000001E-3</v>
      </c>
      <c r="I418" s="8">
        <v>1.4594E-3</v>
      </c>
      <c r="K418" s="8">
        <v>38</v>
      </c>
      <c r="L418" s="8" t="s">
        <v>56</v>
      </c>
      <c r="M418" s="8" t="str">
        <f t="shared" si="25"/>
        <v>38Peru</v>
      </c>
      <c r="N418" s="8">
        <v>1</v>
      </c>
      <c r="O418" s="8">
        <v>0.91349049999999998</v>
      </c>
      <c r="P418" s="8">
        <v>0.90144150000000001</v>
      </c>
      <c r="Q418" s="8">
        <v>5.4690999999999997E-2</v>
      </c>
      <c r="R418" s="8">
        <v>1.25588E-2</v>
      </c>
    </row>
    <row r="419" spans="2:18" ht="1" customHeight="1">
      <c r="B419" s="8">
        <v>39</v>
      </c>
      <c r="C419" s="8" t="s">
        <v>56</v>
      </c>
      <c r="D419" s="8" t="str">
        <f t="shared" si="24"/>
        <v>39Peru</v>
      </c>
      <c r="E419" s="8">
        <v>1</v>
      </c>
      <c r="F419" s="8">
        <v>0.89360059999999997</v>
      </c>
      <c r="G419" s="8">
        <v>0.88758990000000004</v>
      </c>
      <c r="H419" s="8">
        <v>3.0260999999999999E-3</v>
      </c>
      <c r="I419" s="8">
        <v>1.5615E-3</v>
      </c>
      <c r="K419" s="8">
        <v>39</v>
      </c>
      <c r="L419" s="8" t="s">
        <v>56</v>
      </c>
      <c r="M419" s="8" t="str">
        <f t="shared" si="25"/>
        <v>39Peru</v>
      </c>
      <c r="N419" s="8">
        <v>1</v>
      </c>
      <c r="O419" s="8">
        <v>0.90981979999999996</v>
      </c>
      <c r="P419" s="8">
        <v>0.8985012</v>
      </c>
      <c r="Q419" s="8">
        <v>5.8447100000000002E-2</v>
      </c>
      <c r="R419" s="8">
        <v>1.4478599999999999E-2</v>
      </c>
    </row>
    <row r="420" spans="2:18" ht="1" customHeight="1">
      <c r="B420" s="8">
        <v>40</v>
      </c>
      <c r="C420" s="8" t="s">
        <v>56</v>
      </c>
      <c r="D420" s="8" t="str">
        <f t="shared" si="24"/>
        <v>40Peru</v>
      </c>
      <c r="E420" s="8">
        <v>1</v>
      </c>
      <c r="F420" s="8">
        <v>0.89412119999999995</v>
      </c>
      <c r="G420" s="8">
        <v>0.88581739999999998</v>
      </c>
      <c r="H420" s="8">
        <v>2.9535E-3</v>
      </c>
      <c r="I420" s="8">
        <v>1.9334E-3</v>
      </c>
      <c r="K420" s="8">
        <v>40</v>
      </c>
      <c r="L420" s="8" t="s">
        <v>56</v>
      </c>
      <c r="M420" s="8" t="str">
        <f t="shared" si="25"/>
        <v>40Peru</v>
      </c>
      <c r="N420" s="8">
        <v>1</v>
      </c>
      <c r="O420" s="8">
        <v>0.90094660000000004</v>
      </c>
      <c r="P420" s="8">
        <v>0.89269690000000002</v>
      </c>
      <c r="Q420" s="8">
        <v>5.4975400000000001E-2</v>
      </c>
      <c r="R420" s="8">
        <v>1.5323E-2</v>
      </c>
    </row>
    <row r="421" spans="2:18" ht="1" customHeight="1">
      <c r="B421" s="8">
        <v>0</v>
      </c>
      <c r="C421" s="8" t="s">
        <v>58</v>
      </c>
      <c r="D421" s="8" t="str">
        <f t="shared" si="24"/>
        <v>0Uruguay</v>
      </c>
      <c r="E421" s="8">
        <v>1</v>
      </c>
      <c r="F421" s="8">
        <v>0</v>
      </c>
      <c r="G421" s="8">
        <v>0</v>
      </c>
      <c r="H421" s="8">
        <v>0</v>
      </c>
      <c r="I421" s="8">
        <v>0</v>
      </c>
      <c r="K421" s="8">
        <v>0</v>
      </c>
      <c r="L421" s="8" t="s">
        <v>58</v>
      </c>
      <c r="M421" s="8" t="str">
        <f t="shared" si="25"/>
        <v>0Uruguay</v>
      </c>
      <c r="N421" s="8">
        <v>1</v>
      </c>
      <c r="O421" s="8">
        <v>0</v>
      </c>
      <c r="P421" s="8">
        <v>0</v>
      </c>
      <c r="Q421" s="8">
        <v>0</v>
      </c>
      <c r="R421" s="8">
        <v>0</v>
      </c>
    </row>
    <row r="422" spans="2:18" ht="1" customHeight="1">
      <c r="B422" s="8">
        <v>1</v>
      </c>
      <c r="C422" s="8" t="s">
        <v>58</v>
      </c>
      <c r="D422" s="8" t="str">
        <f t="shared" si="24"/>
        <v>1Uruguay</v>
      </c>
      <c r="E422" s="8">
        <v>1</v>
      </c>
      <c r="F422" s="8">
        <v>0</v>
      </c>
      <c r="G422" s="8">
        <v>0</v>
      </c>
      <c r="H422" s="8">
        <v>0</v>
      </c>
      <c r="I422" s="8">
        <v>0</v>
      </c>
      <c r="K422" s="8">
        <v>1</v>
      </c>
      <c r="L422" s="8" t="s">
        <v>58</v>
      </c>
      <c r="M422" s="8" t="str">
        <f t="shared" si="25"/>
        <v>1Uruguay</v>
      </c>
      <c r="N422" s="8">
        <v>1</v>
      </c>
      <c r="O422" s="8">
        <v>0</v>
      </c>
      <c r="P422" s="8">
        <v>0</v>
      </c>
      <c r="Q422" s="8">
        <v>0</v>
      </c>
      <c r="R422" s="8">
        <v>0</v>
      </c>
    </row>
    <row r="423" spans="2:18" ht="1" customHeight="1">
      <c r="B423" s="8">
        <v>2</v>
      </c>
      <c r="C423" s="8" t="s">
        <v>58</v>
      </c>
      <c r="D423" s="8" t="str">
        <f t="shared" si="24"/>
        <v>2Uruguay</v>
      </c>
      <c r="E423" s="8">
        <v>1</v>
      </c>
      <c r="F423" s="8">
        <v>0.27461259999999998</v>
      </c>
      <c r="G423" s="8">
        <v>0.27461259999999998</v>
      </c>
      <c r="H423" s="8">
        <v>0.27461259999999998</v>
      </c>
      <c r="I423" s="8">
        <v>8.3152199999999996E-2</v>
      </c>
      <c r="K423" s="8">
        <v>2</v>
      </c>
      <c r="L423" s="8" t="s">
        <v>58</v>
      </c>
      <c r="M423" s="8" t="str">
        <f t="shared" si="25"/>
        <v>2Uruguay</v>
      </c>
      <c r="N423" s="8">
        <v>1</v>
      </c>
      <c r="O423" s="8">
        <v>0.33019759999999998</v>
      </c>
      <c r="P423" s="8">
        <v>0.33019759999999998</v>
      </c>
      <c r="Q423" s="8">
        <v>0.33019759999999998</v>
      </c>
      <c r="R423" s="8">
        <v>5.9688600000000001E-2</v>
      </c>
    </row>
    <row r="424" spans="2:18" ht="1" customHeight="1">
      <c r="B424" s="8">
        <v>3</v>
      </c>
      <c r="C424" s="8" t="s">
        <v>58</v>
      </c>
      <c r="D424" s="8" t="str">
        <f t="shared" si="24"/>
        <v>3Uruguay</v>
      </c>
      <c r="E424" s="8">
        <v>1</v>
      </c>
      <c r="F424" s="8">
        <v>0.54922519999999997</v>
      </c>
      <c r="G424" s="8">
        <v>0.54922519999999997</v>
      </c>
      <c r="H424" s="8">
        <v>0.54922519999999997</v>
      </c>
      <c r="I424" s="8">
        <v>0.16630429999999999</v>
      </c>
      <c r="K424" s="8">
        <v>3</v>
      </c>
      <c r="L424" s="8" t="s">
        <v>58</v>
      </c>
      <c r="M424" s="8" t="str">
        <f t="shared" si="25"/>
        <v>3Uruguay</v>
      </c>
      <c r="N424" s="8">
        <v>1</v>
      </c>
      <c r="O424" s="8">
        <v>0.66039530000000002</v>
      </c>
      <c r="P424" s="8">
        <v>0.66039530000000002</v>
      </c>
      <c r="Q424" s="8">
        <v>0.66039530000000002</v>
      </c>
      <c r="R424" s="8">
        <v>0.1193772</v>
      </c>
    </row>
    <row r="425" spans="2:18" ht="1" customHeight="1">
      <c r="B425" s="8">
        <v>4</v>
      </c>
      <c r="C425" s="8" t="s">
        <v>58</v>
      </c>
      <c r="D425" s="8" t="str">
        <f t="shared" si="24"/>
        <v>4Uruguay</v>
      </c>
      <c r="E425" s="8">
        <v>1</v>
      </c>
      <c r="F425" s="8">
        <v>0.71944030000000003</v>
      </c>
      <c r="G425" s="8">
        <v>0.71944030000000003</v>
      </c>
      <c r="H425" s="8">
        <v>0.71944030000000003</v>
      </c>
      <c r="I425" s="8">
        <v>0.37229089999999998</v>
      </c>
      <c r="K425" s="8">
        <v>4</v>
      </c>
      <c r="L425" s="8" t="s">
        <v>58</v>
      </c>
      <c r="M425" s="8" t="str">
        <f t="shared" si="25"/>
        <v>4Uruguay</v>
      </c>
      <c r="N425" s="8">
        <v>1</v>
      </c>
      <c r="O425" s="8">
        <v>0.80710709999999997</v>
      </c>
      <c r="P425" s="8">
        <v>0.80710709999999997</v>
      </c>
      <c r="Q425" s="8">
        <v>0.80710709999999997</v>
      </c>
      <c r="R425" s="8">
        <v>0.23699149999999999</v>
      </c>
    </row>
    <row r="426" spans="2:18" ht="1" customHeight="1">
      <c r="B426" s="8">
        <v>5</v>
      </c>
      <c r="C426" s="8" t="s">
        <v>58</v>
      </c>
      <c r="D426" s="8" t="str">
        <f t="shared" si="24"/>
        <v>5Uruguay</v>
      </c>
      <c r="E426" s="8">
        <v>1</v>
      </c>
      <c r="F426" s="8">
        <v>0.88965550000000004</v>
      </c>
      <c r="G426" s="8">
        <v>0.88965550000000004</v>
      </c>
      <c r="H426" s="8">
        <v>0.88965550000000004</v>
      </c>
      <c r="I426" s="8">
        <v>0.57827740000000005</v>
      </c>
      <c r="K426" s="8">
        <v>5</v>
      </c>
      <c r="L426" s="8" t="s">
        <v>58</v>
      </c>
      <c r="M426" s="8" t="str">
        <f t="shared" si="25"/>
        <v>5Uruguay</v>
      </c>
      <c r="N426" s="8">
        <v>1</v>
      </c>
      <c r="O426" s="8">
        <v>0.95381899999999997</v>
      </c>
      <c r="P426" s="8">
        <v>0.95381899999999997</v>
      </c>
      <c r="Q426" s="8">
        <v>0.95381899999999997</v>
      </c>
      <c r="R426" s="8">
        <v>0.35460580000000003</v>
      </c>
    </row>
    <row r="427" spans="2:18" ht="1" customHeight="1">
      <c r="B427" s="8">
        <v>6</v>
      </c>
      <c r="C427" s="8" t="s">
        <v>58</v>
      </c>
      <c r="D427" s="8" t="str">
        <f t="shared" si="24"/>
        <v>6Uruguay</v>
      </c>
      <c r="E427" s="8">
        <v>1</v>
      </c>
      <c r="F427" s="8">
        <v>0.94002600000000003</v>
      </c>
      <c r="G427" s="8">
        <v>0.94002600000000003</v>
      </c>
      <c r="H427" s="8">
        <v>0.94002600000000003</v>
      </c>
      <c r="I427" s="8">
        <v>0.73685350000000005</v>
      </c>
      <c r="K427" s="8">
        <v>6</v>
      </c>
      <c r="L427" s="8" t="s">
        <v>58</v>
      </c>
      <c r="M427" s="8" t="str">
        <f t="shared" si="25"/>
        <v>6Uruguay</v>
      </c>
      <c r="N427" s="8">
        <v>1</v>
      </c>
      <c r="O427" s="8">
        <v>0.97604740000000001</v>
      </c>
      <c r="P427" s="8">
        <v>0.97604740000000001</v>
      </c>
      <c r="Q427" s="8">
        <v>0.97604740000000001</v>
      </c>
      <c r="R427" s="8">
        <v>0.41464570000000001</v>
      </c>
    </row>
    <row r="428" spans="2:18" ht="1" customHeight="1">
      <c r="B428" s="8">
        <v>7</v>
      </c>
      <c r="C428" s="8" t="s">
        <v>58</v>
      </c>
      <c r="D428" s="8" t="str">
        <f t="shared" si="24"/>
        <v>7Uruguay</v>
      </c>
      <c r="E428" s="8">
        <v>1</v>
      </c>
      <c r="F428" s="8">
        <v>0.99039650000000001</v>
      </c>
      <c r="G428" s="8">
        <v>0.99039650000000001</v>
      </c>
      <c r="H428" s="8">
        <v>0.99039650000000001</v>
      </c>
      <c r="I428" s="8">
        <v>0.89542960000000005</v>
      </c>
      <c r="K428" s="8">
        <v>7</v>
      </c>
      <c r="L428" s="8" t="s">
        <v>58</v>
      </c>
      <c r="M428" s="8" t="str">
        <f t="shared" si="25"/>
        <v>7Uruguay</v>
      </c>
      <c r="N428" s="8">
        <v>1</v>
      </c>
      <c r="O428" s="8">
        <v>0.99827580000000005</v>
      </c>
      <c r="P428" s="8">
        <v>0.99827580000000005</v>
      </c>
      <c r="Q428" s="8">
        <v>0.99827580000000005</v>
      </c>
      <c r="R428" s="8">
        <v>0.47468559999999999</v>
      </c>
    </row>
    <row r="429" spans="2:18" ht="1" customHeight="1">
      <c r="B429" s="8">
        <v>8</v>
      </c>
      <c r="C429" s="8" t="s">
        <v>58</v>
      </c>
      <c r="D429" s="8" t="str">
        <f t="shared" si="24"/>
        <v>8Uruguay</v>
      </c>
      <c r="E429" s="8">
        <v>1</v>
      </c>
      <c r="F429" s="8">
        <v>0.99137679999999995</v>
      </c>
      <c r="G429" s="8">
        <v>0.99137679999999995</v>
      </c>
      <c r="H429" s="8">
        <v>0.99137679999999995</v>
      </c>
      <c r="I429" s="8">
        <v>0.92693009999999998</v>
      </c>
      <c r="K429" s="8">
        <v>8</v>
      </c>
      <c r="L429" s="8" t="s">
        <v>58</v>
      </c>
      <c r="M429" s="8" t="str">
        <f t="shared" si="25"/>
        <v>8Uruguay</v>
      </c>
      <c r="N429" s="8">
        <v>1</v>
      </c>
      <c r="O429" s="8">
        <v>0.99800480000000003</v>
      </c>
      <c r="P429" s="8">
        <v>0.99800480000000003</v>
      </c>
      <c r="Q429" s="8">
        <v>0.99800480000000003</v>
      </c>
      <c r="R429" s="8">
        <v>0.48392020000000002</v>
      </c>
    </row>
    <row r="430" spans="2:18" ht="1" customHeight="1">
      <c r="B430" s="8">
        <v>9</v>
      </c>
      <c r="C430" s="8" t="s">
        <v>58</v>
      </c>
      <c r="D430" s="8" t="str">
        <f t="shared" si="24"/>
        <v>9Uruguay</v>
      </c>
      <c r="E430" s="8">
        <v>1</v>
      </c>
      <c r="F430" s="8">
        <v>0.99235709999999999</v>
      </c>
      <c r="G430" s="8">
        <v>0.99235709999999999</v>
      </c>
      <c r="H430" s="8">
        <v>0.99235709999999999</v>
      </c>
      <c r="I430" s="8">
        <v>0.95843049999999996</v>
      </c>
      <c r="K430" s="8">
        <v>9</v>
      </c>
      <c r="L430" s="8" t="s">
        <v>58</v>
      </c>
      <c r="M430" s="8" t="str">
        <f t="shared" si="25"/>
        <v>9Uruguay</v>
      </c>
      <c r="N430" s="8">
        <v>1</v>
      </c>
      <c r="O430" s="8">
        <v>0.99773369999999995</v>
      </c>
      <c r="P430" s="8">
        <v>0.99773369999999995</v>
      </c>
      <c r="Q430" s="8">
        <v>0.99773369999999995</v>
      </c>
      <c r="R430" s="8">
        <v>0.49315490000000001</v>
      </c>
    </row>
    <row r="431" spans="2:18" ht="1" customHeight="1">
      <c r="B431" s="8">
        <v>10</v>
      </c>
      <c r="C431" s="8" t="s">
        <v>58</v>
      </c>
      <c r="D431" s="8" t="str">
        <f t="shared" si="24"/>
        <v>10Uruguay</v>
      </c>
      <c r="E431" s="8">
        <v>1</v>
      </c>
      <c r="F431" s="8">
        <v>0.98639140000000003</v>
      </c>
      <c r="G431" s="8">
        <v>0.98639140000000003</v>
      </c>
      <c r="H431" s="8">
        <v>0.98639140000000003</v>
      </c>
      <c r="I431" s="8">
        <v>0.94970690000000002</v>
      </c>
      <c r="K431" s="8">
        <v>10</v>
      </c>
      <c r="L431" s="8" t="s">
        <v>58</v>
      </c>
      <c r="M431" s="8" t="str">
        <f t="shared" si="25"/>
        <v>10Uruguay</v>
      </c>
      <c r="N431" s="8">
        <v>1</v>
      </c>
      <c r="O431" s="8">
        <v>0.99663219999999997</v>
      </c>
      <c r="P431" s="8">
        <v>0.99663219999999997</v>
      </c>
      <c r="Q431" s="8">
        <v>0.99663219999999997</v>
      </c>
      <c r="R431" s="8">
        <v>0.50431119999999996</v>
      </c>
    </row>
    <row r="432" spans="2:18" ht="1" customHeight="1">
      <c r="B432" s="8">
        <v>11</v>
      </c>
      <c r="C432" s="8" t="s">
        <v>58</v>
      </c>
      <c r="D432" s="8" t="str">
        <f t="shared" si="24"/>
        <v>11Uruguay</v>
      </c>
      <c r="E432" s="8">
        <v>1</v>
      </c>
      <c r="F432" s="8">
        <v>0.98042569999999996</v>
      </c>
      <c r="G432" s="8">
        <v>0.98042569999999996</v>
      </c>
      <c r="H432" s="8">
        <v>0.98042569999999996</v>
      </c>
      <c r="I432" s="8">
        <v>0.94098329999999997</v>
      </c>
      <c r="K432" s="8">
        <v>11</v>
      </c>
      <c r="L432" s="8" t="s">
        <v>58</v>
      </c>
      <c r="M432" s="8" t="str">
        <f t="shared" si="25"/>
        <v>11Uruguay</v>
      </c>
      <c r="N432" s="8">
        <v>1</v>
      </c>
      <c r="O432" s="8">
        <v>0.99553069999999999</v>
      </c>
      <c r="P432" s="8">
        <v>0.99553069999999999</v>
      </c>
      <c r="Q432" s="8">
        <v>0.99553069999999999</v>
      </c>
      <c r="R432" s="8">
        <v>0.51546749999999997</v>
      </c>
    </row>
    <row r="433" spans="2:18" ht="1" customHeight="1">
      <c r="B433" s="8">
        <v>12</v>
      </c>
      <c r="C433" s="8" t="s">
        <v>58</v>
      </c>
      <c r="D433" s="8" t="str">
        <f t="shared" si="24"/>
        <v>12Uruguay</v>
      </c>
      <c r="E433" s="8">
        <v>1</v>
      </c>
      <c r="F433" s="8">
        <v>0.96181179999999999</v>
      </c>
      <c r="G433" s="8">
        <v>0.96050800000000003</v>
      </c>
      <c r="H433" s="8">
        <v>0.95517890000000005</v>
      </c>
      <c r="I433" s="8">
        <v>0.92047140000000005</v>
      </c>
      <c r="K433" s="8">
        <v>12</v>
      </c>
      <c r="L433" s="8" t="s">
        <v>58</v>
      </c>
      <c r="M433" s="8" t="str">
        <f t="shared" si="25"/>
        <v>12Uruguay</v>
      </c>
      <c r="N433" s="8">
        <v>1</v>
      </c>
      <c r="O433" s="8">
        <v>0.99114460000000004</v>
      </c>
      <c r="P433" s="8">
        <v>0.99034259999999996</v>
      </c>
      <c r="Q433" s="8">
        <v>0.98933320000000002</v>
      </c>
      <c r="R433" s="8">
        <v>0.51592720000000003</v>
      </c>
    </row>
    <row r="434" spans="2:18" ht="1" customHeight="1">
      <c r="B434" s="8">
        <v>13</v>
      </c>
      <c r="C434" s="8" t="s">
        <v>58</v>
      </c>
      <c r="D434" s="8" t="str">
        <f t="shared" si="24"/>
        <v>13Uruguay</v>
      </c>
      <c r="E434" s="8">
        <v>1</v>
      </c>
      <c r="F434" s="8">
        <v>0.94319779999999998</v>
      </c>
      <c r="G434" s="8">
        <v>0.94059029999999999</v>
      </c>
      <c r="H434" s="8">
        <v>0.92993199999999998</v>
      </c>
      <c r="I434" s="8">
        <v>0.89995939999999996</v>
      </c>
      <c r="K434" s="8">
        <v>13</v>
      </c>
      <c r="L434" s="8" t="s">
        <v>58</v>
      </c>
      <c r="M434" s="8" t="str">
        <f t="shared" si="25"/>
        <v>13Uruguay</v>
      </c>
      <c r="N434" s="8">
        <v>1</v>
      </c>
      <c r="O434" s="8">
        <v>0.98675849999999998</v>
      </c>
      <c r="P434" s="8">
        <v>0.98515450000000004</v>
      </c>
      <c r="Q434" s="8">
        <v>0.98313569999999995</v>
      </c>
      <c r="R434" s="8">
        <v>0.51638700000000004</v>
      </c>
    </row>
    <row r="435" spans="2:18" ht="1" customHeight="1">
      <c r="B435" s="8">
        <v>14</v>
      </c>
      <c r="C435" s="8" t="s">
        <v>58</v>
      </c>
      <c r="D435" s="8" t="str">
        <f t="shared" si="24"/>
        <v>14Uruguay</v>
      </c>
      <c r="E435" s="8">
        <v>1</v>
      </c>
      <c r="F435" s="8">
        <v>0.90320480000000003</v>
      </c>
      <c r="G435" s="8">
        <v>0.89285429999999999</v>
      </c>
      <c r="H435" s="8">
        <v>0.85887210000000003</v>
      </c>
      <c r="I435" s="8">
        <v>0.84053359999999999</v>
      </c>
      <c r="K435" s="8">
        <v>14</v>
      </c>
      <c r="L435" s="8" t="s">
        <v>58</v>
      </c>
      <c r="M435" s="8" t="str">
        <f t="shared" si="25"/>
        <v>14Uruguay</v>
      </c>
      <c r="N435" s="8">
        <v>1</v>
      </c>
      <c r="O435" s="8">
        <v>0.97695860000000001</v>
      </c>
      <c r="P435" s="8">
        <v>0.97207809999999994</v>
      </c>
      <c r="Q435" s="8">
        <v>0.96224759999999998</v>
      </c>
      <c r="R435" s="8">
        <v>0.51023719999999995</v>
      </c>
    </row>
    <row r="436" spans="2:18" ht="1" customHeight="1">
      <c r="B436" s="8">
        <v>15</v>
      </c>
      <c r="C436" s="8" t="s">
        <v>58</v>
      </c>
      <c r="D436" s="8" t="str">
        <f t="shared" si="24"/>
        <v>15Uruguay</v>
      </c>
      <c r="E436" s="8">
        <v>1</v>
      </c>
      <c r="F436" s="8">
        <v>0.86321179999999997</v>
      </c>
      <c r="G436" s="8">
        <v>0.84511840000000005</v>
      </c>
      <c r="H436" s="8">
        <v>0.78781219999999996</v>
      </c>
      <c r="I436" s="8">
        <v>0.78110769999999996</v>
      </c>
      <c r="K436" s="8">
        <v>15</v>
      </c>
      <c r="L436" s="8" t="s">
        <v>58</v>
      </c>
      <c r="M436" s="8" t="str">
        <f t="shared" si="25"/>
        <v>15Uruguay</v>
      </c>
      <c r="N436" s="8">
        <v>1</v>
      </c>
      <c r="O436" s="8">
        <v>0.96715890000000004</v>
      </c>
      <c r="P436" s="8">
        <v>0.95900169999999996</v>
      </c>
      <c r="Q436" s="8">
        <v>0.94135959999999996</v>
      </c>
      <c r="R436" s="8">
        <v>0.50408739999999996</v>
      </c>
    </row>
    <row r="437" spans="2:18" ht="1" customHeight="1">
      <c r="B437" s="8">
        <v>16</v>
      </c>
      <c r="C437" s="8" t="s">
        <v>58</v>
      </c>
      <c r="D437" s="8" t="str">
        <f t="shared" si="24"/>
        <v>16Uruguay</v>
      </c>
      <c r="E437" s="8">
        <v>1</v>
      </c>
      <c r="F437" s="8">
        <v>0.81976680000000002</v>
      </c>
      <c r="G437" s="8">
        <v>0.78300009999999998</v>
      </c>
      <c r="H437" s="8">
        <v>0.68557290000000015</v>
      </c>
      <c r="I437" s="8">
        <v>0.68085150000000005</v>
      </c>
      <c r="K437" s="8">
        <v>16</v>
      </c>
      <c r="L437" s="8" t="s">
        <v>58</v>
      </c>
      <c r="M437" s="8" t="str">
        <f t="shared" si="25"/>
        <v>16Uruguay</v>
      </c>
      <c r="N437" s="8">
        <v>1</v>
      </c>
      <c r="O437" s="8">
        <v>0.95608150000000003</v>
      </c>
      <c r="P437" s="8">
        <v>0.94228230000000002</v>
      </c>
      <c r="Q437" s="8">
        <v>0.88466129999999998</v>
      </c>
      <c r="R437" s="8">
        <v>0.50328510000000004</v>
      </c>
    </row>
    <row r="438" spans="2:18" ht="1" customHeight="1">
      <c r="B438" s="8">
        <v>17</v>
      </c>
      <c r="C438" s="8" t="s">
        <v>58</v>
      </c>
      <c r="D438" s="8" t="str">
        <f t="shared" si="24"/>
        <v>17Uruguay</v>
      </c>
      <c r="E438" s="8">
        <v>1</v>
      </c>
      <c r="F438" s="8">
        <v>0.77632179999999995</v>
      </c>
      <c r="G438" s="8">
        <v>0.72088180000000002</v>
      </c>
      <c r="H438" s="8">
        <v>0.59674270000000007</v>
      </c>
      <c r="I438" s="8">
        <v>0.58059530000000004</v>
      </c>
      <c r="K438" s="8">
        <v>17</v>
      </c>
      <c r="L438" s="8" t="s">
        <v>58</v>
      </c>
      <c r="M438" s="8" t="str">
        <f t="shared" si="25"/>
        <v>17Uruguay</v>
      </c>
      <c r="N438" s="8">
        <v>1</v>
      </c>
      <c r="O438" s="8">
        <v>0.94500410000000001</v>
      </c>
      <c r="P438" s="8">
        <v>0.92556289999999997</v>
      </c>
      <c r="Q438" s="8">
        <v>0.82796309999999995</v>
      </c>
      <c r="R438" s="8">
        <v>0.50248280000000001</v>
      </c>
    </row>
    <row r="439" spans="2:18" ht="1" customHeight="1">
      <c r="B439" s="8">
        <v>18</v>
      </c>
      <c r="C439" s="8" t="s">
        <v>58</v>
      </c>
      <c r="D439" s="8" t="str">
        <f t="shared" si="24"/>
        <v>18Uruguay</v>
      </c>
      <c r="E439" s="8">
        <v>1</v>
      </c>
      <c r="F439" s="8">
        <v>0.76237049999999995</v>
      </c>
      <c r="G439" s="8">
        <v>0.68739249999999996</v>
      </c>
      <c r="H439" s="8">
        <v>0.50099620000000011</v>
      </c>
      <c r="I439" s="8">
        <v>0.48361920000000003</v>
      </c>
      <c r="K439" s="8">
        <v>18</v>
      </c>
      <c r="L439" s="8" t="s">
        <v>58</v>
      </c>
      <c r="M439" s="8" t="str">
        <f t="shared" si="25"/>
        <v>18Uruguay</v>
      </c>
      <c r="N439" s="8">
        <v>1</v>
      </c>
      <c r="O439" s="8">
        <v>0.94446470000000005</v>
      </c>
      <c r="P439" s="8">
        <v>0.92030080000000003</v>
      </c>
      <c r="Q439" s="8">
        <v>0.7500346</v>
      </c>
      <c r="R439" s="8">
        <v>0.49648639999999999</v>
      </c>
    </row>
    <row r="440" spans="2:18" ht="1" customHeight="1">
      <c r="B440" s="8">
        <v>19</v>
      </c>
      <c r="C440" s="8" t="s">
        <v>58</v>
      </c>
      <c r="D440" s="8" t="str">
        <f t="shared" si="24"/>
        <v>19Uruguay</v>
      </c>
      <c r="E440" s="8">
        <v>1</v>
      </c>
      <c r="F440" s="8">
        <v>0.74841919999999995</v>
      </c>
      <c r="G440" s="8">
        <v>0.65390309999999996</v>
      </c>
      <c r="H440" s="8">
        <v>0.40524960000000004</v>
      </c>
      <c r="I440" s="8">
        <v>0.38664300000000001</v>
      </c>
      <c r="K440" s="8">
        <v>19</v>
      </c>
      <c r="L440" s="8" t="s">
        <v>58</v>
      </c>
      <c r="M440" s="8" t="str">
        <f t="shared" si="25"/>
        <v>19Uruguay</v>
      </c>
      <c r="N440" s="8">
        <v>1</v>
      </c>
      <c r="O440" s="8">
        <v>0.94392540000000003</v>
      </c>
      <c r="P440" s="8">
        <v>0.91503869999999998</v>
      </c>
      <c r="Q440" s="8">
        <v>0.67210599999999998</v>
      </c>
      <c r="R440" s="8">
        <v>0.49048999999999998</v>
      </c>
    </row>
    <row r="441" spans="2:18" ht="1" customHeight="1">
      <c r="B441" s="8">
        <v>20</v>
      </c>
      <c r="C441" s="8" t="s">
        <v>58</v>
      </c>
      <c r="D441" s="8" t="str">
        <f t="shared" si="24"/>
        <v>20Uruguay</v>
      </c>
      <c r="E441" s="8">
        <v>1</v>
      </c>
      <c r="F441" s="8">
        <v>0.76208670000000001</v>
      </c>
      <c r="G441" s="8">
        <v>0.65892799999999996</v>
      </c>
      <c r="H441" s="8">
        <v>0.3359335</v>
      </c>
      <c r="I441" s="8">
        <v>0.3242738</v>
      </c>
      <c r="K441" s="8">
        <v>20</v>
      </c>
      <c r="L441" s="8" t="s">
        <v>58</v>
      </c>
      <c r="M441" s="8" t="str">
        <f t="shared" si="25"/>
        <v>20Uruguay</v>
      </c>
      <c r="N441" s="8">
        <v>1</v>
      </c>
      <c r="O441" s="8">
        <v>0.95048730000000003</v>
      </c>
      <c r="P441" s="8">
        <v>0.92052719999999999</v>
      </c>
      <c r="Q441" s="8">
        <v>0.61945459999999997</v>
      </c>
      <c r="R441" s="8">
        <v>0.47008450000000002</v>
      </c>
    </row>
    <row r="442" spans="2:18" ht="1" customHeight="1">
      <c r="B442" s="8">
        <v>21</v>
      </c>
      <c r="C442" s="8" t="s">
        <v>58</v>
      </c>
      <c r="D442" s="8" t="str">
        <f t="shared" si="24"/>
        <v>21Uruguay</v>
      </c>
      <c r="E442" s="8">
        <v>1</v>
      </c>
      <c r="F442" s="8">
        <v>0.77575419999999995</v>
      </c>
      <c r="G442" s="8">
        <v>0.66395280000000001</v>
      </c>
      <c r="H442" s="8">
        <v>0.26661750000000001</v>
      </c>
      <c r="I442" s="8">
        <v>0.26190469999999999</v>
      </c>
      <c r="K442" s="8">
        <v>21</v>
      </c>
      <c r="L442" s="8" t="s">
        <v>58</v>
      </c>
      <c r="M442" s="8" t="str">
        <f t="shared" si="25"/>
        <v>21Uruguay</v>
      </c>
      <c r="N442" s="8">
        <v>1</v>
      </c>
      <c r="O442" s="8">
        <v>0.95704929999999999</v>
      </c>
      <c r="P442" s="8">
        <v>0.92601560000000005</v>
      </c>
      <c r="Q442" s="8">
        <v>0.56680319999999995</v>
      </c>
      <c r="R442" s="8">
        <v>0.44967889999999999</v>
      </c>
    </row>
    <row r="443" spans="2:18" ht="1" customHeight="1">
      <c r="B443" s="8">
        <v>22</v>
      </c>
      <c r="C443" s="8" t="s">
        <v>58</v>
      </c>
      <c r="D443" s="8" t="str">
        <f t="shared" si="24"/>
        <v>22Uruguay</v>
      </c>
      <c r="E443" s="8">
        <v>1</v>
      </c>
      <c r="F443" s="8">
        <v>0.78733719999999996</v>
      </c>
      <c r="G443" s="8">
        <v>0.67555489999999996</v>
      </c>
      <c r="H443" s="8">
        <v>0.22752650000000002</v>
      </c>
      <c r="I443" s="8">
        <v>0.22609850000000001</v>
      </c>
      <c r="K443" s="8">
        <v>22</v>
      </c>
      <c r="L443" s="8" t="s">
        <v>58</v>
      </c>
      <c r="M443" s="8" t="str">
        <f t="shared" si="25"/>
        <v>22Uruguay</v>
      </c>
      <c r="N443" s="8">
        <v>1</v>
      </c>
      <c r="O443" s="8">
        <v>0.9572735</v>
      </c>
      <c r="P443" s="8">
        <v>0.92897090000000004</v>
      </c>
      <c r="Q443" s="8">
        <v>0.52759029999999996</v>
      </c>
      <c r="R443" s="8">
        <v>0.41773700000000002</v>
      </c>
    </row>
    <row r="444" spans="2:18" ht="1" customHeight="1">
      <c r="B444" s="8">
        <v>23</v>
      </c>
      <c r="C444" s="8" t="s">
        <v>58</v>
      </c>
      <c r="D444" s="8" t="str">
        <f t="shared" si="24"/>
        <v>23Uruguay</v>
      </c>
      <c r="E444" s="8">
        <v>1</v>
      </c>
      <c r="F444" s="8">
        <v>0.79892019999999997</v>
      </c>
      <c r="G444" s="8">
        <v>0.68715700000000002</v>
      </c>
      <c r="H444" s="8">
        <v>0.1902923</v>
      </c>
      <c r="I444" s="8">
        <v>0.1902923</v>
      </c>
      <c r="K444" s="8">
        <v>23</v>
      </c>
      <c r="L444" s="8" t="s">
        <v>58</v>
      </c>
      <c r="M444" s="8" t="str">
        <f t="shared" si="25"/>
        <v>23Uruguay</v>
      </c>
      <c r="N444" s="8">
        <v>1</v>
      </c>
      <c r="O444" s="8">
        <v>0.95749779999999995</v>
      </c>
      <c r="P444" s="8">
        <v>0.93192629999999999</v>
      </c>
      <c r="Q444" s="8">
        <v>0.48837740000000002</v>
      </c>
      <c r="R444" s="8">
        <v>0.3857951</v>
      </c>
    </row>
    <row r="445" spans="2:18" ht="1" customHeight="1">
      <c r="B445" s="8">
        <v>24</v>
      </c>
      <c r="C445" s="8" t="s">
        <v>58</v>
      </c>
      <c r="D445" s="8" t="str">
        <f t="shared" si="24"/>
        <v>24Uruguay</v>
      </c>
      <c r="E445" s="8">
        <v>1</v>
      </c>
      <c r="F445" s="8">
        <v>0.80095879999999997</v>
      </c>
      <c r="G445" s="8">
        <v>0.69245409999999996</v>
      </c>
      <c r="H445" s="8">
        <v>0.16767199999999999</v>
      </c>
      <c r="I445" s="8">
        <v>0.1675923</v>
      </c>
      <c r="K445" s="8">
        <v>24</v>
      </c>
      <c r="L445" s="8" t="s">
        <v>58</v>
      </c>
      <c r="M445" s="8" t="str">
        <f t="shared" si="25"/>
        <v>24Uruguay</v>
      </c>
      <c r="N445" s="8">
        <v>1</v>
      </c>
      <c r="O445" s="8">
        <v>0.95750469999999999</v>
      </c>
      <c r="P445" s="8">
        <v>0.93416739999999998</v>
      </c>
      <c r="Q445" s="8">
        <v>0.43846380000000001</v>
      </c>
      <c r="R445" s="8">
        <v>0.3423929</v>
      </c>
    </row>
    <row r="446" spans="2:18" ht="1" customHeight="1">
      <c r="B446" s="8">
        <v>25</v>
      </c>
      <c r="C446" s="8" t="s">
        <v>58</v>
      </c>
      <c r="D446" s="8" t="str">
        <f t="shared" si="24"/>
        <v>25Uruguay</v>
      </c>
      <c r="E446" s="8">
        <v>1</v>
      </c>
      <c r="F446" s="8">
        <v>0.80299750000000003</v>
      </c>
      <c r="G446" s="8">
        <v>0.69775120000000002</v>
      </c>
      <c r="H446" s="8">
        <v>0.1469086</v>
      </c>
      <c r="I446" s="8">
        <v>0.1448923</v>
      </c>
      <c r="K446" s="8">
        <v>25</v>
      </c>
      <c r="L446" s="8" t="s">
        <v>58</v>
      </c>
      <c r="M446" s="8" t="str">
        <f t="shared" si="25"/>
        <v>25Uruguay</v>
      </c>
      <c r="N446" s="8">
        <v>1</v>
      </c>
      <c r="O446" s="8">
        <v>0.95751169999999997</v>
      </c>
      <c r="P446" s="8">
        <v>0.93640840000000003</v>
      </c>
      <c r="Q446" s="8">
        <v>0.38855020000000001</v>
      </c>
      <c r="R446" s="8">
        <v>0.2989906</v>
      </c>
    </row>
    <row r="447" spans="2:18" ht="1" customHeight="1">
      <c r="B447" s="8">
        <v>26</v>
      </c>
      <c r="C447" s="8" t="s">
        <v>58</v>
      </c>
      <c r="D447" s="8" t="str">
        <f t="shared" si="24"/>
        <v>26Uruguay</v>
      </c>
      <c r="E447" s="8">
        <v>1</v>
      </c>
      <c r="F447" s="8">
        <v>0.80785099999999999</v>
      </c>
      <c r="G447" s="8">
        <v>0.70679639999999999</v>
      </c>
      <c r="H447" s="8">
        <v>0.12760029999999997</v>
      </c>
      <c r="I447" s="8">
        <v>0.12599959999999999</v>
      </c>
      <c r="K447" s="8">
        <v>26</v>
      </c>
      <c r="L447" s="8" t="s">
        <v>58</v>
      </c>
      <c r="M447" s="8" t="str">
        <f t="shared" si="25"/>
        <v>26Uruguay</v>
      </c>
      <c r="N447" s="8">
        <v>1</v>
      </c>
      <c r="O447" s="8">
        <v>0.95837559999999999</v>
      </c>
      <c r="P447" s="8">
        <v>0.9366795</v>
      </c>
      <c r="Q447" s="8">
        <v>0.33965529999999999</v>
      </c>
      <c r="R447" s="8">
        <v>0.25856580000000001</v>
      </c>
    </row>
    <row r="448" spans="2:18" ht="1" customHeight="1">
      <c r="B448" s="8">
        <v>27</v>
      </c>
      <c r="C448" s="8" t="s">
        <v>58</v>
      </c>
      <c r="D448" s="8" t="str">
        <f t="shared" si="24"/>
        <v>27Uruguay</v>
      </c>
      <c r="E448" s="8">
        <v>1</v>
      </c>
      <c r="F448" s="8">
        <v>0.81270439999999999</v>
      </c>
      <c r="G448" s="8">
        <v>0.71584170000000003</v>
      </c>
      <c r="H448" s="8">
        <v>0.10829180000000001</v>
      </c>
      <c r="I448" s="8">
        <v>0.1071068</v>
      </c>
      <c r="K448" s="8">
        <v>27</v>
      </c>
      <c r="L448" s="8" t="s">
        <v>58</v>
      </c>
      <c r="M448" s="8" t="str">
        <f t="shared" si="25"/>
        <v>27Uruguay</v>
      </c>
      <c r="N448" s="8">
        <v>1</v>
      </c>
      <c r="O448" s="8">
        <v>0.95923950000000002</v>
      </c>
      <c r="P448" s="8">
        <v>0.93695070000000003</v>
      </c>
      <c r="Q448" s="8">
        <v>0.29076049999999998</v>
      </c>
      <c r="R448" s="8">
        <v>0.218141</v>
      </c>
    </row>
    <row r="449" spans="2:18" ht="1" customHeight="1">
      <c r="B449" s="8">
        <v>28</v>
      </c>
      <c r="C449" s="8" t="s">
        <v>58</v>
      </c>
      <c r="D449" s="8" t="str">
        <f t="shared" si="24"/>
        <v>28Uruguay</v>
      </c>
      <c r="E449" s="8">
        <v>1</v>
      </c>
      <c r="F449" s="8">
        <v>0.81119949999999996</v>
      </c>
      <c r="G449" s="8">
        <v>0.72510220000000003</v>
      </c>
      <c r="H449" s="8">
        <v>8.9968599999999996E-2</v>
      </c>
      <c r="I449" s="8">
        <v>8.9968599999999996E-2</v>
      </c>
      <c r="K449" s="8">
        <v>28</v>
      </c>
      <c r="L449" s="8" t="s">
        <v>58</v>
      </c>
      <c r="M449" s="8" t="str">
        <f t="shared" si="25"/>
        <v>28Uruguay</v>
      </c>
      <c r="N449" s="8">
        <v>1</v>
      </c>
      <c r="O449" s="8">
        <v>0.95961839999999998</v>
      </c>
      <c r="P449" s="8">
        <v>0.93822589999999995</v>
      </c>
      <c r="Q449" s="8">
        <v>0.25398080000000001</v>
      </c>
      <c r="R449" s="8">
        <v>0.19177739999999999</v>
      </c>
    </row>
    <row r="450" spans="2:18" ht="1" customHeight="1">
      <c r="B450" s="8">
        <v>29</v>
      </c>
      <c r="C450" s="8" t="s">
        <v>58</v>
      </c>
      <c r="D450" s="8" t="str">
        <f t="shared" si="24"/>
        <v>29Uruguay</v>
      </c>
      <c r="E450" s="8">
        <v>1</v>
      </c>
      <c r="F450" s="8">
        <v>0.80969460000000004</v>
      </c>
      <c r="G450" s="8">
        <v>0.73436270000000003</v>
      </c>
      <c r="H450" s="8">
        <v>7.2830500000000006E-2</v>
      </c>
      <c r="I450" s="8">
        <v>7.2830500000000006E-2</v>
      </c>
      <c r="K450" s="8">
        <v>29</v>
      </c>
      <c r="L450" s="8" t="s">
        <v>58</v>
      </c>
      <c r="M450" s="8" t="str">
        <f t="shared" si="25"/>
        <v>29Uruguay</v>
      </c>
      <c r="N450" s="8">
        <v>1</v>
      </c>
      <c r="O450" s="8">
        <v>0.95999730000000005</v>
      </c>
      <c r="P450" s="8">
        <v>0.93950120000000004</v>
      </c>
      <c r="Q450" s="8">
        <v>0.21720120000000001</v>
      </c>
      <c r="R450" s="8">
        <v>0.1654138</v>
      </c>
    </row>
    <row r="451" spans="2:18" ht="1" customHeight="1">
      <c r="B451" s="8">
        <v>30</v>
      </c>
      <c r="C451" s="8" t="s">
        <v>58</v>
      </c>
      <c r="D451" s="8" t="str">
        <f t="shared" si="24"/>
        <v>30Uruguay</v>
      </c>
      <c r="E451" s="8">
        <v>1</v>
      </c>
      <c r="F451" s="8">
        <v>0.80928599999999995</v>
      </c>
      <c r="G451" s="8">
        <v>0.74478699999999998</v>
      </c>
      <c r="H451" s="8">
        <v>5.9956200000000001E-2</v>
      </c>
      <c r="I451" s="8">
        <v>5.9956200000000001E-2</v>
      </c>
      <c r="K451" s="8">
        <v>30</v>
      </c>
      <c r="L451" s="8" t="s">
        <v>58</v>
      </c>
      <c r="M451" s="8" t="str">
        <f t="shared" si="25"/>
        <v>30Uruguay</v>
      </c>
      <c r="N451" s="8">
        <v>1</v>
      </c>
      <c r="O451" s="8">
        <v>0.96504190000000001</v>
      </c>
      <c r="P451" s="8">
        <v>0.94621299999999997</v>
      </c>
      <c r="Q451" s="8">
        <v>0.1918531</v>
      </c>
      <c r="R451" s="8">
        <v>0.1468246</v>
      </c>
    </row>
    <row r="452" spans="2:18" ht="1" customHeight="1">
      <c r="B452" s="8">
        <v>31</v>
      </c>
      <c r="C452" s="8" t="s">
        <v>58</v>
      </c>
      <c r="D452" s="8" t="str">
        <f t="shared" si="24"/>
        <v>31Uruguay</v>
      </c>
      <c r="E452" s="8">
        <v>1</v>
      </c>
      <c r="F452" s="8">
        <v>0.80887730000000002</v>
      </c>
      <c r="G452" s="8">
        <v>0.75521119999999997</v>
      </c>
      <c r="H452" s="8">
        <v>4.7081900000000003E-2</v>
      </c>
      <c r="I452" s="8">
        <v>4.7081900000000003E-2</v>
      </c>
      <c r="K452" s="8">
        <v>31</v>
      </c>
      <c r="L452" s="8" t="s">
        <v>58</v>
      </c>
      <c r="M452" s="8" t="str">
        <f t="shared" si="25"/>
        <v>31Uruguay</v>
      </c>
      <c r="N452" s="8">
        <v>1</v>
      </c>
      <c r="O452" s="8">
        <v>0.97008649999999996</v>
      </c>
      <c r="P452" s="8">
        <v>0.95292480000000002</v>
      </c>
      <c r="Q452" s="8">
        <v>0.16650490000000001</v>
      </c>
      <c r="R452" s="8">
        <v>0.1282354</v>
      </c>
    </row>
    <row r="453" spans="2:18" ht="1" customHeight="1">
      <c r="B453" s="8">
        <v>32</v>
      </c>
      <c r="C453" s="8" t="s">
        <v>58</v>
      </c>
      <c r="D453" s="8" t="str">
        <f t="shared" si="24"/>
        <v>32Uruguay</v>
      </c>
      <c r="E453" s="8">
        <v>1</v>
      </c>
      <c r="F453" s="8">
        <v>0.81210009999999999</v>
      </c>
      <c r="G453" s="8">
        <v>0.75907460000000004</v>
      </c>
      <c r="H453" s="8">
        <v>3.7973899999999998E-2</v>
      </c>
      <c r="I453" s="8">
        <v>3.7973899999999998E-2</v>
      </c>
      <c r="K453" s="8">
        <v>32</v>
      </c>
      <c r="L453" s="8" t="s">
        <v>58</v>
      </c>
      <c r="M453" s="8" t="str">
        <f t="shared" si="25"/>
        <v>32Uruguay</v>
      </c>
      <c r="N453" s="8">
        <v>1</v>
      </c>
      <c r="O453" s="8">
        <v>0.97204860000000004</v>
      </c>
      <c r="P453" s="8">
        <v>0.95528849999999998</v>
      </c>
      <c r="Q453" s="8">
        <v>0.14628250000000001</v>
      </c>
      <c r="R453" s="8">
        <v>0.1130201</v>
      </c>
    </row>
    <row r="454" spans="2:18" ht="1" customHeight="1">
      <c r="B454" s="8">
        <v>33</v>
      </c>
      <c r="C454" s="8" t="s">
        <v>58</v>
      </c>
      <c r="D454" s="8" t="str">
        <f t="shared" si="24"/>
        <v>33Uruguay</v>
      </c>
      <c r="E454" s="8">
        <v>1</v>
      </c>
      <c r="F454" s="8">
        <v>0.81532280000000001</v>
      </c>
      <c r="G454" s="8">
        <v>0.76293800000000001</v>
      </c>
      <c r="H454" s="8">
        <v>2.88659E-2</v>
      </c>
      <c r="I454" s="8">
        <v>2.88659E-2</v>
      </c>
      <c r="K454" s="8">
        <v>33</v>
      </c>
      <c r="L454" s="8" t="s">
        <v>58</v>
      </c>
      <c r="M454" s="8" t="str">
        <f t="shared" si="25"/>
        <v>33Uruguay</v>
      </c>
      <c r="N454" s="8">
        <v>1</v>
      </c>
      <c r="O454" s="8">
        <v>0.97401090000000001</v>
      </c>
      <c r="P454" s="8">
        <v>0.95765210000000001</v>
      </c>
      <c r="Q454" s="8">
        <v>0.12606000000000001</v>
      </c>
      <c r="R454" s="8">
        <v>9.7804699999999994E-2</v>
      </c>
    </row>
    <row r="455" spans="2:18" ht="1" customHeight="1">
      <c r="B455" s="8">
        <v>34</v>
      </c>
      <c r="C455" s="8" t="s">
        <v>58</v>
      </c>
      <c r="D455" s="8" t="str">
        <f t="shared" si="24"/>
        <v>34Uruguay</v>
      </c>
      <c r="E455" s="8">
        <v>1</v>
      </c>
      <c r="F455" s="8">
        <v>0.80659369999999997</v>
      </c>
      <c r="G455" s="8">
        <v>0.75140580000000001</v>
      </c>
      <c r="H455" s="8">
        <v>2.61943E-2</v>
      </c>
      <c r="I455" s="8">
        <v>2.61943E-2</v>
      </c>
      <c r="K455" s="8">
        <v>34</v>
      </c>
      <c r="L455" s="8" t="s">
        <v>58</v>
      </c>
      <c r="M455" s="8" t="str">
        <f t="shared" si="25"/>
        <v>34Uruguay</v>
      </c>
      <c r="N455" s="8">
        <v>1</v>
      </c>
      <c r="O455" s="8">
        <v>0.96900209999999998</v>
      </c>
      <c r="P455" s="8">
        <v>0.95501610000000003</v>
      </c>
      <c r="Q455" s="8">
        <v>0.109556</v>
      </c>
      <c r="R455" s="8">
        <v>8.5614899999999994E-2</v>
      </c>
    </row>
    <row r="456" spans="2:18" ht="1" customHeight="1">
      <c r="B456" s="8">
        <v>35</v>
      </c>
      <c r="C456" s="8" t="s">
        <v>58</v>
      </c>
      <c r="D456" s="8" t="str">
        <f t="shared" si="24"/>
        <v>35Uruguay</v>
      </c>
      <c r="E456" s="8">
        <v>1</v>
      </c>
      <c r="F456" s="8">
        <v>0.79786460000000003</v>
      </c>
      <c r="G456" s="8">
        <v>0.73987360000000002</v>
      </c>
      <c r="H456" s="8">
        <v>2.35228E-2</v>
      </c>
      <c r="I456" s="8">
        <v>2.35228E-2</v>
      </c>
      <c r="K456" s="8">
        <v>35</v>
      </c>
      <c r="L456" s="8" t="s">
        <v>58</v>
      </c>
      <c r="M456" s="8" t="str">
        <f t="shared" si="25"/>
        <v>35Uruguay</v>
      </c>
      <c r="N456" s="8">
        <v>1</v>
      </c>
      <c r="O456" s="8">
        <v>0.96399330000000005</v>
      </c>
      <c r="P456" s="8">
        <v>0.95238020000000001</v>
      </c>
      <c r="Q456" s="8">
        <v>9.3052099999999999E-2</v>
      </c>
      <c r="R456" s="8">
        <v>7.3425000000000004E-2</v>
      </c>
    </row>
    <row r="457" spans="2:18" ht="1" customHeight="1">
      <c r="B457" s="8">
        <v>36</v>
      </c>
      <c r="C457" s="8" t="s">
        <v>58</v>
      </c>
      <c r="D457" s="8" t="str">
        <f t="shared" si="24"/>
        <v>36Uruguay</v>
      </c>
      <c r="E457" s="8">
        <v>1</v>
      </c>
      <c r="F457" s="8">
        <v>0.79384809999999995</v>
      </c>
      <c r="G457" s="8">
        <v>0.73225459999999998</v>
      </c>
      <c r="H457" s="8">
        <v>2.31366E-2</v>
      </c>
      <c r="I457" s="8">
        <v>2.26898E-2</v>
      </c>
      <c r="K457" s="8">
        <v>36</v>
      </c>
      <c r="L457" s="8" t="s">
        <v>58</v>
      </c>
      <c r="M457" s="8" t="str">
        <f t="shared" si="25"/>
        <v>36Uruguay</v>
      </c>
      <c r="N457" s="8">
        <v>1</v>
      </c>
      <c r="O457" s="8">
        <v>0.96062270000000005</v>
      </c>
      <c r="P457" s="8">
        <v>0.95130680000000001</v>
      </c>
      <c r="Q457" s="8">
        <v>8.2420999999999994E-2</v>
      </c>
      <c r="R457" s="8">
        <v>6.4461599999999994E-2</v>
      </c>
    </row>
    <row r="458" spans="2:18" ht="1" customHeight="1">
      <c r="B458" s="8">
        <v>37</v>
      </c>
      <c r="C458" s="8" t="s">
        <v>58</v>
      </c>
      <c r="D458" s="8" t="str">
        <f t="shared" si="24"/>
        <v>37Uruguay</v>
      </c>
      <c r="E458" s="8">
        <v>1</v>
      </c>
      <c r="F458" s="8">
        <v>0.78983159999999997</v>
      </c>
      <c r="G458" s="8">
        <v>0.72463569999999999</v>
      </c>
      <c r="H458" s="8">
        <v>2.3260299999999998E-2</v>
      </c>
      <c r="I458" s="8">
        <v>2.1856799999999999E-2</v>
      </c>
      <c r="K458" s="8">
        <v>37</v>
      </c>
      <c r="L458" s="8" t="s">
        <v>58</v>
      </c>
      <c r="M458" s="8" t="str">
        <f t="shared" si="25"/>
        <v>37Uruguay</v>
      </c>
      <c r="N458" s="8">
        <v>1</v>
      </c>
      <c r="O458" s="8">
        <v>0.95725210000000005</v>
      </c>
      <c r="P458" s="8">
        <v>0.95023329999999995</v>
      </c>
      <c r="Q458" s="8">
        <v>7.1789900000000004E-2</v>
      </c>
      <c r="R458" s="8">
        <v>5.5498199999999998E-2</v>
      </c>
    </row>
    <row r="459" spans="2:18" ht="1" customHeight="1">
      <c r="B459" s="8">
        <v>38</v>
      </c>
      <c r="C459" s="8" t="s">
        <v>58</v>
      </c>
      <c r="D459" s="8" t="str">
        <f t="shared" si="24"/>
        <v>38Uruguay</v>
      </c>
      <c r="E459" s="8">
        <v>1</v>
      </c>
      <c r="F459" s="8">
        <v>0.7982513</v>
      </c>
      <c r="G459" s="8">
        <v>0.73174329999999999</v>
      </c>
      <c r="H459" s="8">
        <v>1.8330900000000001E-2</v>
      </c>
      <c r="I459" s="8">
        <v>1.7773500000000001E-2</v>
      </c>
      <c r="K459" s="8">
        <v>38</v>
      </c>
      <c r="L459" s="8" t="s">
        <v>58</v>
      </c>
      <c r="M459" s="8" t="str">
        <f t="shared" si="25"/>
        <v>38Uruguay</v>
      </c>
      <c r="N459" s="8">
        <v>1</v>
      </c>
      <c r="O459" s="8">
        <v>0.95671450000000002</v>
      </c>
      <c r="P459" s="8">
        <v>0.94783640000000002</v>
      </c>
      <c r="Q459" s="8">
        <v>6.4269300000000001E-2</v>
      </c>
      <c r="R459" s="8">
        <v>4.9995400000000002E-2</v>
      </c>
    </row>
    <row r="460" spans="2:18" ht="1" customHeight="1">
      <c r="B460" s="8">
        <v>39</v>
      </c>
      <c r="C460" s="8" t="s">
        <v>58</v>
      </c>
      <c r="D460" s="8" t="str">
        <f t="shared" si="24"/>
        <v>39Uruguay</v>
      </c>
      <c r="E460" s="8">
        <v>1</v>
      </c>
      <c r="F460" s="8">
        <v>0.80667089999999997</v>
      </c>
      <c r="G460" s="8">
        <v>0.73885100000000004</v>
      </c>
      <c r="H460" s="8">
        <v>1.36901E-2</v>
      </c>
      <c r="I460" s="8">
        <v>1.36901E-2</v>
      </c>
      <c r="K460" s="8">
        <v>39</v>
      </c>
      <c r="L460" s="8" t="s">
        <v>58</v>
      </c>
      <c r="M460" s="8" t="str">
        <f t="shared" si="25"/>
        <v>39Uruguay</v>
      </c>
      <c r="N460" s="8">
        <v>1</v>
      </c>
      <c r="O460" s="8">
        <v>0.9561769</v>
      </c>
      <c r="P460" s="8">
        <v>0.94543949999999999</v>
      </c>
      <c r="Q460" s="8">
        <v>5.6748699999999999E-2</v>
      </c>
      <c r="R460" s="8">
        <v>4.4492499999999997E-2</v>
      </c>
    </row>
    <row r="461" spans="2:18" ht="1" customHeight="1">
      <c r="B461" s="8">
        <v>40</v>
      </c>
      <c r="C461" s="8" t="s">
        <v>58</v>
      </c>
      <c r="D461" s="8" t="str">
        <f t="shared" si="24"/>
        <v>40Uruguay</v>
      </c>
      <c r="E461" s="8">
        <v>1</v>
      </c>
      <c r="F461" s="8">
        <v>0.81957199999999997</v>
      </c>
      <c r="G461" s="8">
        <v>0.74890089999999998</v>
      </c>
      <c r="H461" s="8">
        <v>1.10927E-2</v>
      </c>
      <c r="I461" s="8">
        <v>1.10927E-2</v>
      </c>
      <c r="K461" s="8">
        <v>40</v>
      </c>
      <c r="L461" s="8" t="s">
        <v>58</v>
      </c>
      <c r="M461" s="8" t="str">
        <f t="shared" si="25"/>
        <v>40Uruguay</v>
      </c>
      <c r="N461" s="8">
        <v>1</v>
      </c>
      <c r="O461" s="8">
        <v>0.9523488</v>
      </c>
      <c r="P461" s="8">
        <v>0.94053379999999998</v>
      </c>
      <c r="Q461" s="8">
        <v>4.7484600000000002E-2</v>
      </c>
      <c r="R461" s="8">
        <v>3.8364599999999999E-2</v>
      </c>
    </row>
  </sheetData>
  <mergeCells count="19">
    <mergeCell ref="B20:P20"/>
    <mergeCell ref="E23:F23"/>
    <mergeCell ref="G23:H23"/>
    <mergeCell ref="I23:J23"/>
    <mergeCell ref="K23:L23"/>
    <mergeCell ref="M23:N23"/>
    <mergeCell ref="E22:P22"/>
    <mergeCell ref="B44:H44"/>
    <mergeCell ref="K44:Q44"/>
    <mergeCell ref="B91:H91"/>
    <mergeCell ref="K91:Q91"/>
    <mergeCell ref="O23:P23"/>
    <mergeCell ref="E32:P32"/>
    <mergeCell ref="E33:F33"/>
    <mergeCell ref="G33:H33"/>
    <mergeCell ref="I33:J33"/>
    <mergeCell ref="K33:L33"/>
    <mergeCell ref="M33:N33"/>
    <mergeCell ref="O33:P33"/>
  </mergeCells>
  <pageMargins left="0.7" right="0.7" top="0.75" bottom="0.75" header="0.3" footer="0.3"/>
  <pageSetup scale="82" fitToHeight="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62"/>
  <sheetViews>
    <sheetView zoomScaleNormal="100" zoomScaleSheetLayoutView="100" workbookViewId="0"/>
  </sheetViews>
  <sheetFormatPr defaultColWidth="8.81640625" defaultRowHeight="14.5"/>
  <cols>
    <col min="1" max="1" width="2.81640625" style="9" customWidth="1"/>
    <col min="2" max="16" width="8.81640625" style="9"/>
    <col min="17" max="17" width="3" style="9" customWidth="1"/>
    <col min="18" max="16384" width="8.81640625" style="9"/>
  </cols>
  <sheetData>
    <row r="1" spans="1:17">
      <c r="A1" s="1"/>
      <c r="B1" s="1"/>
      <c r="C1" s="1"/>
      <c r="D1" s="1"/>
      <c r="E1" s="1"/>
      <c r="F1" s="1"/>
      <c r="G1" s="1"/>
      <c r="H1" s="1"/>
      <c r="I1" s="1"/>
      <c r="J1" s="1"/>
      <c r="K1" s="1"/>
      <c r="L1" s="1"/>
      <c r="M1" s="1"/>
      <c r="N1" s="1"/>
      <c r="O1" s="1"/>
      <c r="P1" s="1"/>
      <c r="Q1" s="1"/>
    </row>
    <row r="2" spans="1:17" ht="17.5">
      <c r="A2" s="1"/>
      <c r="B2" s="3" t="s">
        <v>10</v>
      </c>
      <c r="C2" s="1"/>
      <c r="D2" s="1"/>
      <c r="E2" s="1"/>
      <c r="F2" s="1"/>
      <c r="G2" s="1"/>
      <c r="H2" s="1"/>
      <c r="I2" s="1"/>
      <c r="J2" s="1"/>
      <c r="K2" s="1"/>
      <c r="L2" s="1"/>
      <c r="M2" s="1"/>
      <c r="N2" s="1"/>
      <c r="O2" s="1"/>
      <c r="P2" s="1"/>
      <c r="Q2" s="1"/>
    </row>
    <row r="3" spans="1:17" ht="15" customHeight="1">
      <c r="A3" s="1"/>
      <c r="B3" s="1"/>
      <c r="C3" s="1"/>
      <c r="D3" s="1"/>
      <c r="E3" s="1"/>
      <c r="F3" s="1"/>
      <c r="G3" s="1"/>
      <c r="H3" s="1"/>
      <c r="I3" s="1"/>
      <c r="J3" s="1"/>
      <c r="K3" s="1"/>
      <c r="L3" s="1"/>
      <c r="M3" s="1"/>
      <c r="N3" s="1"/>
      <c r="O3" s="1"/>
      <c r="P3" s="1"/>
      <c r="Q3" s="1"/>
    </row>
    <row r="4" spans="1:17" ht="15" customHeight="1">
      <c r="A4" s="1"/>
      <c r="B4" s="1"/>
      <c r="C4" s="1"/>
      <c r="D4" s="1"/>
      <c r="E4" s="1"/>
      <c r="F4" s="1"/>
      <c r="G4" s="1"/>
      <c r="H4" s="1"/>
      <c r="I4" s="1"/>
      <c r="J4" s="1"/>
      <c r="K4" s="1"/>
      <c r="L4" s="1"/>
      <c r="M4" s="1"/>
      <c r="N4" s="1"/>
      <c r="O4" s="1"/>
      <c r="P4" s="1"/>
      <c r="Q4" s="1"/>
    </row>
    <row r="5" spans="1:17" ht="15" customHeight="1">
      <c r="A5" s="1"/>
      <c r="B5" s="1"/>
      <c r="C5" s="1"/>
      <c r="D5" s="1"/>
      <c r="E5" s="1"/>
      <c r="F5" s="1"/>
      <c r="G5" s="1"/>
      <c r="H5" s="1"/>
      <c r="I5" s="1"/>
      <c r="J5" s="1"/>
      <c r="K5" s="1"/>
      <c r="L5" s="1"/>
      <c r="M5" s="1"/>
      <c r="N5" s="1"/>
      <c r="O5" s="1"/>
      <c r="P5" s="1"/>
      <c r="Q5" s="1"/>
    </row>
    <row r="6" spans="1:17" ht="15" customHeight="1">
      <c r="A6" s="1"/>
      <c r="B6" s="1"/>
      <c r="C6" s="1"/>
      <c r="D6" s="1"/>
      <c r="E6" s="1"/>
      <c r="F6" s="1"/>
      <c r="G6" s="1"/>
      <c r="H6" s="1"/>
      <c r="I6" s="1"/>
      <c r="J6" s="1"/>
      <c r="K6" s="1"/>
      <c r="L6" s="1"/>
      <c r="M6" s="1"/>
      <c r="N6" s="1"/>
      <c r="O6" s="1"/>
      <c r="P6" s="1"/>
      <c r="Q6" s="1"/>
    </row>
    <row r="7" spans="1:17" ht="15" customHeight="1">
      <c r="A7" s="1"/>
      <c r="B7" s="1"/>
      <c r="C7" s="1"/>
      <c r="D7" s="1"/>
      <c r="E7" s="1"/>
      <c r="F7" s="1"/>
      <c r="G7" s="1"/>
      <c r="H7" s="1"/>
      <c r="I7" s="1"/>
      <c r="J7" s="1"/>
      <c r="K7" s="1"/>
      <c r="L7" s="1"/>
      <c r="M7" s="1"/>
      <c r="N7" s="1"/>
      <c r="O7" s="1"/>
      <c r="P7" s="1"/>
      <c r="Q7" s="1"/>
    </row>
    <row r="8" spans="1:17" ht="15" customHeight="1">
      <c r="A8" s="1"/>
      <c r="B8" s="1"/>
      <c r="C8" s="1"/>
      <c r="D8" s="1"/>
      <c r="E8" s="1"/>
      <c r="F8" s="1"/>
      <c r="G8" s="1"/>
      <c r="H8" s="1"/>
      <c r="I8" s="1"/>
      <c r="J8" s="1"/>
      <c r="K8" s="1"/>
      <c r="L8" s="1"/>
      <c r="M8" s="1"/>
      <c r="N8" s="1"/>
      <c r="O8" s="1"/>
      <c r="P8" s="1"/>
      <c r="Q8" s="1"/>
    </row>
    <row r="9" spans="1:17" ht="15" customHeight="1">
      <c r="A9" s="1"/>
      <c r="B9" s="1"/>
      <c r="C9" s="1"/>
      <c r="D9" s="1"/>
      <c r="E9" s="1"/>
      <c r="F9" s="1"/>
      <c r="G9" s="1"/>
      <c r="H9" s="1"/>
      <c r="I9" s="1"/>
      <c r="J9" s="1"/>
      <c r="K9" s="1"/>
      <c r="L9" s="1"/>
      <c r="M9" s="1"/>
      <c r="N9" s="1"/>
      <c r="O9" s="1"/>
      <c r="P9" s="1"/>
      <c r="Q9" s="1"/>
    </row>
    <row r="10" spans="1:17" ht="15" customHeight="1">
      <c r="A10" s="1"/>
      <c r="B10" s="1"/>
      <c r="C10" s="1"/>
      <c r="D10" s="1"/>
      <c r="E10" s="1"/>
      <c r="F10" s="1"/>
      <c r="G10" s="1"/>
      <c r="H10" s="1"/>
      <c r="I10" s="1"/>
      <c r="J10" s="1"/>
      <c r="K10" s="1"/>
      <c r="L10" s="1"/>
      <c r="M10" s="1"/>
      <c r="N10" s="1"/>
      <c r="O10" s="1"/>
      <c r="P10" s="1"/>
      <c r="Q10" s="1"/>
    </row>
    <row r="11" spans="1:17" ht="15" customHeight="1">
      <c r="A11" s="1"/>
      <c r="B11" s="1"/>
      <c r="C11" s="1"/>
      <c r="D11" s="1"/>
      <c r="E11" s="1"/>
      <c r="F11" s="1"/>
      <c r="G11" s="1"/>
      <c r="H11" s="1"/>
      <c r="I11" s="1"/>
      <c r="J11" s="1"/>
      <c r="K11" s="1"/>
      <c r="L11" s="1"/>
      <c r="M11" s="1"/>
      <c r="N11" s="1"/>
      <c r="O11" s="1"/>
      <c r="P11" s="1"/>
      <c r="Q11" s="1"/>
    </row>
    <row r="12" spans="1:17" ht="15" customHeight="1">
      <c r="A12" s="1"/>
      <c r="B12" s="1"/>
      <c r="C12" s="1"/>
      <c r="D12" s="1"/>
      <c r="E12" s="1"/>
      <c r="F12" s="1"/>
      <c r="G12" s="1"/>
      <c r="H12" s="1"/>
      <c r="I12" s="1"/>
      <c r="J12" s="1"/>
      <c r="K12" s="1"/>
      <c r="L12" s="1"/>
      <c r="M12" s="1"/>
      <c r="N12" s="1"/>
      <c r="O12" s="1"/>
      <c r="P12" s="1"/>
      <c r="Q12" s="1"/>
    </row>
    <row r="13" spans="1:17" ht="15" customHeight="1">
      <c r="A13" s="1"/>
      <c r="B13" s="1"/>
      <c r="C13" s="1"/>
      <c r="D13" s="1"/>
      <c r="E13" s="1"/>
      <c r="F13" s="1"/>
      <c r="G13" s="1"/>
      <c r="H13" s="1"/>
      <c r="I13" s="1"/>
      <c r="J13" s="1"/>
      <c r="K13" s="1"/>
      <c r="L13" s="1"/>
      <c r="M13" s="1"/>
      <c r="N13" s="1"/>
      <c r="O13" s="1"/>
      <c r="P13" s="1"/>
      <c r="Q13" s="1"/>
    </row>
    <row r="14" spans="1:17" ht="15" customHeight="1">
      <c r="A14" s="1"/>
      <c r="B14" s="1"/>
      <c r="C14" s="1"/>
      <c r="D14" s="1"/>
      <c r="E14" s="1"/>
      <c r="F14" s="1"/>
      <c r="G14" s="1"/>
      <c r="H14" s="1"/>
      <c r="I14" s="1"/>
      <c r="J14" s="1"/>
      <c r="K14" s="1"/>
      <c r="L14" s="1"/>
      <c r="M14" s="1"/>
      <c r="N14" s="1"/>
      <c r="O14" s="1"/>
      <c r="P14" s="1"/>
      <c r="Q14" s="1"/>
    </row>
    <row r="15" spans="1:17" ht="15" customHeight="1">
      <c r="A15" s="1"/>
      <c r="B15" s="1"/>
      <c r="C15" s="1"/>
      <c r="D15" s="1"/>
      <c r="E15" s="1"/>
      <c r="F15" s="1"/>
      <c r="G15" s="1"/>
      <c r="H15" s="1"/>
      <c r="I15" s="1"/>
      <c r="J15" s="1"/>
      <c r="K15" s="1"/>
      <c r="L15" s="1"/>
      <c r="M15" s="1"/>
      <c r="N15" s="1"/>
      <c r="O15" s="1"/>
      <c r="P15" s="1"/>
      <c r="Q15" s="1"/>
    </row>
    <row r="16" spans="1:17" ht="15" customHeight="1">
      <c r="A16" s="1"/>
      <c r="B16" s="1"/>
      <c r="C16" s="1"/>
      <c r="D16" s="1"/>
      <c r="E16" s="1"/>
      <c r="F16" s="1"/>
      <c r="G16" s="1"/>
      <c r="H16" s="1"/>
      <c r="I16" s="1"/>
      <c r="J16" s="1"/>
      <c r="K16" s="1"/>
      <c r="L16" s="1"/>
      <c r="M16" s="1"/>
      <c r="N16" s="1"/>
      <c r="O16" s="1"/>
      <c r="P16" s="1"/>
      <c r="Q16" s="1"/>
    </row>
    <row r="17" spans="1:17" ht="15" customHeight="1">
      <c r="A17" s="1"/>
      <c r="B17" s="1"/>
      <c r="C17" s="1"/>
      <c r="D17" s="1"/>
      <c r="E17" s="1"/>
      <c r="F17" s="1"/>
      <c r="G17" s="1"/>
      <c r="H17" s="1"/>
      <c r="I17" s="1"/>
      <c r="J17" s="1"/>
      <c r="K17" s="1"/>
      <c r="L17" s="1"/>
      <c r="M17" s="1"/>
      <c r="N17" s="1"/>
      <c r="O17" s="1"/>
      <c r="P17" s="1"/>
      <c r="Q17" s="1"/>
    </row>
    <row r="18" spans="1:17" ht="15" customHeight="1">
      <c r="A18" s="1"/>
      <c r="B18" s="1"/>
      <c r="C18" s="1"/>
      <c r="D18" s="1"/>
      <c r="E18" s="1"/>
      <c r="F18" s="1"/>
      <c r="G18" s="1"/>
      <c r="H18" s="1"/>
      <c r="I18" s="1"/>
      <c r="J18" s="1"/>
      <c r="K18" s="1"/>
      <c r="L18" s="1"/>
      <c r="M18" s="1"/>
      <c r="N18" s="1"/>
      <c r="O18" s="1"/>
      <c r="P18" s="1"/>
      <c r="Q18" s="1"/>
    </row>
    <row r="19" spans="1:17" ht="15" customHeight="1">
      <c r="A19" s="1"/>
      <c r="B19" s="1"/>
      <c r="C19" s="1"/>
      <c r="D19" s="1"/>
      <c r="E19" s="1"/>
      <c r="F19" s="1"/>
      <c r="G19" s="1"/>
      <c r="H19" s="1"/>
      <c r="I19" s="1"/>
      <c r="J19" s="1"/>
      <c r="K19" s="1"/>
      <c r="L19" s="1"/>
      <c r="M19" s="1"/>
      <c r="N19" s="1"/>
      <c r="O19" s="1"/>
      <c r="P19" s="1"/>
      <c r="Q19" s="1"/>
    </row>
    <row r="20" spans="1:17" ht="15" customHeight="1">
      <c r="A20" s="1"/>
      <c r="B20" s="1"/>
      <c r="C20" s="1"/>
      <c r="D20" s="1"/>
      <c r="E20" s="1"/>
      <c r="F20" s="1"/>
      <c r="G20" s="1"/>
      <c r="H20" s="1"/>
      <c r="I20" s="1"/>
      <c r="J20" s="1"/>
      <c r="K20" s="1"/>
      <c r="L20" s="1"/>
      <c r="M20" s="1"/>
      <c r="N20" s="1"/>
      <c r="O20" s="1"/>
      <c r="P20" s="1"/>
      <c r="Q20" s="1"/>
    </row>
    <row r="21" spans="1:17" ht="15" customHeight="1">
      <c r="A21" s="1"/>
      <c r="B21" s="1"/>
      <c r="C21" s="1"/>
      <c r="D21" s="1"/>
      <c r="E21" s="1"/>
      <c r="F21" s="1"/>
      <c r="G21" s="1"/>
      <c r="H21" s="1"/>
      <c r="I21" s="1"/>
      <c r="J21" s="1"/>
      <c r="K21" s="1"/>
      <c r="L21" s="1"/>
      <c r="M21" s="1"/>
      <c r="N21" s="1"/>
      <c r="O21" s="1"/>
      <c r="P21" s="1"/>
      <c r="Q21" s="1"/>
    </row>
    <row r="22" spans="1:17" ht="15" customHeight="1">
      <c r="A22" s="1"/>
      <c r="B22" s="1"/>
      <c r="C22" s="1"/>
      <c r="D22" s="1"/>
      <c r="E22" s="1"/>
      <c r="F22" s="1"/>
      <c r="G22" s="1"/>
      <c r="H22" s="1"/>
      <c r="I22" s="1"/>
      <c r="J22" s="1"/>
      <c r="K22" s="1"/>
      <c r="L22" s="1"/>
      <c r="M22" s="1"/>
      <c r="N22" s="1"/>
      <c r="O22" s="1"/>
      <c r="P22" s="1"/>
      <c r="Q22" s="1"/>
    </row>
    <row r="23" spans="1:17" ht="15" customHeight="1">
      <c r="A23" s="1"/>
      <c r="B23" s="1"/>
      <c r="C23" s="1"/>
      <c r="D23" s="1"/>
      <c r="E23" s="1"/>
      <c r="F23" s="1"/>
      <c r="G23" s="1"/>
      <c r="H23" s="1"/>
      <c r="I23" s="1"/>
      <c r="J23" s="1"/>
      <c r="K23" s="1"/>
      <c r="L23" s="1"/>
      <c r="M23" s="1"/>
      <c r="N23" s="1"/>
      <c r="O23" s="1"/>
      <c r="P23" s="1"/>
      <c r="Q23" s="1"/>
    </row>
    <row r="24" spans="1:17" ht="15" customHeight="1">
      <c r="A24" s="1"/>
      <c r="B24" s="1"/>
      <c r="C24" s="1"/>
      <c r="D24" s="1"/>
      <c r="E24" s="1"/>
      <c r="F24" s="1"/>
      <c r="G24" s="1"/>
      <c r="H24" s="1"/>
      <c r="I24" s="1"/>
      <c r="J24" s="1"/>
      <c r="K24" s="1"/>
      <c r="L24" s="1"/>
      <c r="M24" s="1"/>
      <c r="N24" s="1"/>
      <c r="O24" s="1"/>
      <c r="P24" s="1"/>
      <c r="Q24" s="1"/>
    </row>
    <row r="25" spans="1:17" ht="15" customHeight="1">
      <c r="A25" s="1"/>
      <c r="B25" s="1"/>
      <c r="C25" s="1"/>
      <c r="D25" s="1"/>
      <c r="E25" s="1"/>
      <c r="F25" s="1"/>
      <c r="G25" s="1"/>
      <c r="H25" s="1"/>
      <c r="I25" s="1"/>
      <c r="J25" s="1"/>
      <c r="K25" s="1"/>
      <c r="L25" s="1"/>
      <c r="M25" s="1"/>
      <c r="N25" s="1"/>
      <c r="O25" s="1"/>
      <c r="P25" s="1"/>
      <c r="Q25" s="1"/>
    </row>
    <row r="26" spans="1:17" ht="15" customHeight="1">
      <c r="A26" s="1"/>
      <c r="B26" s="1"/>
      <c r="C26" s="1"/>
      <c r="D26" s="1"/>
      <c r="E26" s="1"/>
      <c r="F26" s="1"/>
      <c r="G26" s="1"/>
      <c r="H26" s="1"/>
      <c r="I26" s="1"/>
      <c r="J26" s="1"/>
      <c r="K26" s="1"/>
      <c r="L26" s="1"/>
      <c r="M26" s="1"/>
      <c r="N26" s="1"/>
      <c r="O26" s="1"/>
      <c r="P26" s="1"/>
      <c r="Q26" s="1"/>
    </row>
    <row r="27" spans="1:17" ht="15" customHeight="1">
      <c r="A27" s="1"/>
      <c r="B27" s="1"/>
      <c r="C27" s="1"/>
      <c r="D27" s="1"/>
      <c r="E27" s="1"/>
      <c r="F27" s="1"/>
      <c r="G27" s="1"/>
      <c r="H27" s="1"/>
      <c r="I27" s="1"/>
      <c r="J27" s="1"/>
      <c r="K27" s="1"/>
      <c r="L27" s="1"/>
      <c r="M27" s="1"/>
      <c r="N27" s="1"/>
      <c r="O27" s="1"/>
      <c r="P27" s="1"/>
      <c r="Q27" s="1"/>
    </row>
    <row r="28" spans="1:17" ht="15" customHeight="1">
      <c r="A28" s="1"/>
      <c r="B28" s="1"/>
      <c r="C28" s="1"/>
      <c r="D28" s="1"/>
      <c r="E28" s="1"/>
      <c r="F28" s="1"/>
      <c r="G28" s="1"/>
      <c r="H28" s="1"/>
      <c r="I28" s="1"/>
      <c r="J28" s="1"/>
      <c r="K28" s="1"/>
      <c r="L28" s="1"/>
      <c r="M28" s="1"/>
      <c r="N28" s="1"/>
      <c r="O28" s="1"/>
      <c r="P28" s="1"/>
      <c r="Q28" s="1"/>
    </row>
    <row r="29" spans="1:17" ht="15" customHeight="1">
      <c r="A29" s="1"/>
      <c r="B29" s="1"/>
      <c r="C29" s="1"/>
      <c r="D29" s="1"/>
      <c r="E29" s="1"/>
      <c r="F29" s="1"/>
      <c r="G29" s="1"/>
      <c r="H29" s="1"/>
      <c r="I29" s="1"/>
      <c r="J29" s="1"/>
      <c r="K29" s="1"/>
      <c r="L29" s="1"/>
      <c r="M29" s="1"/>
      <c r="N29" s="1"/>
      <c r="O29" s="1"/>
      <c r="P29" s="1"/>
      <c r="Q29" s="1"/>
    </row>
    <row r="30" spans="1:17" ht="15" customHeight="1">
      <c r="A30" s="1"/>
      <c r="B30" s="1"/>
      <c r="C30" s="1"/>
      <c r="D30" s="1"/>
      <c r="E30" s="1"/>
      <c r="F30" s="1"/>
      <c r="G30" s="1"/>
      <c r="H30" s="1"/>
      <c r="I30" s="1"/>
      <c r="J30" s="1"/>
      <c r="K30" s="1"/>
      <c r="L30" s="1"/>
      <c r="M30" s="1"/>
      <c r="N30" s="1"/>
      <c r="O30" s="1"/>
      <c r="P30" s="1"/>
      <c r="Q30" s="1"/>
    </row>
    <row r="31" spans="1:17" ht="15" customHeight="1">
      <c r="A31" s="1"/>
      <c r="B31" s="1"/>
      <c r="C31" s="1"/>
      <c r="D31" s="1"/>
      <c r="E31" s="1"/>
      <c r="F31" s="1"/>
      <c r="G31" s="1"/>
      <c r="H31" s="1"/>
      <c r="I31" s="1"/>
      <c r="J31" s="1"/>
      <c r="K31" s="1"/>
      <c r="L31" s="1"/>
      <c r="M31" s="1"/>
      <c r="N31" s="1"/>
      <c r="O31" s="1"/>
      <c r="P31" s="1"/>
      <c r="Q31" s="1"/>
    </row>
    <row r="32" spans="1:17" ht="15" customHeight="1">
      <c r="A32" s="1"/>
      <c r="B32" s="1"/>
      <c r="C32" s="1"/>
      <c r="D32" s="1"/>
      <c r="E32" s="1"/>
      <c r="F32" s="1"/>
      <c r="G32" s="1"/>
      <c r="H32" s="1"/>
      <c r="I32" s="1"/>
      <c r="J32" s="1"/>
      <c r="K32" s="1"/>
      <c r="L32" s="1"/>
      <c r="M32" s="1"/>
      <c r="N32" s="1"/>
      <c r="O32" s="1"/>
      <c r="P32" s="1"/>
      <c r="Q32" s="1"/>
    </row>
    <row r="33" spans="1:17" ht="15" customHeight="1">
      <c r="A33" s="1"/>
      <c r="B33" s="1"/>
      <c r="C33" s="1"/>
      <c r="D33" s="1"/>
      <c r="E33" s="1"/>
      <c r="F33" s="1"/>
      <c r="G33" s="1"/>
      <c r="H33" s="1"/>
      <c r="I33" s="1"/>
      <c r="J33" s="1"/>
      <c r="K33" s="1"/>
      <c r="L33" s="1"/>
      <c r="M33" s="1"/>
      <c r="N33" s="1"/>
      <c r="O33" s="1"/>
      <c r="P33" s="1"/>
      <c r="Q33" s="1"/>
    </row>
    <row r="34" spans="1:17" ht="15" customHeight="1">
      <c r="A34" s="1"/>
      <c r="B34" s="1"/>
      <c r="C34" s="1"/>
      <c r="D34" s="1"/>
      <c r="E34" s="1"/>
      <c r="F34" s="1"/>
      <c r="G34" s="1"/>
      <c r="H34" s="1"/>
      <c r="I34" s="1"/>
      <c r="J34" s="1"/>
      <c r="K34" s="1"/>
      <c r="L34" s="1"/>
      <c r="M34" s="1"/>
      <c r="N34" s="1"/>
      <c r="O34" s="1"/>
      <c r="P34" s="1"/>
      <c r="Q34" s="1"/>
    </row>
    <row r="35" spans="1:17" ht="15" customHeight="1">
      <c r="A35" s="1"/>
      <c r="B35" s="1"/>
      <c r="C35" s="1"/>
      <c r="D35" s="1"/>
      <c r="E35" s="1"/>
      <c r="F35" s="1"/>
      <c r="G35" s="1"/>
      <c r="H35" s="1"/>
      <c r="I35" s="1"/>
      <c r="J35" s="1"/>
      <c r="K35" s="1"/>
      <c r="L35" s="1"/>
      <c r="M35" s="1"/>
      <c r="N35" s="1"/>
      <c r="O35" s="1"/>
      <c r="P35" s="1"/>
      <c r="Q35" s="1"/>
    </row>
    <row r="36" spans="1:17" ht="15" customHeight="1">
      <c r="A36" s="1"/>
      <c r="B36" s="1"/>
      <c r="C36" s="1"/>
      <c r="D36" s="1"/>
      <c r="E36" s="1"/>
      <c r="F36" s="1"/>
      <c r="G36" s="1"/>
      <c r="H36" s="1"/>
      <c r="I36" s="1"/>
      <c r="J36" s="1"/>
      <c r="K36" s="1"/>
      <c r="L36" s="1"/>
      <c r="M36" s="1"/>
      <c r="N36" s="1"/>
      <c r="O36" s="1"/>
      <c r="P36" s="1"/>
      <c r="Q36" s="1"/>
    </row>
    <row r="37" spans="1:17" ht="15" customHeight="1">
      <c r="A37" s="1"/>
      <c r="B37" s="1"/>
      <c r="C37" s="1"/>
      <c r="D37" s="1"/>
      <c r="E37" s="1"/>
      <c r="F37" s="1"/>
      <c r="G37" s="1"/>
      <c r="H37" s="1"/>
      <c r="I37" s="1"/>
      <c r="J37" s="1"/>
      <c r="K37" s="1"/>
      <c r="L37" s="1"/>
      <c r="M37" s="1"/>
      <c r="N37" s="1"/>
      <c r="O37" s="1"/>
      <c r="P37" s="1"/>
      <c r="Q37" s="1"/>
    </row>
    <row r="38" spans="1:17" ht="15" customHeight="1">
      <c r="A38" s="1"/>
      <c r="B38" s="1"/>
      <c r="C38" s="1"/>
      <c r="D38" s="1"/>
      <c r="E38" s="1"/>
      <c r="F38" s="1"/>
      <c r="G38" s="1"/>
      <c r="H38" s="1"/>
      <c r="I38" s="1"/>
      <c r="J38" s="1"/>
      <c r="K38" s="1"/>
      <c r="L38" s="1"/>
      <c r="M38" s="1"/>
      <c r="N38" s="1"/>
      <c r="O38" s="1"/>
      <c r="P38" s="1"/>
      <c r="Q38" s="1"/>
    </row>
    <row r="39" spans="1:17" ht="15" customHeight="1">
      <c r="A39" s="1"/>
      <c r="B39" s="1"/>
      <c r="C39" s="1"/>
      <c r="D39" s="1"/>
      <c r="E39" s="1"/>
      <c r="F39" s="1"/>
      <c r="G39" s="1"/>
      <c r="H39" s="1"/>
      <c r="I39" s="1"/>
      <c r="J39" s="1"/>
      <c r="K39" s="1"/>
      <c r="L39" s="1"/>
      <c r="M39" s="1"/>
      <c r="N39" s="1"/>
      <c r="O39" s="1"/>
      <c r="P39" s="1"/>
      <c r="Q39" s="1"/>
    </row>
    <row r="40" spans="1:17" ht="15" customHeight="1">
      <c r="A40" s="1"/>
      <c r="B40" s="1"/>
      <c r="C40" s="1"/>
      <c r="D40" s="1"/>
      <c r="E40" s="1"/>
      <c r="F40" s="1"/>
      <c r="G40" s="1"/>
      <c r="H40" s="1"/>
      <c r="I40" s="1"/>
      <c r="J40" s="1"/>
      <c r="K40" s="1"/>
      <c r="L40" s="1"/>
      <c r="M40" s="1"/>
      <c r="N40" s="1"/>
      <c r="O40" s="1"/>
      <c r="P40" s="1"/>
      <c r="Q40" s="1"/>
    </row>
    <row r="41" spans="1:17" ht="15" customHeight="1">
      <c r="A41" s="1"/>
      <c r="B41" s="1"/>
      <c r="C41" s="1"/>
      <c r="D41" s="1"/>
      <c r="E41" s="1"/>
      <c r="F41" s="1"/>
      <c r="G41" s="1"/>
      <c r="H41" s="1"/>
      <c r="I41" s="1"/>
      <c r="J41" s="1"/>
      <c r="K41" s="1"/>
      <c r="L41" s="1"/>
      <c r="M41" s="1"/>
      <c r="N41" s="1"/>
      <c r="O41" s="1"/>
      <c r="P41" s="1"/>
      <c r="Q41" s="1"/>
    </row>
    <row r="42" spans="1:17" ht="15" customHeight="1">
      <c r="A42" s="1"/>
      <c r="B42" s="1"/>
      <c r="C42" s="1"/>
      <c r="D42" s="1"/>
      <c r="E42" s="1"/>
      <c r="F42" s="1"/>
      <c r="G42" s="1"/>
      <c r="H42" s="1"/>
      <c r="I42" s="1"/>
      <c r="J42" s="1"/>
      <c r="K42" s="1"/>
      <c r="L42" s="1"/>
      <c r="M42" s="1"/>
      <c r="N42" s="1"/>
      <c r="O42" s="1"/>
      <c r="P42" s="1"/>
      <c r="Q42" s="1"/>
    </row>
    <row r="43" spans="1:17" ht="15" customHeight="1">
      <c r="A43" s="1"/>
      <c r="B43" s="1"/>
      <c r="C43" s="1"/>
      <c r="D43" s="1"/>
      <c r="E43" s="1"/>
      <c r="F43" s="1"/>
      <c r="G43" s="1"/>
      <c r="H43" s="1"/>
      <c r="I43" s="1"/>
      <c r="J43" s="1"/>
      <c r="K43" s="1"/>
      <c r="L43" s="1"/>
      <c r="M43" s="1"/>
      <c r="N43" s="1"/>
      <c r="O43" s="1"/>
      <c r="P43" s="1"/>
      <c r="Q43" s="1"/>
    </row>
    <row r="44" spans="1:17" ht="15" customHeight="1">
      <c r="A44" s="1"/>
      <c r="B44" s="1"/>
      <c r="C44" s="1"/>
      <c r="D44" s="1"/>
      <c r="E44" s="1"/>
      <c r="F44" s="1"/>
      <c r="G44" s="1"/>
      <c r="H44" s="1"/>
      <c r="I44" s="1"/>
      <c r="J44" s="1"/>
      <c r="K44" s="1"/>
      <c r="L44" s="1"/>
      <c r="M44" s="1"/>
      <c r="N44" s="1"/>
      <c r="O44" s="1"/>
      <c r="P44" s="1"/>
      <c r="Q44" s="1"/>
    </row>
    <row r="45" spans="1:17" ht="15" customHeight="1">
      <c r="A45" s="1"/>
      <c r="B45" s="1"/>
      <c r="C45" s="1"/>
      <c r="D45" s="1"/>
      <c r="E45" s="1"/>
      <c r="F45" s="1"/>
      <c r="G45" s="1"/>
      <c r="H45" s="1"/>
      <c r="I45" s="1"/>
      <c r="J45" s="1"/>
      <c r="K45" s="1"/>
      <c r="L45" s="1"/>
      <c r="M45" s="1"/>
      <c r="N45" s="1"/>
      <c r="O45" s="1"/>
      <c r="P45" s="1"/>
      <c r="Q45" s="1"/>
    </row>
    <row r="46" spans="1:17" ht="15" customHeight="1">
      <c r="A46" s="1"/>
      <c r="B46" s="1"/>
      <c r="C46" s="1"/>
      <c r="D46" s="1"/>
      <c r="E46" s="1"/>
      <c r="F46" s="1"/>
      <c r="G46" s="1"/>
      <c r="H46" s="1"/>
      <c r="I46" s="1"/>
      <c r="J46" s="1"/>
      <c r="K46" s="1"/>
      <c r="L46" s="1"/>
      <c r="M46" s="1"/>
      <c r="N46" s="1"/>
      <c r="O46" s="1"/>
      <c r="P46" s="1"/>
      <c r="Q46" s="1"/>
    </row>
    <row r="47" spans="1:17" ht="15" customHeight="1">
      <c r="A47" s="1"/>
      <c r="B47" s="1"/>
      <c r="C47" s="1"/>
      <c r="D47" s="1"/>
      <c r="E47" s="1"/>
      <c r="F47" s="1"/>
      <c r="G47" s="1"/>
      <c r="H47" s="1"/>
      <c r="I47" s="1"/>
      <c r="J47" s="1"/>
      <c r="K47" s="1"/>
      <c r="L47" s="1"/>
      <c r="M47" s="1"/>
      <c r="N47" s="1"/>
      <c r="O47" s="1"/>
      <c r="P47" s="1"/>
      <c r="Q47" s="1"/>
    </row>
    <row r="48" spans="1:17" ht="15" customHeight="1">
      <c r="A48" s="1"/>
      <c r="B48" s="1"/>
      <c r="C48" s="1"/>
      <c r="D48" s="1"/>
      <c r="E48" s="1"/>
      <c r="F48" s="1"/>
      <c r="G48" s="1"/>
      <c r="H48" s="1"/>
      <c r="I48" s="1"/>
      <c r="J48" s="1"/>
      <c r="K48" s="1"/>
      <c r="L48" s="1"/>
      <c r="M48" s="1"/>
      <c r="N48" s="1"/>
      <c r="O48" s="1"/>
      <c r="P48" s="1"/>
      <c r="Q48" s="1"/>
    </row>
    <row r="49" spans="1:17" ht="15" customHeight="1">
      <c r="A49" s="1"/>
      <c r="B49" s="1"/>
      <c r="C49" s="1"/>
      <c r="D49" s="1"/>
      <c r="E49" s="1"/>
      <c r="F49" s="1"/>
      <c r="G49" s="1"/>
      <c r="H49" s="1"/>
      <c r="I49" s="1"/>
      <c r="J49" s="1"/>
      <c r="K49" s="1"/>
      <c r="L49" s="1"/>
      <c r="M49" s="1"/>
      <c r="N49" s="1"/>
      <c r="O49" s="1"/>
      <c r="P49" s="1"/>
      <c r="Q49" s="1"/>
    </row>
    <row r="50" spans="1:17" ht="15" customHeight="1">
      <c r="A50" s="1"/>
      <c r="B50" s="1"/>
      <c r="C50" s="1"/>
      <c r="D50" s="1"/>
      <c r="E50" s="1"/>
      <c r="F50" s="1"/>
      <c r="G50" s="1"/>
      <c r="H50" s="1"/>
      <c r="I50" s="1"/>
      <c r="J50" s="1"/>
      <c r="K50" s="1"/>
      <c r="L50" s="1"/>
      <c r="M50" s="1"/>
      <c r="N50" s="1"/>
      <c r="O50" s="1"/>
      <c r="P50" s="1"/>
      <c r="Q50" s="1"/>
    </row>
    <row r="51" spans="1:17" ht="15" customHeight="1">
      <c r="A51" s="1"/>
      <c r="B51" s="1"/>
      <c r="C51" s="1"/>
      <c r="D51" s="1"/>
      <c r="E51" s="1"/>
      <c r="F51" s="1"/>
      <c r="G51" s="1"/>
      <c r="H51" s="1"/>
      <c r="I51" s="1"/>
      <c r="J51" s="1"/>
      <c r="K51" s="1"/>
      <c r="L51" s="1"/>
      <c r="M51" s="1"/>
      <c r="N51" s="1"/>
      <c r="O51" s="1"/>
      <c r="P51" s="1"/>
      <c r="Q51" s="1"/>
    </row>
    <row r="52" spans="1:17" ht="15" customHeight="1">
      <c r="A52" s="1"/>
      <c r="B52" s="1"/>
      <c r="C52" s="1"/>
      <c r="D52" s="1"/>
      <c r="E52" s="1"/>
      <c r="F52" s="1"/>
      <c r="G52" s="1"/>
      <c r="H52" s="1"/>
      <c r="I52" s="1"/>
      <c r="J52" s="1"/>
      <c r="K52" s="1"/>
      <c r="L52" s="1"/>
      <c r="M52" s="1"/>
      <c r="N52" s="1"/>
      <c r="O52" s="1"/>
      <c r="P52" s="1"/>
      <c r="Q52" s="1"/>
    </row>
    <row r="53" spans="1:17" ht="15" customHeight="1">
      <c r="A53" s="1"/>
      <c r="B53" s="1"/>
      <c r="C53" s="1"/>
      <c r="D53" s="1"/>
      <c r="E53" s="1"/>
      <c r="F53" s="1"/>
      <c r="G53" s="1"/>
      <c r="H53" s="1"/>
      <c r="I53" s="1"/>
      <c r="J53" s="1"/>
      <c r="K53" s="1"/>
      <c r="L53" s="1"/>
      <c r="M53" s="1"/>
      <c r="N53" s="1"/>
      <c r="O53" s="1"/>
      <c r="P53" s="1"/>
      <c r="Q53" s="1"/>
    </row>
    <row r="54" spans="1:17" ht="15" customHeight="1">
      <c r="A54" s="1"/>
      <c r="B54" s="1"/>
      <c r="C54" s="1"/>
      <c r="D54" s="1"/>
      <c r="E54" s="1"/>
      <c r="F54" s="1"/>
      <c r="G54" s="1"/>
      <c r="H54" s="1"/>
      <c r="I54" s="1"/>
      <c r="J54" s="1"/>
      <c r="K54" s="1"/>
      <c r="L54" s="1"/>
      <c r="M54" s="1"/>
      <c r="N54" s="1"/>
      <c r="O54" s="1"/>
      <c r="P54" s="1"/>
      <c r="Q54" s="1"/>
    </row>
    <row r="55" spans="1:17" ht="15" customHeight="1">
      <c r="A55" s="1"/>
      <c r="B55" s="1"/>
      <c r="C55" s="1"/>
      <c r="D55" s="1"/>
      <c r="E55" s="1"/>
      <c r="F55" s="1"/>
      <c r="G55" s="1"/>
      <c r="H55" s="1"/>
      <c r="I55" s="1"/>
      <c r="J55" s="1"/>
      <c r="K55" s="1"/>
      <c r="L55" s="1"/>
      <c r="M55" s="1"/>
      <c r="N55" s="1"/>
      <c r="O55" s="1"/>
      <c r="P55" s="1"/>
      <c r="Q55" s="1"/>
    </row>
    <row r="56" spans="1:17" ht="15" customHeight="1">
      <c r="A56" s="1"/>
      <c r="B56" s="1"/>
      <c r="C56" s="1"/>
      <c r="D56" s="1"/>
      <c r="E56" s="1"/>
      <c r="F56" s="1"/>
      <c r="G56" s="1"/>
      <c r="H56" s="1"/>
      <c r="I56" s="1"/>
      <c r="J56" s="1"/>
      <c r="K56" s="1"/>
      <c r="L56" s="1"/>
      <c r="M56" s="1"/>
      <c r="N56" s="1"/>
      <c r="O56" s="1"/>
      <c r="P56" s="1"/>
      <c r="Q56" s="1"/>
    </row>
    <row r="57" spans="1:17" ht="15" customHeight="1">
      <c r="A57" s="1"/>
      <c r="B57" s="1"/>
      <c r="C57" s="1"/>
      <c r="D57" s="1"/>
      <c r="E57" s="1"/>
      <c r="F57" s="1"/>
      <c r="G57" s="1"/>
      <c r="H57" s="1"/>
      <c r="I57" s="1"/>
      <c r="J57" s="1"/>
      <c r="K57" s="1"/>
      <c r="L57" s="1"/>
      <c r="M57" s="1"/>
      <c r="N57" s="1"/>
      <c r="O57" s="1"/>
      <c r="P57" s="1"/>
      <c r="Q57" s="1"/>
    </row>
    <row r="58" spans="1:17" ht="15" customHeight="1">
      <c r="A58" s="1"/>
      <c r="B58" s="1"/>
      <c r="C58" s="1"/>
      <c r="D58" s="1"/>
      <c r="E58" s="1"/>
      <c r="F58" s="1"/>
      <c r="G58" s="1"/>
      <c r="H58" s="1"/>
      <c r="I58" s="1"/>
      <c r="J58" s="1"/>
      <c r="K58" s="1"/>
      <c r="L58" s="1"/>
      <c r="M58" s="1"/>
      <c r="N58" s="1"/>
      <c r="O58" s="1"/>
      <c r="P58" s="1"/>
      <c r="Q58" s="1"/>
    </row>
    <row r="59" spans="1:17" ht="15" customHeight="1">
      <c r="A59" s="1"/>
      <c r="B59" s="1"/>
      <c r="C59" s="1"/>
      <c r="D59" s="1"/>
      <c r="E59" s="1"/>
      <c r="F59" s="1"/>
      <c r="G59" s="1"/>
      <c r="H59" s="1"/>
      <c r="I59" s="1"/>
      <c r="J59" s="1"/>
      <c r="K59" s="1"/>
      <c r="L59" s="1"/>
      <c r="M59" s="1"/>
      <c r="N59" s="1"/>
      <c r="O59" s="1"/>
      <c r="P59" s="1"/>
      <c r="Q59" s="1"/>
    </row>
    <row r="60" spans="1:17" ht="15" customHeight="1">
      <c r="A60" s="1"/>
      <c r="B60" s="1"/>
      <c r="C60" s="1"/>
      <c r="D60" s="1"/>
      <c r="E60" s="1"/>
      <c r="F60" s="1"/>
      <c r="G60" s="1"/>
      <c r="H60" s="1"/>
      <c r="I60" s="1"/>
      <c r="J60" s="1"/>
      <c r="K60" s="1"/>
      <c r="L60" s="1"/>
      <c r="M60" s="1"/>
      <c r="N60" s="1"/>
      <c r="O60" s="1"/>
      <c r="P60" s="1"/>
      <c r="Q60" s="1"/>
    </row>
    <row r="61" spans="1:17" ht="15" customHeight="1">
      <c r="A61" s="1"/>
      <c r="B61" s="1"/>
      <c r="C61" s="1"/>
      <c r="D61" s="1"/>
      <c r="E61" s="1"/>
      <c r="F61" s="1"/>
      <c r="G61" s="1"/>
      <c r="H61" s="1"/>
      <c r="I61" s="1"/>
      <c r="J61" s="1"/>
      <c r="K61" s="1"/>
      <c r="L61" s="1"/>
      <c r="M61" s="1"/>
      <c r="N61" s="1"/>
      <c r="O61" s="1"/>
      <c r="P61" s="1"/>
      <c r="Q61" s="1"/>
    </row>
    <row r="62" spans="1:17" ht="15" customHeight="1">
      <c r="A62" s="1"/>
      <c r="B62" s="1"/>
      <c r="C62" s="1"/>
      <c r="D62" s="1"/>
      <c r="E62" s="1"/>
      <c r="F62" s="1"/>
      <c r="G62" s="1"/>
      <c r="H62" s="1"/>
      <c r="I62" s="1"/>
      <c r="J62" s="1"/>
      <c r="K62" s="1"/>
      <c r="L62" s="1"/>
      <c r="M62" s="1"/>
      <c r="N62" s="1"/>
      <c r="O62" s="1"/>
      <c r="P62" s="1"/>
      <c r="Q62" s="1"/>
    </row>
    <row r="63" spans="1:17" ht="155.25" customHeight="1" thickBot="1">
      <c r="A63" s="84"/>
      <c r="B63" s="409" t="s">
        <v>11</v>
      </c>
      <c r="C63" s="409"/>
      <c r="D63" s="409"/>
      <c r="E63" s="409"/>
      <c r="F63" s="409"/>
      <c r="G63" s="409"/>
      <c r="H63" s="409"/>
      <c r="I63" s="409"/>
      <c r="J63" s="409"/>
      <c r="K63" s="409"/>
      <c r="L63" s="409"/>
      <c r="M63" s="409"/>
      <c r="N63" s="409"/>
      <c r="O63" s="409"/>
      <c r="P63" s="409"/>
      <c r="Q63" s="84"/>
    </row>
    <row r="64" spans="1:17" ht="18.75" customHeight="1" thickTop="1">
      <c r="A64" s="1"/>
      <c r="B64" s="77"/>
      <c r="C64" s="77"/>
      <c r="D64" s="77"/>
      <c r="E64" s="77"/>
      <c r="F64" s="77"/>
      <c r="G64" s="77"/>
      <c r="H64" s="77"/>
      <c r="I64" s="77"/>
      <c r="J64" s="77"/>
      <c r="K64" s="77"/>
      <c r="L64" s="77"/>
      <c r="M64" s="77"/>
      <c r="N64" s="77"/>
      <c r="O64" s="77"/>
      <c r="P64" s="77"/>
      <c r="Q64" s="1"/>
    </row>
    <row r="65" spans="1:21" s="54" customFormat="1" ht="18.75" customHeight="1">
      <c r="A65" s="53"/>
      <c r="B65" s="103"/>
      <c r="C65" s="103"/>
      <c r="D65" s="419" t="s">
        <v>14</v>
      </c>
      <c r="E65" s="419"/>
      <c r="F65" s="420"/>
      <c r="G65" s="421" t="s">
        <v>15</v>
      </c>
      <c r="H65" s="419"/>
      <c r="I65" s="420"/>
      <c r="J65" s="421" t="s">
        <v>16</v>
      </c>
      <c r="K65" s="419"/>
      <c r="L65" s="420"/>
      <c r="M65" s="422" t="s">
        <v>13</v>
      </c>
      <c r="N65" s="422"/>
      <c r="O65" s="422"/>
      <c r="P65" s="103"/>
      <c r="Q65" s="53"/>
    </row>
    <row r="66" spans="1:21" s="54" customFormat="1" ht="18.75" customHeight="1">
      <c r="A66" s="53"/>
      <c r="B66" s="106"/>
      <c r="C66" s="106"/>
      <c r="D66" s="107">
        <v>1900</v>
      </c>
      <c r="E66" s="107">
        <v>1950</v>
      </c>
      <c r="F66" s="108">
        <v>2010</v>
      </c>
      <c r="G66" s="111">
        <v>1900</v>
      </c>
      <c r="H66" s="107">
        <v>1950</v>
      </c>
      <c r="I66" s="108">
        <v>2010</v>
      </c>
      <c r="J66" s="111">
        <v>1900</v>
      </c>
      <c r="K66" s="107">
        <v>1950</v>
      </c>
      <c r="L66" s="108">
        <v>2010</v>
      </c>
      <c r="M66" s="107">
        <v>1900</v>
      </c>
      <c r="N66" s="107">
        <v>1950</v>
      </c>
      <c r="O66" s="107">
        <v>2010</v>
      </c>
      <c r="P66" s="103"/>
      <c r="Q66" s="53"/>
    </row>
    <row r="67" spans="1:21" s="54" customFormat="1" ht="18.75" customHeight="1">
      <c r="A67" s="53"/>
      <c r="B67" s="102" t="s">
        <v>19</v>
      </c>
      <c r="C67" s="103"/>
      <c r="D67" s="109">
        <f>D101</f>
        <v>100</v>
      </c>
      <c r="E67" s="109">
        <f t="shared" ref="E67:F69" si="0">D67+E101</f>
        <v>100</v>
      </c>
      <c r="F67" s="110">
        <f t="shared" si="0"/>
        <v>100</v>
      </c>
      <c r="G67" s="112">
        <f>D107</f>
        <v>17.2</v>
      </c>
      <c r="H67" s="109">
        <f t="shared" ref="H67:I69" si="1">E107+G67</f>
        <v>28.8</v>
      </c>
      <c r="I67" s="110">
        <f t="shared" si="1"/>
        <v>87</v>
      </c>
      <c r="J67" s="112">
        <f>D113</f>
        <v>1.9</v>
      </c>
      <c r="K67" s="109">
        <f t="shared" ref="K67:L69" si="2">E113+J67</f>
        <v>10.5</v>
      </c>
      <c r="L67" s="110">
        <f t="shared" si="2"/>
        <v>93</v>
      </c>
      <c r="M67" s="105">
        <f>R79</f>
        <v>6.38</v>
      </c>
      <c r="N67" s="105">
        <f>R84</f>
        <v>8.74</v>
      </c>
      <c r="O67" s="105">
        <f>R90</f>
        <v>13.24</v>
      </c>
      <c r="P67" s="103"/>
      <c r="Q67" s="53"/>
    </row>
    <row r="68" spans="1:21" s="54" customFormat="1" ht="18.75" customHeight="1">
      <c r="A68" s="53"/>
      <c r="B68" s="102" t="s">
        <v>18</v>
      </c>
      <c r="C68" s="103"/>
      <c r="D68" s="109">
        <f>D102</f>
        <v>73.400000000000006</v>
      </c>
      <c r="E68" s="109">
        <f t="shared" si="0"/>
        <v>94.1</v>
      </c>
      <c r="F68" s="110">
        <f t="shared" si="0"/>
        <v>99.1</v>
      </c>
      <c r="G68" s="112">
        <f>D108</f>
        <v>2.6</v>
      </c>
      <c r="H68" s="109">
        <f t="shared" si="1"/>
        <v>23.4</v>
      </c>
      <c r="I68" s="110">
        <f t="shared" si="1"/>
        <v>97.5</v>
      </c>
      <c r="J68" s="112">
        <f>D114</f>
        <v>0.6</v>
      </c>
      <c r="K68" s="109">
        <f t="shared" si="2"/>
        <v>3</v>
      </c>
      <c r="L68" s="110">
        <f t="shared" si="2"/>
        <v>68.2</v>
      </c>
      <c r="M68" s="105">
        <f>Q79</f>
        <v>2.81</v>
      </c>
      <c r="N68" s="105">
        <f>Q84</f>
        <v>6.03</v>
      </c>
      <c r="O68" s="105">
        <f>Q90</f>
        <v>11.52</v>
      </c>
      <c r="P68" s="103"/>
      <c r="Q68" s="53"/>
    </row>
    <row r="69" spans="1:21" s="54" customFormat="1" ht="18.75" customHeight="1">
      <c r="A69" s="53"/>
      <c r="B69" s="102" t="str">
        <f>F120</f>
        <v>Panama</v>
      </c>
      <c r="C69" s="103"/>
      <c r="D69" s="109">
        <f>D103</f>
        <v>20.087491037344396</v>
      </c>
      <c r="E69" s="109">
        <f t="shared" si="0"/>
        <v>73.790783402489623</v>
      </c>
      <c r="F69" s="110">
        <f t="shared" si="0"/>
        <v>98.797659999999993</v>
      </c>
      <c r="G69" s="112">
        <f>D109</f>
        <v>0</v>
      </c>
      <c r="H69" s="109">
        <f t="shared" si="1"/>
        <v>15.415992826747722</v>
      </c>
      <c r="I69" s="110">
        <f t="shared" si="1"/>
        <v>81.804220000000001</v>
      </c>
      <c r="J69" s="112">
        <f>D115</f>
        <v>0</v>
      </c>
      <c r="K69" s="109">
        <f t="shared" si="2"/>
        <v>0.83979225000000002</v>
      </c>
      <c r="L69" s="110">
        <f t="shared" si="2"/>
        <v>33.59169</v>
      </c>
      <c r="M69" s="105">
        <f>S79</f>
        <v>0.87392304012345678</v>
      </c>
      <c r="N69" s="105">
        <f>S84</f>
        <v>3.9789201944444446</v>
      </c>
      <c r="O69" s="105">
        <f>S90</f>
        <v>9.9935670000000005</v>
      </c>
      <c r="P69" s="103"/>
      <c r="Q69" s="53"/>
    </row>
    <row r="70" spans="1:21" s="54" customFormat="1" ht="18.75" customHeight="1">
      <c r="A70" s="53"/>
      <c r="B70" s="102" t="s">
        <v>60</v>
      </c>
      <c r="C70" s="103"/>
      <c r="D70" s="109">
        <f>E85</f>
        <v>31.05411296653061</v>
      </c>
      <c r="E70" s="109">
        <f>E90</f>
        <v>63.778858592653066</v>
      </c>
      <c r="F70" s="110">
        <f>E96</f>
        <v>96.307059199999998</v>
      </c>
      <c r="G70" s="112">
        <f>I85</f>
        <v>0.48840876923076942</v>
      </c>
      <c r="H70" s="109">
        <f>I90</f>
        <v>5.5678599692307715</v>
      </c>
      <c r="I70" s="110">
        <f>I96</f>
        <v>76.19176800000001</v>
      </c>
      <c r="J70" s="112">
        <f>M85</f>
        <v>8.6909528E-2</v>
      </c>
      <c r="K70" s="109">
        <f>M90</f>
        <v>0.78218575199999996</v>
      </c>
      <c r="L70" s="110">
        <f>M96</f>
        <v>34.763811200000006</v>
      </c>
      <c r="M70" s="105">
        <f>U79</f>
        <v>0.96358992214910621</v>
      </c>
      <c r="N70" s="105">
        <f>U84</f>
        <v>3.1838005251060615</v>
      </c>
      <c r="O70" s="105">
        <f>U90</f>
        <v>8.8489507500000002</v>
      </c>
      <c r="P70" s="103"/>
      <c r="Q70" s="53"/>
    </row>
    <row r="71" spans="1:21" s="54" customFormat="1" ht="18.75" customHeight="1">
      <c r="A71" s="53"/>
      <c r="B71" s="102" t="s">
        <v>21</v>
      </c>
      <c r="C71" s="103"/>
      <c r="D71" s="109">
        <f>D105</f>
        <v>19.3</v>
      </c>
      <c r="E71" s="109">
        <f>D71+E105</f>
        <v>68.599999999999994</v>
      </c>
      <c r="F71" s="110">
        <f>E71+F105</f>
        <v>98.4</v>
      </c>
      <c r="G71" s="112">
        <f>D111</f>
        <v>0.7</v>
      </c>
      <c r="H71" s="109">
        <f>E111+G71</f>
        <v>6.4</v>
      </c>
      <c r="I71" s="110">
        <f>F111+H71</f>
        <v>79.8</v>
      </c>
      <c r="J71" s="112">
        <f>D117</f>
        <v>0.1</v>
      </c>
      <c r="K71" s="109">
        <f>E117+J71</f>
        <v>1.8</v>
      </c>
      <c r="L71" s="110">
        <f>F117+K71</f>
        <v>43.1</v>
      </c>
      <c r="M71" s="105">
        <f>T79</f>
        <v>0.69</v>
      </c>
      <c r="N71" s="105">
        <f>T84</f>
        <v>2.68</v>
      </c>
      <c r="O71" s="105">
        <f>T90</f>
        <v>9.26</v>
      </c>
      <c r="P71" s="103"/>
      <c r="Q71" s="53"/>
    </row>
    <row r="72" spans="1:21" s="54" customFormat="1" ht="18.75" customHeight="1">
      <c r="A72" s="53"/>
      <c r="B72" s="103"/>
      <c r="C72" s="103"/>
      <c r="D72" s="103"/>
      <c r="E72" s="103"/>
      <c r="F72" s="103"/>
      <c r="G72" s="103"/>
      <c r="H72" s="103"/>
      <c r="I72" s="103"/>
      <c r="J72" s="103"/>
      <c r="K72" s="103"/>
      <c r="L72" s="103"/>
      <c r="M72" s="103"/>
      <c r="N72" s="103"/>
      <c r="O72" s="103"/>
      <c r="P72" s="103"/>
      <c r="Q72" s="53"/>
    </row>
    <row r="73" spans="1:21" ht="15" customHeight="1"/>
    <row r="74" spans="1:21" ht="15" customHeight="1"/>
    <row r="75" spans="1:21" ht="15" customHeight="1"/>
    <row r="76" spans="1:21" ht="15" customHeight="1"/>
    <row r="77" spans="1:21" ht="1" customHeight="1">
      <c r="B77" s="418" t="s">
        <v>12</v>
      </c>
      <c r="C77" s="418"/>
      <c r="D77" s="418"/>
      <c r="E77" s="418"/>
      <c r="F77" s="418"/>
      <c r="G77" s="418"/>
      <c r="H77" s="418"/>
      <c r="I77" s="418"/>
      <c r="J77" s="418"/>
      <c r="K77" s="418"/>
      <c r="L77" s="418"/>
      <c r="M77" s="418"/>
      <c r="N77" s="418"/>
      <c r="P77" s="418" t="s">
        <v>13</v>
      </c>
      <c r="Q77" s="418"/>
      <c r="R77" s="418"/>
      <c r="S77" s="418"/>
      <c r="T77" s="418"/>
    </row>
    <row r="78" spans="1:21" ht="1" customHeight="1">
      <c r="B78" s="10"/>
      <c r="C78" s="418" t="s">
        <v>14</v>
      </c>
      <c r="D78" s="418"/>
      <c r="E78" s="418"/>
      <c r="F78" s="418"/>
      <c r="G78" s="418" t="s">
        <v>15</v>
      </c>
      <c r="H78" s="418"/>
      <c r="I78" s="418"/>
      <c r="J78" s="418"/>
      <c r="K78" s="418" t="s">
        <v>16</v>
      </c>
      <c r="L78" s="418"/>
      <c r="M78" s="418"/>
      <c r="N78" s="418"/>
      <c r="P78" s="10" t="s">
        <v>17</v>
      </c>
      <c r="Q78" s="10" t="s">
        <v>18</v>
      </c>
      <c r="R78" s="10" t="s">
        <v>19</v>
      </c>
      <c r="S78" s="10" t="str">
        <f>F120</f>
        <v>Panama</v>
      </c>
      <c r="T78" s="10" t="s">
        <v>21</v>
      </c>
      <c r="U78" s="9" t="s">
        <v>60</v>
      </c>
    </row>
    <row r="79" spans="1:21" ht="1" customHeight="1">
      <c r="B79" s="10" t="s">
        <v>17</v>
      </c>
      <c r="C79" s="10" t="s">
        <v>18</v>
      </c>
      <c r="D79" s="10" t="s">
        <v>19</v>
      </c>
      <c r="E79" s="10" t="s">
        <v>20</v>
      </c>
      <c r="F79" s="10" t="s">
        <v>21</v>
      </c>
      <c r="G79" s="10" t="s">
        <v>18</v>
      </c>
      <c r="H79" s="10" t="s">
        <v>19</v>
      </c>
      <c r="I79" s="10" t="s">
        <v>20</v>
      </c>
      <c r="J79" s="10" t="s">
        <v>21</v>
      </c>
      <c r="K79" s="10" t="s">
        <v>18</v>
      </c>
      <c r="L79" s="10" t="s">
        <v>22</v>
      </c>
      <c r="M79" s="10" t="s">
        <v>20</v>
      </c>
      <c r="N79" s="10" t="s">
        <v>21</v>
      </c>
      <c r="P79" s="10">
        <v>1900</v>
      </c>
      <c r="Q79" s="10">
        <v>2.81</v>
      </c>
      <c r="R79" s="10">
        <v>6.38</v>
      </c>
      <c r="S79" s="10">
        <f>VLOOKUP($F$120,$C$125:$AA$149,14,FALSE)</f>
        <v>0.87392304012345678</v>
      </c>
      <c r="T79" s="10">
        <v>0.69</v>
      </c>
      <c r="U79" s="9">
        <v>0.96358992214910621</v>
      </c>
    </row>
    <row r="80" spans="1:21" ht="1" customHeight="1">
      <c r="B80" s="10">
        <v>1850</v>
      </c>
      <c r="C80" s="10">
        <v>42.7</v>
      </c>
      <c r="D80" s="10">
        <v>80.099999999999994</v>
      </c>
      <c r="E80" s="10">
        <v>6.2894406008163273</v>
      </c>
      <c r="F80" s="10">
        <v>6.8</v>
      </c>
      <c r="G80" s="10">
        <v>0.5</v>
      </c>
      <c r="H80" s="10">
        <v>10.9</v>
      </c>
      <c r="I80" s="10">
        <v>0</v>
      </c>
      <c r="J80" s="10">
        <v>0.1</v>
      </c>
      <c r="K80" s="10">
        <v>0.1</v>
      </c>
      <c r="L80" s="10">
        <v>0.4</v>
      </c>
      <c r="M80" s="10">
        <v>0</v>
      </c>
      <c r="N80" s="10">
        <v>0</v>
      </c>
      <c r="P80" s="10">
        <v>1910</v>
      </c>
      <c r="Q80" s="10">
        <v>3.31</v>
      </c>
      <c r="R80" s="10">
        <v>6.76</v>
      </c>
      <c r="S80" s="10">
        <f>VLOOKUP($F$120,$C$125:$AA$149,15,FALSE)</f>
        <v>1.5319356820987655</v>
      </c>
      <c r="T80" s="10">
        <v>0.96</v>
      </c>
      <c r="U80" s="9">
        <v>1.4733513353127299</v>
      </c>
    </row>
    <row r="81" spans="2:21" ht="1" customHeight="1">
      <c r="B81" s="10">
        <v>1860</v>
      </c>
      <c r="C81" s="10">
        <v>47.3</v>
      </c>
      <c r="D81" s="10">
        <v>97.5</v>
      </c>
      <c r="E81" s="10">
        <v>10.02379595755102</v>
      </c>
      <c r="F81" s="10">
        <v>8.1999999999999993</v>
      </c>
      <c r="G81" s="10">
        <v>0.9</v>
      </c>
      <c r="H81" s="10">
        <v>12.2</v>
      </c>
      <c r="I81" s="10">
        <v>9.7681753846153879E-2</v>
      </c>
      <c r="J81" s="10">
        <v>0.1</v>
      </c>
      <c r="K81" s="10">
        <v>0.2</v>
      </c>
      <c r="L81" s="10">
        <v>0.6</v>
      </c>
      <c r="M81" s="10">
        <v>0</v>
      </c>
      <c r="N81" s="10">
        <v>0</v>
      </c>
      <c r="P81" s="10">
        <v>1920</v>
      </c>
      <c r="Q81" s="10">
        <v>3.9</v>
      </c>
      <c r="R81" s="10">
        <v>7.2</v>
      </c>
      <c r="S81" s="10">
        <f>VLOOKUP($F$120,$C$125:$AA$149,16,FALSE)</f>
        <v>2.0048822685185184</v>
      </c>
      <c r="T81" s="10">
        <v>1.37</v>
      </c>
      <c r="U81" s="9">
        <v>1.9877544276818064</v>
      </c>
    </row>
    <row r="82" spans="2:21" ht="1" customHeight="1">
      <c r="B82" s="10">
        <v>1870</v>
      </c>
      <c r="C82" s="10">
        <v>57.1</v>
      </c>
      <c r="D82" s="10">
        <v>100</v>
      </c>
      <c r="E82" s="10">
        <v>14.64260389877551</v>
      </c>
      <c r="F82" s="10">
        <v>10</v>
      </c>
      <c r="G82" s="10">
        <v>1.3</v>
      </c>
      <c r="H82" s="10">
        <v>13.5</v>
      </c>
      <c r="I82" s="10">
        <v>9.7681753846153879E-2</v>
      </c>
      <c r="J82" s="10">
        <v>0.2</v>
      </c>
      <c r="K82" s="10">
        <v>0.3</v>
      </c>
      <c r="L82" s="10">
        <v>0.8</v>
      </c>
      <c r="M82" s="10">
        <v>0</v>
      </c>
      <c r="N82" s="10">
        <v>0</v>
      </c>
      <c r="P82" s="10">
        <v>1930</v>
      </c>
      <c r="Q82" s="10">
        <v>4.55</v>
      </c>
      <c r="R82" s="10">
        <v>7.9</v>
      </c>
      <c r="S82" s="10">
        <f>VLOOKUP($F$120,$C$125:$AA$149,17,FALSE)</f>
        <v>2.549798987654321</v>
      </c>
      <c r="T82" s="10">
        <v>1.7</v>
      </c>
      <c r="U82" s="9">
        <v>2.4056741627900595</v>
      </c>
    </row>
    <row r="83" spans="2:21" ht="1" customHeight="1">
      <c r="B83" s="10">
        <v>1880</v>
      </c>
      <c r="C83" s="10">
        <v>64.900000000000006</v>
      </c>
      <c r="D83" s="10">
        <v>100</v>
      </c>
      <c r="E83" s="10">
        <v>19.556229368163262</v>
      </c>
      <c r="F83" s="10">
        <v>12.7</v>
      </c>
      <c r="G83" s="10">
        <v>1.8</v>
      </c>
      <c r="H83" s="10">
        <v>16.2</v>
      </c>
      <c r="I83" s="10">
        <v>0.19536350769230776</v>
      </c>
      <c r="J83" s="10">
        <v>0.3</v>
      </c>
      <c r="K83" s="10">
        <v>0.3</v>
      </c>
      <c r="L83" s="10">
        <v>1.6</v>
      </c>
      <c r="M83" s="10">
        <v>0</v>
      </c>
      <c r="N83" s="10">
        <v>0</v>
      </c>
      <c r="P83" s="10">
        <v>1940</v>
      </c>
      <c r="Q83" s="10">
        <v>5.25</v>
      </c>
      <c r="R83" s="10">
        <v>8.68</v>
      </c>
      <c r="S83" s="10">
        <f>VLOOKUP($F$120,$C$125:$AA$149,18,FALSE)</f>
        <v>3.2592188672839506</v>
      </c>
      <c r="T83" s="10">
        <v>2.14</v>
      </c>
      <c r="U83" s="9">
        <v>2.8347051566854478</v>
      </c>
    </row>
    <row r="84" spans="2:21" ht="1" customHeight="1">
      <c r="B84" s="10">
        <v>1890</v>
      </c>
      <c r="C84" s="10">
        <v>70.599999999999994</v>
      </c>
      <c r="D84" s="10">
        <v>100</v>
      </c>
      <c r="E84" s="10">
        <v>26.828395062857137</v>
      </c>
      <c r="F84" s="10">
        <v>15.9</v>
      </c>
      <c r="G84" s="10">
        <v>2.1</v>
      </c>
      <c r="H84" s="10">
        <v>14.9</v>
      </c>
      <c r="I84" s="10">
        <v>0.39072701538461552</v>
      </c>
      <c r="J84" s="10">
        <v>0.6</v>
      </c>
      <c r="K84" s="10">
        <v>0.5</v>
      </c>
      <c r="L84" s="10">
        <v>1.5</v>
      </c>
      <c r="M84" s="10">
        <v>8.6909528E-2</v>
      </c>
      <c r="N84" s="10">
        <v>0</v>
      </c>
      <c r="P84" s="10">
        <v>1950</v>
      </c>
      <c r="Q84" s="10">
        <v>6.03</v>
      </c>
      <c r="R84" s="10">
        <v>8.74</v>
      </c>
      <c r="S84" s="10">
        <f>VLOOKUP($F$120,$C$125:$AA$149,19,FALSE)</f>
        <v>3.9789201944444446</v>
      </c>
      <c r="T84" s="10">
        <v>2.68</v>
      </c>
      <c r="U84" s="9">
        <v>3.1838005251060615</v>
      </c>
    </row>
    <row r="85" spans="2:21" ht="1" customHeight="1">
      <c r="B85" s="10">
        <v>1900</v>
      </c>
      <c r="C85" s="10">
        <v>73.400000000000006</v>
      </c>
      <c r="D85" s="10">
        <v>100</v>
      </c>
      <c r="E85" s="10">
        <v>31.05411296653061</v>
      </c>
      <c r="F85" s="10">
        <v>19.3</v>
      </c>
      <c r="G85" s="10">
        <v>2.6</v>
      </c>
      <c r="H85" s="10">
        <v>17.2</v>
      </c>
      <c r="I85" s="10">
        <v>0.48840876923076942</v>
      </c>
      <c r="J85" s="10">
        <v>0.7</v>
      </c>
      <c r="K85" s="10">
        <v>0.6</v>
      </c>
      <c r="L85" s="10">
        <v>1.9</v>
      </c>
      <c r="M85" s="10">
        <v>8.6909528E-2</v>
      </c>
      <c r="N85" s="10">
        <v>0.1</v>
      </c>
      <c r="P85" s="10">
        <v>1960</v>
      </c>
      <c r="Q85" s="10">
        <v>6.61</v>
      </c>
      <c r="R85" s="10">
        <v>9.6300000000000008</v>
      </c>
      <c r="S85" s="10">
        <f>VLOOKUP($F$120,$C$125:$AA$149,20,FALSE)</f>
        <v>4.8836875771604937</v>
      </c>
      <c r="T85" s="10">
        <v>3.26</v>
      </c>
      <c r="U85" s="9">
        <v>3.6958666709296026</v>
      </c>
    </row>
    <row r="86" spans="2:21" ht="1" customHeight="1">
      <c r="B86" s="10">
        <v>1910</v>
      </c>
      <c r="C86" s="10">
        <v>77.8</v>
      </c>
      <c r="D86" s="10">
        <v>100</v>
      </c>
      <c r="E86" s="10">
        <v>37.540098586122447</v>
      </c>
      <c r="F86" s="10">
        <v>28.4</v>
      </c>
      <c r="G86" s="10">
        <v>4.2</v>
      </c>
      <c r="H86" s="10">
        <v>18.100000000000001</v>
      </c>
      <c r="I86" s="10">
        <v>0.78145403076923114</v>
      </c>
      <c r="J86" s="10">
        <v>1.1000000000000001</v>
      </c>
      <c r="K86" s="10">
        <v>0.8</v>
      </c>
      <c r="L86" s="10">
        <v>2.2999999999999998</v>
      </c>
      <c r="M86" s="10">
        <v>8.6909528E-2</v>
      </c>
      <c r="N86" s="10">
        <v>0.1</v>
      </c>
      <c r="P86" s="10">
        <v>1970</v>
      </c>
      <c r="Q86" s="10">
        <v>7.6</v>
      </c>
      <c r="R86" s="10">
        <v>11.1</v>
      </c>
      <c r="S86" s="10">
        <f>VLOOKUP($F$120,$C$125:$AA$149,21,FALSE)</f>
        <v>5.5417002191358025</v>
      </c>
      <c r="T86" s="10">
        <v>4.26</v>
      </c>
      <c r="U86" s="9">
        <v>4.5259824770825672</v>
      </c>
    </row>
    <row r="87" spans="2:21" ht="1" customHeight="1">
      <c r="B87" s="10">
        <v>1920</v>
      </c>
      <c r="C87" s="10">
        <v>82</v>
      </c>
      <c r="D87" s="10">
        <v>100</v>
      </c>
      <c r="E87" s="10">
        <v>40.193456339591833</v>
      </c>
      <c r="F87" s="10">
        <v>33.1</v>
      </c>
      <c r="G87" s="10">
        <v>5.9</v>
      </c>
      <c r="H87" s="10">
        <v>26.4</v>
      </c>
      <c r="I87" s="10">
        <v>1.0744992923076928</v>
      </c>
      <c r="J87" s="10">
        <v>2.2000000000000002</v>
      </c>
      <c r="K87" s="10">
        <v>1.1000000000000001</v>
      </c>
      <c r="L87" s="10">
        <v>3.6</v>
      </c>
      <c r="M87" s="10">
        <v>0.173819056</v>
      </c>
      <c r="N87" s="10">
        <v>0.4</v>
      </c>
      <c r="P87" s="10">
        <v>1980</v>
      </c>
      <c r="Q87" s="10">
        <v>8.7899999999999991</v>
      </c>
      <c r="R87" s="10">
        <v>12.28</v>
      </c>
      <c r="S87" s="10">
        <f>VLOOKUP($F$120,$C$125:$AA$149,22,FALSE)</f>
        <v>7.0839173487654321</v>
      </c>
      <c r="T87" s="10">
        <v>5.57</v>
      </c>
      <c r="U87" s="9">
        <v>5.7361423663462299</v>
      </c>
    </row>
    <row r="88" spans="2:21" ht="1" customHeight="1">
      <c r="B88" s="10">
        <v>1930</v>
      </c>
      <c r="C88" s="10">
        <v>87.3</v>
      </c>
      <c r="D88" s="10">
        <v>100</v>
      </c>
      <c r="E88" s="10">
        <v>49.234527203265309</v>
      </c>
      <c r="F88" s="10">
        <v>43.1</v>
      </c>
      <c r="G88" s="10">
        <v>8.6999999999999993</v>
      </c>
      <c r="H88" s="10">
        <v>42.5</v>
      </c>
      <c r="I88" s="10">
        <v>1.2698628000000005</v>
      </c>
      <c r="J88" s="10">
        <v>3</v>
      </c>
      <c r="K88" s="10">
        <v>1.5</v>
      </c>
      <c r="L88" s="10">
        <v>6</v>
      </c>
      <c r="M88" s="10">
        <v>0.26072858399999999</v>
      </c>
      <c r="N88" s="10">
        <v>0.5</v>
      </c>
      <c r="P88" s="10">
        <v>1990</v>
      </c>
      <c r="Q88" s="10">
        <v>9.65</v>
      </c>
      <c r="R88" s="10">
        <v>12.55</v>
      </c>
      <c r="S88" s="10">
        <f>VLOOKUP($F$120,$C$125:$AA$149,23,FALSE)</f>
        <v>8.3074096049382717</v>
      </c>
      <c r="T88" s="10">
        <v>6.73</v>
      </c>
      <c r="U88" s="9">
        <v>6.8897902181687698</v>
      </c>
    </row>
    <row r="89" spans="2:21" ht="1" customHeight="1">
      <c r="B89" s="10">
        <v>1940</v>
      </c>
      <c r="C89" s="10">
        <v>90.3</v>
      </c>
      <c r="D89" s="10">
        <v>100</v>
      </c>
      <c r="E89" s="10">
        <v>56.408420388571422</v>
      </c>
      <c r="F89" s="10">
        <v>54.4</v>
      </c>
      <c r="G89" s="10">
        <v>11.3</v>
      </c>
      <c r="H89" s="10">
        <v>46.6</v>
      </c>
      <c r="I89" s="10">
        <v>2.442043846153847</v>
      </c>
      <c r="J89" s="10">
        <v>4.5999999999999996</v>
      </c>
      <c r="K89" s="10">
        <v>1.6</v>
      </c>
      <c r="L89" s="10">
        <v>6.7</v>
      </c>
      <c r="M89" s="10">
        <v>0.43454763999999996</v>
      </c>
      <c r="N89" s="10">
        <v>0.7</v>
      </c>
      <c r="P89" s="10">
        <v>2000</v>
      </c>
      <c r="Q89" s="10">
        <v>10.56</v>
      </c>
      <c r="R89" s="10">
        <v>13.1</v>
      </c>
      <c r="S89" s="10">
        <f>VLOOKUP($F$120,$C$125:$AA$149,24,FALSE)</f>
        <v>9.5000575185185188</v>
      </c>
      <c r="T89" s="10">
        <v>7.94</v>
      </c>
      <c r="U89" s="9">
        <v>7.9374020088551811</v>
      </c>
    </row>
    <row r="90" spans="2:21" ht="1" customHeight="1">
      <c r="B90" s="10">
        <v>1950</v>
      </c>
      <c r="C90" s="10">
        <v>94.1</v>
      </c>
      <c r="D90" s="10">
        <v>100</v>
      </c>
      <c r="E90" s="10">
        <v>63.778858592653066</v>
      </c>
      <c r="F90" s="10">
        <v>68.599999999999994</v>
      </c>
      <c r="G90" s="10">
        <v>23.4</v>
      </c>
      <c r="H90" s="10">
        <v>28.8</v>
      </c>
      <c r="I90" s="10">
        <v>5.5678599692307715</v>
      </c>
      <c r="J90" s="10">
        <v>6.4</v>
      </c>
      <c r="K90" s="10">
        <v>3</v>
      </c>
      <c r="L90" s="10">
        <v>10.5</v>
      </c>
      <c r="M90" s="10">
        <v>0.78218575199999996</v>
      </c>
      <c r="N90" s="10">
        <v>1.8</v>
      </c>
      <c r="P90" s="10">
        <v>2010</v>
      </c>
      <c r="Q90" s="10">
        <v>11.52</v>
      </c>
      <c r="R90" s="10">
        <v>13.24</v>
      </c>
      <c r="S90" s="10">
        <f>VLOOKUP($F$120,$C$125:$AA$149,25,FALSE)</f>
        <v>9.9935670000000005</v>
      </c>
      <c r="T90" s="10">
        <v>9.26</v>
      </c>
      <c r="U90" s="9">
        <v>8.8489507500000002</v>
      </c>
    </row>
    <row r="91" spans="2:21" ht="1" customHeight="1">
      <c r="B91" s="10">
        <v>1960</v>
      </c>
      <c r="C91" s="10">
        <v>92.2</v>
      </c>
      <c r="D91" s="10">
        <v>100</v>
      </c>
      <c r="E91" s="10">
        <v>70.166571702857141</v>
      </c>
      <c r="F91" s="10">
        <v>73.099999999999994</v>
      </c>
      <c r="G91" s="10">
        <v>44.6</v>
      </c>
      <c r="H91" s="10">
        <v>77.400000000000006</v>
      </c>
      <c r="I91" s="10">
        <v>14.066172553846158</v>
      </c>
      <c r="J91" s="10">
        <v>17.5</v>
      </c>
      <c r="K91" s="10">
        <v>8.1</v>
      </c>
      <c r="L91" s="10">
        <v>32.1</v>
      </c>
      <c r="M91" s="10">
        <v>2.3465572560000001</v>
      </c>
      <c r="N91" s="10">
        <v>4.4000000000000004</v>
      </c>
    </row>
    <row r="92" spans="2:21" ht="1" customHeight="1">
      <c r="B92" s="10">
        <v>1970</v>
      </c>
      <c r="C92" s="10">
        <v>93.3</v>
      </c>
      <c r="D92" s="10">
        <v>95.9</v>
      </c>
      <c r="E92" s="10">
        <v>76.554284813061216</v>
      </c>
      <c r="F92" s="10">
        <v>80.5</v>
      </c>
      <c r="G92" s="10">
        <v>62</v>
      </c>
      <c r="H92" s="10">
        <v>81</v>
      </c>
      <c r="I92" s="10">
        <v>22.955212153846162</v>
      </c>
      <c r="J92" s="10">
        <v>28.6</v>
      </c>
      <c r="K92" s="10">
        <v>15.1</v>
      </c>
      <c r="L92" s="10">
        <v>49.4</v>
      </c>
      <c r="M92" s="10">
        <v>5.3014812080000002</v>
      </c>
      <c r="N92" s="10">
        <v>7.8</v>
      </c>
    </row>
    <row r="93" spans="2:21" ht="1" customHeight="1">
      <c r="B93" s="10">
        <v>1980</v>
      </c>
      <c r="C93" s="10">
        <v>94.7</v>
      </c>
      <c r="D93" s="10">
        <v>94</v>
      </c>
      <c r="E93" s="10">
        <v>81.467910282448983</v>
      </c>
      <c r="F93" s="10">
        <v>86.8</v>
      </c>
      <c r="G93" s="10">
        <v>74.099999999999994</v>
      </c>
      <c r="H93" s="10">
        <v>81</v>
      </c>
      <c r="I93" s="10">
        <v>33.99325033846155</v>
      </c>
      <c r="J93" s="10">
        <v>43.5</v>
      </c>
      <c r="K93" s="10">
        <v>24.4</v>
      </c>
      <c r="L93" s="10">
        <v>56</v>
      </c>
      <c r="M93" s="10">
        <v>11.558967224000003</v>
      </c>
      <c r="N93" s="10">
        <v>11.2</v>
      </c>
    </row>
    <row r="94" spans="2:21" ht="1" customHeight="1">
      <c r="B94" s="10">
        <v>1990</v>
      </c>
      <c r="C94" s="10">
        <v>95.4</v>
      </c>
      <c r="D94" s="10">
        <v>98</v>
      </c>
      <c r="E94" s="10">
        <v>84.907448111020415</v>
      </c>
      <c r="F94" s="10">
        <v>89.8</v>
      </c>
      <c r="G94" s="10">
        <v>81.7</v>
      </c>
      <c r="H94" s="10">
        <v>78</v>
      </c>
      <c r="I94" s="10">
        <v>40.830973107692316</v>
      </c>
      <c r="J94" s="10">
        <v>53.5</v>
      </c>
      <c r="K94" s="10">
        <v>35.4</v>
      </c>
      <c r="L94" s="10">
        <v>75.2</v>
      </c>
      <c r="M94" s="10">
        <v>14.687710232000002</v>
      </c>
      <c r="N94" s="10">
        <v>15.2</v>
      </c>
    </row>
    <row r="95" spans="2:21" ht="1" customHeight="1">
      <c r="B95" s="10">
        <v>2000</v>
      </c>
      <c r="C95" s="10">
        <v>99</v>
      </c>
      <c r="D95" s="10">
        <v>100</v>
      </c>
      <c r="E95" s="10">
        <v>96.208786690612257</v>
      </c>
      <c r="F95" s="10">
        <v>96.4</v>
      </c>
      <c r="G95" s="10">
        <v>94.8</v>
      </c>
      <c r="H95" s="10">
        <v>87</v>
      </c>
      <c r="I95" s="10">
        <v>64.76300280000001</v>
      </c>
      <c r="J95" s="10">
        <v>67.5</v>
      </c>
      <c r="K95" s="10">
        <v>54.3</v>
      </c>
      <c r="L95" s="10">
        <v>68</v>
      </c>
      <c r="M95" s="10">
        <v>20.163010496000005</v>
      </c>
      <c r="N95" s="10">
        <v>26.9</v>
      </c>
    </row>
    <row r="96" spans="2:21" ht="1" customHeight="1">
      <c r="B96" s="10">
        <v>2010</v>
      </c>
      <c r="C96" s="10">
        <v>99.1</v>
      </c>
      <c r="D96" s="10">
        <v>99</v>
      </c>
      <c r="E96" s="10">
        <v>96.307059199999998</v>
      </c>
      <c r="F96" s="10">
        <v>98.4</v>
      </c>
      <c r="G96" s="10">
        <v>97.5</v>
      </c>
      <c r="H96" s="10">
        <v>87</v>
      </c>
      <c r="I96" s="10">
        <v>76.19176800000001</v>
      </c>
      <c r="J96" s="10">
        <v>79.8</v>
      </c>
      <c r="K96" s="10">
        <v>68.2</v>
      </c>
      <c r="L96" s="10">
        <v>93</v>
      </c>
      <c r="M96" s="10">
        <v>34.763811200000006</v>
      </c>
      <c r="N96" s="10">
        <v>43.1</v>
      </c>
    </row>
    <row r="97" spans="2:13" ht="1" customHeight="1"/>
    <row r="98" spans="2:13" ht="1" customHeight="1"/>
    <row r="99" spans="2:13" ht="1" customHeight="1">
      <c r="B99" s="414" t="s">
        <v>23</v>
      </c>
      <c r="C99" s="414"/>
      <c r="D99" s="414"/>
      <c r="E99" s="414"/>
      <c r="F99" s="414"/>
      <c r="G99" s="414"/>
      <c r="H99" s="414"/>
      <c r="I99" s="414"/>
      <c r="J99" s="414"/>
    </row>
    <row r="100" spans="2:13" ht="1" customHeight="1">
      <c r="D100" s="9">
        <v>1900</v>
      </c>
      <c r="E100" s="9">
        <v>1950</v>
      </c>
      <c r="F100" s="9">
        <v>2010</v>
      </c>
      <c r="G100" s="9" t="s">
        <v>24</v>
      </c>
      <c r="H100" s="9">
        <v>1900</v>
      </c>
      <c r="I100" s="9">
        <v>1950</v>
      </c>
      <c r="J100" s="9">
        <v>2010</v>
      </c>
      <c r="L100" s="9" t="s">
        <v>25</v>
      </c>
      <c r="M100" s="9" t="s">
        <v>26</v>
      </c>
    </row>
    <row r="101" spans="2:13" ht="1" customHeight="1">
      <c r="B101" s="9" t="s">
        <v>27</v>
      </c>
      <c r="C101" s="9" t="s">
        <v>19</v>
      </c>
      <c r="D101" s="9">
        <f>D85</f>
        <v>100</v>
      </c>
      <c r="E101" s="9">
        <v>0</v>
      </c>
      <c r="F101" s="9">
        <v>0</v>
      </c>
      <c r="G101" s="11">
        <f>SUM(D101:F101)</f>
        <v>100</v>
      </c>
      <c r="H101" s="9">
        <f>D101</f>
        <v>100</v>
      </c>
      <c r="I101" s="9">
        <f>D101+E101</f>
        <v>100</v>
      </c>
      <c r="J101" s="9">
        <f>F101</f>
        <v>0</v>
      </c>
      <c r="L101" s="9">
        <f>IF(S79&lt;T79,M101,T79)</f>
        <v>0.69</v>
      </c>
      <c r="M101" s="9">
        <f t="shared" ref="M101:M103" si="3">IF($S$90&lt;$T$90,S79,T79)</f>
        <v>0.69</v>
      </c>
    </row>
    <row r="102" spans="2:13" ht="1" customHeight="1">
      <c r="C102" s="9" t="s">
        <v>18</v>
      </c>
      <c r="D102" s="9">
        <f>C85</f>
        <v>73.400000000000006</v>
      </c>
      <c r="E102" s="9">
        <f>C90-C85</f>
        <v>20.699999999999989</v>
      </c>
      <c r="F102" s="9">
        <f>C96-C90</f>
        <v>5</v>
      </c>
      <c r="G102" s="11">
        <f t="shared" ref="G102:G117" si="4">SUM(D102:F102)</f>
        <v>99.1</v>
      </c>
      <c r="H102" s="9">
        <f t="shared" ref="H102:H105" si="5">D102</f>
        <v>73.400000000000006</v>
      </c>
      <c r="I102" s="9">
        <f t="shared" ref="I102:I117" si="6">D102+E102</f>
        <v>94.1</v>
      </c>
      <c r="J102" s="9">
        <f t="shared" ref="J102:J105" si="7">F102</f>
        <v>5</v>
      </c>
      <c r="L102" s="9">
        <v>0</v>
      </c>
      <c r="M102" s="9">
        <f t="shared" si="3"/>
        <v>0.96</v>
      </c>
    </row>
    <row r="103" spans="2:13" ht="1" customHeight="1">
      <c r="C103" s="9" t="str">
        <f>F120</f>
        <v>Panama</v>
      </c>
      <c r="D103" s="9">
        <f>VLOOKUP($F$120,$C$125:$O$149,10,FALSE)</f>
        <v>20.087491037344396</v>
      </c>
      <c r="E103" s="9">
        <f>VLOOKUP($F$120,$C$125:$O$149,6,FALSE)-D103</f>
        <v>53.703292365145231</v>
      </c>
      <c r="F103" s="9">
        <f>VLOOKUP($F$120,$C$125:$O$149,2,FALSE)-D103-E103</f>
        <v>25.00687659751037</v>
      </c>
      <c r="G103" s="11">
        <f t="shared" si="4"/>
        <v>98.797659999999993</v>
      </c>
      <c r="H103" s="9">
        <f t="shared" si="5"/>
        <v>20.087491037344396</v>
      </c>
      <c r="I103" s="9">
        <f>D103+E103</f>
        <v>73.790783402489623</v>
      </c>
      <c r="J103" s="9">
        <f t="shared" si="7"/>
        <v>25.00687659751037</v>
      </c>
      <c r="L103" s="9">
        <v>0</v>
      </c>
      <c r="M103" s="9">
        <f t="shared" si="3"/>
        <v>1.37</v>
      </c>
    </row>
    <row r="104" spans="2:13" ht="1" customHeight="1">
      <c r="C104" s="9" t="s">
        <v>471</v>
      </c>
      <c r="D104" s="9">
        <v>31.05411296653061</v>
      </c>
      <c r="E104" s="9">
        <v>32.724745626122456</v>
      </c>
      <c r="F104" s="9">
        <v>32.528200607346932</v>
      </c>
      <c r="G104" s="11">
        <v>96.307059199999998</v>
      </c>
      <c r="H104" s="9">
        <v>31.05411296653061</v>
      </c>
      <c r="I104" s="9">
        <v>63.778858592653066</v>
      </c>
      <c r="J104" s="9">
        <v>32.528200607346932</v>
      </c>
      <c r="L104" s="9">
        <v>0</v>
      </c>
      <c r="M104" s="9">
        <f t="shared" ref="M104:M112" si="8">IF($S$90&lt;$T$90,S82,T82)</f>
        <v>1.7</v>
      </c>
    </row>
    <row r="105" spans="2:13" ht="1" customHeight="1">
      <c r="C105" s="9" t="s">
        <v>21</v>
      </c>
      <c r="D105" s="9">
        <f>F85</f>
        <v>19.3</v>
      </c>
      <c r="E105" s="9">
        <f>F90-F85</f>
        <v>49.3</v>
      </c>
      <c r="F105" s="9">
        <f>F96-F90</f>
        <v>29.800000000000011</v>
      </c>
      <c r="G105" s="11">
        <f t="shared" si="4"/>
        <v>98.4</v>
      </c>
      <c r="H105" s="9">
        <f t="shared" si="5"/>
        <v>19.3</v>
      </c>
      <c r="I105" s="9">
        <f t="shared" si="6"/>
        <v>68.599999999999994</v>
      </c>
      <c r="J105" s="9">
        <f t="shared" si="7"/>
        <v>29.800000000000011</v>
      </c>
      <c r="L105" s="9">
        <v>0</v>
      </c>
      <c r="M105" s="9">
        <f t="shared" si="8"/>
        <v>2.14</v>
      </c>
    </row>
    <row r="106" spans="2:13" ht="1" customHeight="1">
      <c r="B106" s="9" t="s">
        <v>28</v>
      </c>
      <c r="G106" s="11"/>
      <c r="L106" s="9">
        <v>0</v>
      </c>
      <c r="M106" s="9">
        <f t="shared" si="8"/>
        <v>2.68</v>
      </c>
    </row>
    <row r="107" spans="2:13" ht="1" customHeight="1">
      <c r="B107" s="9" t="s">
        <v>29</v>
      </c>
      <c r="C107" s="9" t="s">
        <v>19</v>
      </c>
      <c r="D107" s="9">
        <f>H85</f>
        <v>17.2</v>
      </c>
      <c r="E107" s="9">
        <f>H90-H85</f>
        <v>11.600000000000001</v>
      </c>
      <c r="F107" s="9">
        <f>H96-H90</f>
        <v>58.2</v>
      </c>
      <c r="G107" s="11">
        <f t="shared" si="4"/>
        <v>87</v>
      </c>
      <c r="H107" s="9">
        <f>D107</f>
        <v>17.2</v>
      </c>
      <c r="I107" s="9">
        <f t="shared" si="6"/>
        <v>28.8</v>
      </c>
      <c r="J107" s="9">
        <f>F107</f>
        <v>58.2</v>
      </c>
      <c r="L107" s="9">
        <v>0</v>
      </c>
      <c r="M107" s="9">
        <f t="shared" si="8"/>
        <v>3.26</v>
      </c>
    </row>
    <row r="108" spans="2:13" ht="1" customHeight="1">
      <c r="C108" s="9" t="s">
        <v>18</v>
      </c>
      <c r="D108" s="9">
        <f>G85</f>
        <v>2.6</v>
      </c>
      <c r="E108" s="9">
        <f>G90-G85</f>
        <v>20.799999999999997</v>
      </c>
      <c r="F108" s="9">
        <f>G96-G90</f>
        <v>74.099999999999994</v>
      </c>
      <c r="G108" s="11">
        <f t="shared" si="4"/>
        <v>97.5</v>
      </c>
      <c r="H108" s="9">
        <f t="shared" ref="H108:H111" si="9">D108</f>
        <v>2.6</v>
      </c>
      <c r="I108" s="9">
        <f t="shared" si="6"/>
        <v>23.4</v>
      </c>
      <c r="J108" s="9">
        <f t="shared" ref="J108:J111" si="10">F108</f>
        <v>74.099999999999994</v>
      </c>
      <c r="L108" s="9">
        <v>0</v>
      </c>
      <c r="M108" s="9">
        <f t="shared" si="8"/>
        <v>4.26</v>
      </c>
    </row>
    <row r="109" spans="2:13" ht="1" customHeight="1">
      <c r="C109" s="9" t="str">
        <f>F120</f>
        <v>Panama</v>
      </c>
      <c r="D109" s="9">
        <f>VLOOKUP($F$120,$C$125:$O$149,11,FALSE)</f>
        <v>0</v>
      </c>
      <c r="E109" s="9">
        <f>VLOOKUP($F$120,$C$125:$O$149,7,FALSE)-D109</f>
        <v>15.415992826747722</v>
      </c>
      <c r="F109" s="9">
        <f>VLOOKUP($F$120,$C$125:$O$149,3,FALSE)-D109-E109</f>
        <v>66.388227173252275</v>
      </c>
      <c r="G109" s="11">
        <f t="shared" si="4"/>
        <v>81.804220000000001</v>
      </c>
      <c r="H109" s="9">
        <f t="shared" si="9"/>
        <v>0</v>
      </c>
      <c r="I109" s="9">
        <f>D109+E109</f>
        <v>15.415992826747722</v>
      </c>
      <c r="J109" s="9">
        <f t="shared" si="10"/>
        <v>66.388227173252275</v>
      </c>
      <c r="L109" s="9">
        <v>0</v>
      </c>
      <c r="M109" s="9">
        <f t="shared" si="8"/>
        <v>5.57</v>
      </c>
    </row>
    <row r="110" spans="2:13" ht="1" customHeight="1">
      <c r="C110" s="9" t="s">
        <v>471</v>
      </c>
      <c r="D110" s="9">
        <v>0.48840876923076942</v>
      </c>
      <c r="E110" s="9">
        <v>5.0794512000000021</v>
      </c>
      <c r="F110" s="9">
        <v>70.623908030769243</v>
      </c>
      <c r="G110" s="11">
        <v>76.19176800000001</v>
      </c>
      <c r="H110" s="9">
        <v>0.48840876923076942</v>
      </c>
      <c r="I110" s="9">
        <v>5.5678599692307715</v>
      </c>
      <c r="J110" s="9">
        <v>70.623908030769243</v>
      </c>
      <c r="L110" s="9">
        <v>0</v>
      </c>
      <c r="M110" s="9">
        <f t="shared" si="8"/>
        <v>6.73</v>
      </c>
    </row>
    <row r="111" spans="2:13" ht="1" customHeight="1">
      <c r="C111" s="9" t="s">
        <v>21</v>
      </c>
      <c r="D111" s="9">
        <f>J85</f>
        <v>0.7</v>
      </c>
      <c r="E111" s="9">
        <f>J90-J85</f>
        <v>5.7</v>
      </c>
      <c r="F111" s="9">
        <f>J96-J90</f>
        <v>73.399999999999991</v>
      </c>
      <c r="G111" s="11">
        <f t="shared" si="4"/>
        <v>79.8</v>
      </c>
      <c r="H111" s="9">
        <f t="shared" si="9"/>
        <v>0.7</v>
      </c>
      <c r="I111" s="9">
        <f t="shared" si="6"/>
        <v>6.4</v>
      </c>
      <c r="J111" s="9">
        <f t="shared" si="10"/>
        <v>73.399999999999991</v>
      </c>
      <c r="L111" s="9">
        <v>0</v>
      </c>
      <c r="M111" s="9">
        <f t="shared" si="8"/>
        <v>7.94</v>
      </c>
    </row>
    <row r="112" spans="2:13" ht="1" customHeight="1">
      <c r="B112" s="9" t="s">
        <v>28</v>
      </c>
      <c r="G112" s="11"/>
      <c r="L112" s="9">
        <f>IF(S90&lt;T90,S90,T90)</f>
        <v>9.26</v>
      </c>
      <c r="M112" s="9">
        <f t="shared" si="8"/>
        <v>9.26</v>
      </c>
    </row>
    <row r="113" spans="2:39" ht="1" customHeight="1">
      <c r="B113" s="9" t="s">
        <v>30</v>
      </c>
      <c r="C113" s="9" t="s">
        <v>19</v>
      </c>
      <c r="D113" s="9">
        <f>L85</f>
        <v>1.9</v>
      </c>
      <c r="E113" s="9">
        <f>L90-L85</f>
        <v>8.6</v>
      </c>
      <c r="F113" s="9">
        <f>L96-L90</f>
        <v>82.5</v>
      </c>
      <c r="G113" s="11">
        <f t="shared" si="4"/>
        <v>93</v>
      </c>
      <c r="H113" s="9">
        <f>D113</f>
        <v>1.9</v>
      </c>
      <c r="I113" s="9">
        <f t="shared" si="6"/>
        <v>10.5</v>
      </c>
      <c r="J113" s="9">
        <f>F113</f>
        <v>82.5</v>
      </c>
    </row>
    <row r="114" spans="2:39" ht="1" customHeight="1">
      <c r="C114" s="9" t="s">
        <v>18</v>
      </c>
      <c r="D114" s="9">
        <f>K85</f>
        <v>0.6</v>
      </c>
      <c r="E114" s="9">
        <f>K90-K85</f>
        <v>2.4</v>
      </c>
      <c r="F114" s="9">
        <f>K96-K90</f>
        <v>65.2</v>
      </c>
      <c r="G114" s="11">
        <f t="shared" si="4"/>
        <v>68.2</v>
      </c>
      <c r="H114" s="9">
        <f>D114</f>
        <v>0.6</v>
      </c>
      <c r="I114" s="9">
        <f t="shared" si="6"/>
        <v>3</v>
      </c>
      <c r="J114" s="9">
        <f t="shared" ref="J114:J117" si="11">F114</f>
        <v>65.2</v>
      </c>
    </row>
    <row r="115" spans="2:39" ht="1" customHeight="1">
      <c r="C115" s="9" t="str">
        <f>F120</f>
        <v>Panama</v>
      </c>
      <c r="D115" s="9">
        <f>VLOOKUP($F$120,$C$125:$O$149,12,FALSE)</f>
        <v>0</v>
      </c>
      <c r="E115" s="9">
        <f>VLOOKUP($F$120,$C$125:$O$149,8,FALSE)-D115</f>
        <v>0.83979225000000002</v>
      </c>
      <c r="F115" s="9">
        <f>VLOOKUP($F$120,$C$125:$O$149,4,FALSE)-D115-E115</f>
        <v>32.751897749999998</v>
      </c>
      <c r="G115" s="11">
        <f t="shared" si="4"/>
        <v>33.59169</v>
      </c>
      <c r="H115" s="9">
        <f>D115</f>
        <v>0</v>
      </c>
      <c r="I115" s="9">
        <f t="shared" si="6"/>
        <v>0.83979225000000002</v>
      </c>
      <c r="J115" s="9">
        <f t="shared" si="11"/>
        <v>32.751897749999998</v>
      </c>
    </row>
    <row r="116" spans="2:39" ht="1" customHeight="1">
      <c r="C116" s="9" t="s">
        <v>471</v>
      </c>
      <c r="D116" s="9">
        <v>8.6909528E-2</v>
      </c>
      <c r="E116" s="9">
        <v>0.695276224</v>
      </c>
      <c r="F116" s="9">
        <v>33.98162544800001</v>
      </c>
      <c r="G116" s="11">
        <v>34.763811200000006</v>
      </c>
      <c r="H116" s="9">
        <v>8.6909528E-2</v>
      </c>
      <c r="I116" s="9">
        <v>0.78218575199999996</v>
      </c>
      <c r="J116" s="9">
        <v>33.98162544800001</v>
      </c>
    </row>
    <row r="117" spans="2:39" ht="1" customHeight="1">
      <c r="C117" s="9" t="s">
        <v>21</v>
      </c>
      <c r="D117" s="9">
        <f>N85</f>
        <v>0.1</v>
      </c>
      <c r="E117" s="9">
        <f>N90-N85</f>
        <v>1.7</v>
      </c>
      <c r="F117" s="9">
        <f>N96-N90</f>
        <v>41.300000000000004</v>
      </c>
      <c r="G117" s="11">
        <f t="shared" si="4"/>
        <v>43.1</v>
      </c>
      <c r="H117" s="9">
        <f>D117</f>
        <v>0.1</v>
      </c>
      <c r="I117" s="9">
        <f t="shared" si="6"/>
        <v>1.8</v>
      </c>
      <c r="J117" s="9">
        <f t="shared" si="11"/>
        <v>41.300000000000004</v>
      </c>
    </row>
    <row r="118" spans="2:39" ht="1" customHeight="1"/>
    <row r="119" spans="2:39" ht="1" customHeight="1"/>
    <row r="120" spans="2:39" ht="1" customHeight="1">
      <c r="C120" s="39" t="s">
        <v>73</v>
      </c>
      <c r="D120" s="39"/>
      <c r="E120" s="39"/>
      <c r="F120" s="413" t="str">
        <f>'Country Selection'!C5</f>
        <v>Panama</v>
      </c>
      <c r="G120" s="413"/>
      <c r="H120" s="413"/>
      <c r="I120" s="413"/>
      <c r="J120" s="413"/>
      <c r="AB120" s="36"/>
      <c r="AC120" s="36"/>
      <c r="AD120" s="36"/>
      <c r="AE120" s="36"/>
      <c r="AF120" s="36"/>
      <c r="AG120" s="36"/>
      <c r="AH120" s="36"/>
      <c r="AI120" s="36"/>
      <c r="AJ120" s="36"/>
      <c r="AK120" s="36"/>
      <c r="AL120" s="36"/>
      <c r="AM120" s="36"/>
    </row>
    <row r="121" spans="2:39" ht="1" customHeight="1">
      <c r="AB121" s="36"/>
      <c r="AC121" s="36"/>
      <c r="AD121" s="36"/>
      <c r="AE121" s="36"/>
      <c r="AF121" s="36"/>
      <c r="AG121" s="36"/>
      <c r="AH121" s="36"/>
      <c r="AI121" s="36"/>
      <c r="AJ121" s="36"/>
      <c r="AK121" s="36"/>
      <c r="AL121" s="36"/>
      <c r="AM121" s="36"/>
    </row>
    <row r="122" spans="2:39" ht="1" customHeight="1">
      <c r="AB122" s="36"/>
      <c r="AC122" s="36"/>
      <c r="AD122" s="36"/>
      <c r="AE122" s="36"/>
      <c r="AF122" s="36"/>
      <c r="AG122" s="36"/>
      <c r="AH122" s="36"/>
      <c r="AI122" s="36"/>
      <c r="AJ122" s="36"/>
      <c r="AK122" s="36"/>
      <c r="AL122" s="36"/>
      <c r="AM122" s="36"/>
    </row>
    <row r="123" spans="2:39" ht="1" customHeight="1">
      <c r="C123" s="12"/>
      <c r="D123" s="415">
        <v>2010</v>
      </c>
      <c r="E123" s="416"/>
      <c r="F123" s="416"/>
      <c r="G123" s="417"/>
      <c r="H123" s="415">
        <v>1950</v>
      </c>
      <c r="I123" s="416"/>
      <c r="J123" s="416"/>
      <c r="K123" s="417"/>
      <c r="L123" s="415">
        <v>1900</v>
      </c>
      <c r="M123" s="416"/>
      <c r="N123" s="416"/>
      <c r="O123" s="417"/>
      <c r="P123" s="410" t="s">
        <v>74</v>
      </c>
      <c r="Q123" s="411"/>
      <c r="R123" s="411"/>
      <c r="S123" s="411"/>
      <c r="T123" s="411"/>
      <c r="U123" s="411"/>
      <c r="V123" s="411"/>
      <c r="W123" s="411"/>
      <c r="X123" s="411"/>
      <c r="Y123" s="411"/>
      <c r="Z123" s="411"/>
      <c r="AA123" s="412"/>
      <c r="AB123" s="37"/>
      <c r="AC123" s="37"/>
      <c r="AD123" s="37"/>
      <c r="AE123" s="37"/>
      <c r="AF123" s="37"/>
      <c r="AG123" s="37"/>
      <c r="AH123" s="37"/>
      <c r="AI123" s="37"/>
      <c r="AJ123" s="37"/>
      <c r="AK123" s="37"/>
      <c r="AL123" s="37"/>
      <c r="AM123" s="36"/>
    </row>
    <row r="124" spans="2:39" ht="1" customHeight="1">
      <c r="C124" s="13" t="s">
        <v>31</v>
      </c>
      <c r="D124" s="14" t="s">
        <v>32</v>
      </c>
      <c r="E124" s="15" t="s">
        <v>33</v>
      </c>
      <c r="F124" s="15" t="s">
        <v>34</v>
      </c>
      <c r="G124" s="18" t="s">
        <v>35</v>
      </c>
      <c r="H124" s="14" t="s">
        <v>32</v>
      </c>
      <c r="I124" s="15" t="s">
        <v>33</v>
      </c>
      <c r="J124" s="15" t="s">
        <v>34</v>
      </c>
      <c r="K124" s="18" t="s">
        <v>35</v>
      </c>
      <c r="L124" s="14" t="s">
        <v>32</v>
      </c>
      <c r="M124" s="15" t="s">
        <v>33</v>
      </c>
      <c r="N124" s="15" t="s">
        <v>34</v>
      </c>
      <c r="O124" s="18" t="s">
        <v>35</v>
      </c>
      <c r="P124" s="29">
        <v>1900</v>
      </c>
      <c r="Q124" s="16">
        <v>1910</v>
      </c>
      <c r="R124" s="16">
        <v>1920</v>
      </c>
      <c r="S124" s="16">
        <v>1930</v>
      </c>
      <c r="T124" s="16">
        <v>1940</v>
      </c>
      <c r="U124" s="16">
        <v>1950</v>
      </c>
      <c r="V124" s="16">
        <v>1960</v>
      </c>
      <c r="W124" s="16">
        <v>1970</v>
      </c>
      <c r="X124" s="16">
        <v>1980</v>
      </c>
      <c r="Y124" s="16">
        <v>1990</v>
      </c>
      <c r="Z124" s="16">
        <v>2000</v>
      </c>
      <c r="AA124" s="30">
        <v>2010</v>
      </c>
      <c r="AB124" s="36"/>
      <c r="AC124" s="36"/>
      <c r="AD124" s="36"/>
      <c r="AE124" s="36"/>
      <c r="AF124" s="36"/>
      <c r="AG124" s="36"/>
      <c r="AH124" s="36"/>
      <c r="AI124" s="36"/>
      <c r="AJ124" s="36"/>
      <c r="AK124" s="36"/>
      <c r="AL124" s="36"/>
      <c r="AM124" s="36"/>
    </row>
    <row r="125" spans="2:39" ht="1" customHeight="1">
      <c r="C125" s="20" t="s">
        <v>36</v>
      </c>
      <c r="D125" s="24">
        <v>98.911370000000005</v>
      </c>
      <c r="E125" s="25">
        <v>87.074860000000001</v>
      </c>
      <c r="F125" s="25">
        <v>46.14481</v>
      </c>
      <c r="G125" s="21">
        <v>11.16614</v>
      </c>
      <c r="H125" s="24">
        <f t="shared" ref="H125:K132" si="12">D125*K182</f>
        <v>80.414943809999997</v>
      </c>
      <c r="I125" s="25">
        <f t="shared" si="12"/>
        <v>14.905671847290639</v>
      </c>
      <c r="J125" s="25">
        <f t="shared" si="12"/>
        <v>2.3380037066666666</v>
      </c>
      <c r="K125" s="21">
        <f t="shared" si="12"/>
        <v>5.6463179608650877</v>
      </c>
      <c r="L125" s="24">
        <f t="shared" ref="L125:O132" si="13">D125*Q182</f>
        <v>39.168902520000003</v>
      </c>
      <c r="M125" s="25">
        <f t="shared" si="13"/>
        <v>0.85788039408867001</v>
      </c>
      <c r="N125" s="25">
        <f t="shared" si="13"/>
        <v>0.3076320666666667</v>
      </c>
      <c r="O125" s="21">
        <f t="shared" si="13"/>
        <v>1.11546403707518</v>
      </c>
      <c r="P125" s="38">
        <f t="shared" ref="P125:P148" si="14">$AA125*J213</f>
        <v>1.11546403707518</v>
      </c>
      <c r="Q125" s="32">
        <f t="shared" ref="Q125:Q148" si="15">$AA125*L213</f>
        <v>2.0814328939237901</v>
      </c>
      <c r="R125" s="32">
        <f t="shared" ref="R125:R148" si="16">$AA125*N213</f>
        <v>3.3808909989701337</v>
      </c>
      <c r="S125" s="32">
        <f t="shared" ref="S125:S148" si="17">$AA125*P213</f>
        <v>4.2778620803295571</v>
      </c>
      <c r="T125" s="32">
        <f t="shared" ref="T125:T148" si="18">$AA125*R213</f>
        <v>4.9793394644696187</v>
      </c>
      <c r="U125" s="32">
        <f t="shared" ref="U125:U148" si="19">$AA125*T213</f>
        <v>5.6463179608650877</v>
      </c>
      <c r="V125" s="32">
        <f t="shared" ref="V125:V148" si="20">$AA125*V213</f>
        <v>6.5432890422245107</v>
      </c>
      <c r="W125" s="32">
        <f t="shared" ref="W125:W148" si="21">$AA125*X213</f>
        <v>7.4517597528321318</v>
      </c>
      <c r="X125" s="32">
        <f t="shared" ref="X125:X148" si="22">$AA125*Z213</f>
        <v>8.6362215653964967</v>
      </c>
      <c r="Y125" s="32">
        <f t="shared" ref="Y125:Y148" si="23">$AA125*AB213</f>
        <v>9.9701785581874347</v>
      </c>
      <c r="Z125" s="32">
        <f t="shared" ref="Z125:Z148" si="24">$AA125*AD213</f>
        <v>10.441663357363543</v>
      </c>
      <c r="AA125" s="31">
        <f t="shared" ref="AA125:AA148" si="25">G125</f>
        <v>11.16614</v>
      </c>
      <c r="AB125" s="36"/>
      <c r="AC125" s="36"/>
      <c r="AD125" s="36"/>
      <c r="AE125" s="36"/>
      <c r="AF125" s="36"/>
      <c r="AG125" s="36"/>
      <c r="AH125" s="36"/>
      <c r="AI125" s="36"/>
      <c r="AJ125" s="36"/>
      <c r="AK125" s="36"/>
      <c r="AL125" s="36"/>
      <c r="AM125" s="36"/>
    </row>
    <row r="126" spans="2:39" ht="1" customHeight="1">
      <c r="C126" s="20" t="s">
        <v>37</v>
      </c>
      <c r="D126" s="24">
        <v>96</v>
      </c>
      <c r="E126" s="25">
        <v>100</v>
      </c>
      <c r="F126" s="25">
        <v>65</v>
      </c>
      <c r="G126" s="21">
        <v>9.57</v>
      </c>
      <c r="H126" s="24">
        <f t="shared" si="12"/>
        <v>68.8</v>
      </c>
      <c r="I126" s="25">
        <f t="shared" si="12"/>
        <v>33.4</v>
      </c>
      <c r="J126" s="25">
        <f t="shared" si="12"/>
        <v>0.2</v>
      </c>
      <c r="K126" s="21">
        <f t="shared" si="12"/>
        <v>4.68</v>
      </c>
      <c r="L126" s="24">
        <f t="shared" si="13"/>
        <v>71.599999999999994</v>
      </c>
      <c r="M126" s="25">
        <f t="shared" si="13"/>
        <v>1.6</v>
      </c>
      <c r="N126" s="25">
        <f t="shared" si="13"/>
        <v>0</v>
      </c>
      <c r="O126" s="21">
        <f t="shared" si="13"/>
        <v>1.52</v>
      </c>
      <c r="P126" s="38">
        <f t="shared" si="14"/>
        <v>1.52</v>
      </c>
      <c r="Q126" s="32">
        <f t="shared" si="15"/>
        <v>1.95</v>
      </c>
      <c r="R126" s="32">
        <f t="shared" si="16"/>
        <v>2.7</v>
      </c>
      <c r="S126" s="32">
        <f t="shared" si="17"/>
        <v>3.19</v>
      </c>
      <c r="T126" s="32">
        <f t="shared" si="18"/>
        <v>3.91</v>
      </c>
      <c r="U126" s="32">
        <f t="shared" si="19"/>
        <v>4.68</v>
      </c>
      <c r="V126" s="32">
        <f t="shared" si="20"/>
        <v>5.08</v>
      </c>
      <c r="W126" s="32">
        <v>6.6</v>
      </c>
      <c r="X126" s="32">
        <f t="shared" si="22"/>
        <v>7.72</v>
      </c>
      <c r="Y126" s="32">
        <f t="shared" si="23"/>
        <v>8.7899999999999991</v>
      </c>
      <c r="Z126" s="32">
        <f t="shared" si="24"/>
        <v>9.23</v>
      </c>
      <c r="AA126" s="31">
        <f t="shared" si="25"/>
        <v>9.57</v>
      </c>
      <c r="AB126" s="36"/>
      <c r="AC126" s="36"/>
      <c r="AD126" s="36"/>
      <c r="AE126" s="36"/>
      <c r="AF126" s="36"/>
      <c r="AG126" s="36"/>
      <c r="AH126" s="36"/>
      <c r="AI126" s="36"/>
      <c r="AJ126" s="36"/>
      <c r="AK126" s="36"/>
      <c r="AL126" s="36"/>
      <c r="AM126" s="36"/>
    </row>
    <row r="127" spans="2:39" ht="1" customHeight="1">
      <c r="C127" s="20" t="s">
        <v>38</v>
      </c>
      <c r="D127" s="24">
        <v>100</v>
      </c>
      <c r="E127" s="25">
        <v>76.3</v>
      </c>
      <c r="F127" s="25">
        <v>23</v>
      </c>
      <c r="G127" s="21">
        <v>9.6300000000000008</v>
      </c>
      <c r="H127" s="24">
        <f t="shared" si="12"/>
        <v>100</v>
      </c>
      <c r="I127" s="25">
        <f t="shared" si="12"/>
        <v>0</v>
      </c>
      <c r="J127" s="25">
        <f t="shared" si="12"/>
        <v>0</v>
      </c>
      <c r="K127" s="21">
        <f t="shared" si="12"/>
        <v>5.76</v>
      </c>
      <c r="L127" s="24">
        <f t="shared" si="13"/>
        <v>49.9</v>
      </c>
      <c r="M127" s="25">
        <f t="shared" si="13"/>
        <v>0</v>
      </c>
      <c r="N127" s="25">
        <f t="shared" si="13"/>
        <v>0</v>
      </c>
      <c r="O127" s="21">
        <f t="shared" si="13"/>
        <v>1.36</v>
      </c>
      <c r="P127" s="38">
        <f t="shared" si="14"/>
        <v>1.36</v>
      </c>
      <c r="Q127" s="32">
        <f t="shared" si="15"/>
        <v>2.56</v>
      </c>
      <c r="R127" s="32">
        <f t="shared" si="16"/>
        <v>3.74</v>
      </c>
      <c r="S127" s="32">
        <f t="shared" si="17"/>
        <v>4.53</v>
      </c>
      <c r="T127" s="32">
        <f t="shared" si="18"/>
        <v>5.3000000000000007</v>
      </c>
      <c r="U127" s="32">
        <f t="shared" si="19"/>
        <v>5.76</v>
      </c>
      <c r="V127" s="32">
        <f t="shared" si="20"/>
        <v>6.19</v>
      </c>
      <c r="W127" s="32">
        <f t="shared" si="21"/>
        <v>6.0600000000000005</v>
      </c>
      <c r="X127" s="32">
        <f t="shared" si="22"/>
        <v>6.16</v>
      </c>
      <c r="Y127" s="32">
        <f t="shared" si="23"/>
        <v>7.15</v>
      </c>
      <c r="Z127" s="32">
        <f t="shared" si="24"/>
        <v>8.19</v>
      </c>
      <c r="AA127" s="31">
        <f t="shared" si="25"/>
        <v>9.6300000000000008</v>
      </c>
      <c r="AB127" s="36"/>
      <c r="AC127" s="36"/>
      <c r="AD127" s="36"/>
      <c r="AE127" s="36"/>
      <c r="AF127" s="36"/>
      <c r="AG127" s="36"/>
      <c r="AH127" s="36"/>
      <c r="AI127" s="36"/>
      <c r="AJ127" s="36"/>
      <c r="AK127" s="36"/>
      <c r="AL127" s="36"/>
      <c r="AM127" s="36"/>
    </row>
    <row r="128" spans="2:39" ht="1" customHeight="1">
      <c r="C128" s="20" t="s">
        <v>39</v>
      </c>
      <c r="D128" s="24">
        <v>97.419710000000009</v>
      </c>
      <c r="E128" s="25">
        <v>86.457880000000003</v>
      </c>
      <c r="F128" s="25">
        <v>48.687100000000001</v>
      </c>
      <c r="G128" s="21">
        <v>9.1804939999999995</v>
      </c>
      <c r="H128" s="24">
        <f t="shared" si="12"/>
        <v>40.213336413867829</v>
      </c>
      <c r="I128" s="25">
        <f t="shared" si="12"/>
        <v>5.7717113351498641</v>
      </c>
      <c r="J128" s="25">
        <f t="shared" si="12"/>
        <v>1.2756445414847162</v>
      </c>
      <c r="K128" s="21">
        <f t="shared" si="12"/>
        <v>2.613816261376896</v>
      </c>
      <c r="L128" s="24">
        <f t="shared" si="13"/>
        <v>13.087805027085594</v>
      </c>
      <c r="M128" s="25">
        <f t="shared" si="13"/>
        <v>0.70674016348773838</v>
      </c>
      <c r="N128" s="25">
        <f t="shared" si="13"/>
        <v>0.21260742358078605</v>
      </c>
      <c r="O128" s="21">
        <f t="shared" si="13"/>
        <v>0.25709668144690778</v>
      </c>
      <c r="P128" s="38">
        <f t="shared" si="14"/>
        <v>0.25709668144690778</v>
      </c>
      <c r="Q128" s="32">
        <f t="shared" si="15"/>
        <v>0.39635738389731623</v>
      </c>
      <c r="R128" s="32">
        <f t="shared" si="16"/>
        <v>0.72844059743290546</v>
      </c>
      <c r="S128" s="32">
        <f t="shared" si="17"/>
        <v>1.0819485344224038</v>
      </c>
      <c r="T128" s="32">
        <f t="shared" si="18"/>
        <v>2.0460610898483078</v>
      </c>
      <c r="U128" s="32">
        <f t="shared" si="19"/>
        <v>2.613816261376896</v>
      </c>
      <c r="V128" s="32">
        <f t="shared" si="20"/>
        <v>3.3743939439906647</v>
      </c>
      <c r="W128" s="32">
        <f t="shared" si="21"/>
        <v>4.4349177549591596</v>
      </c>
      <c r="X128" s="32">
        <f t="shared" si="22"/>
        <v>6.1703203547257868</v>
      </c>
      <c r="Y128" s="32">
        <f t="shared" si="23"/>
        <v>8.1735319976662772</v>
      </c>
      <c r="Z128" s="32">
        <f t="shared" si="24"/>
        <v>9.3518917876312706</v>
      </c>
      <c r="AA128" s="31">
        <f t="shared" si="25"/>
        <v>9.1804939999999995</v>
      </c>
      <c r="AB128" s="36"/>
      <c r="AC128" s="36"/>
      <c r="AD128" s="36"/>
      <c r="AE128" s="36"/>
      <c r="AF128" s="36"/>
      <c r="AG128" s="36"/>
      <c r="AH128" s="36"/>
      <c r="AI128" s="36"/>
      <c r="AJ128" s="36"/>
      <c r="AK128" s="36"/>
      <c r="AL128" s="36"/>
      <c r="AM128" s="36"/>
    </row>
    <row r="129" spans="3:39" ht="1" customHeight="1">
      <c r="C129" s="20" t="s">
        <v>40</v>
      </c>
      <c r="D129" s="24">
        <v>96.870639999999995</v>
      </c>
      <c r="E129" s="25">
        <v>67.19886000000001</v>
      </c>
      <c r="F129" s="25">
        <v>32.62697</v>
      </c>
      <c r="G129" s="21">
        <v>8.2514050000000001</v>
      </c>
      <c r="H129" s="24">
        <f t="shared" si="12"/>
        <v>36.617101919999996</v>
      </c>
      <c r="I129" s="25">
        <f t="shared" si="12"/>
        <v>2.8064489095127612</v>
      </c>
      <c r="J129" s="25">
        <f t="shared" si="12"/>
        <v>0.55299949152542371</v>
      </c>
      <c r="K129" s="21">
        <f t="shared" si="12"/>
        <v>2.1310238127294978</v>
      </c>
      <c r="L129" s="24">
        <f t="shared" si="13"/>
        <v>13.271277679999997</v>
      </c>
      <c r="M129" s="25">
        <f t="shared" si="13"/>
        <v>0.38978457076566131</v>
      </c>
      <c r="N129" s="25">
        <f t="shared" si="13"/>
        <v>0.11059989830508475</v>
      </c>
      <c r="O129" s="21">
        <f t="shared" si="13"/>
        <v>0.56557977968176265</v>
      </c>
      <c r="P129" s="38">
        <f t="shared" si="14"/>
        <v>0.56557977968176265</v>
      </c>
      <c r="Q129" s="32">
        <f t="shared" si="15"/>
        <v>0.81807075275397811</v>
      </c>
      <c r="R129" s="32">
        <f t="shared" si="16"/>
        <v>1.0806613647490821</v>
      </c>
      <c r="S129" s="32">
        <f t="shared" si="17"/>
        <v>1.3634512545899635</v>
      </c>
      <c r="T129" s="32">
        <f t="shared" si="18"/>
        <v>1.6765400611995103</v>
      </c>
      <c r="U129" s="32">
        <f t="shared" si="19"/>
        <v>2.1310238127294978</v>
      </c>
      <c r="V129" s="32">
        <f t="shared" si="20"/>
        <v>2.5552086474908196</v>
      </c>
      <c r="W129" s="32">
        <f t="shared" si="21"/>
        <v>3.3126815667074663</v>
      </c>
      <c r="X129" s="32">
        <f t="shared" si="22"/>
        <v>3.0803898714810281</v>
      </c>
      <c r="Y129" s="32">
        <f t="shared" si="23"/>
        <v>4.9892216279069777</v>
      </c>
      <c r="Z129" s="32">
        <f t="shared" si="24"/>
        <v>6.8273559118727052</v>
      </c>
      <c r="AA129" s="31">
        <f t="shared" si="25"/>
        <v>8.2514050000000001</v>
      </c>
      <c r="AB129" s="36"/>
      <c r="AC129" s="36"/>
      <c r="AD129" s="36"/>
      <c r="AE129" s="36"/>
      <c r="AF129" s="36"/>
      <c r="AG129" s="36"/>
      <c r="AH129" s="36"/>
      <c r="AI129" s="36"/>
      <c r="AJ129" s="36"/>
      <c r="AK129" s="36"/>
      <c r="AL129" s="36"/>
      <c r="AM129" s="36"/>
    </row>
    <row r="130" spans="3:39" ht="1" customHeight="1">
      <c r="C130" s="20" t="s">
        <v>41</v>
      </c>
      <c r="D130" s="24">
        <v>98.943049999999999</v>
      </c>
      <c r="E130" s="25">
        <v>87.964579999999998</v>
      </c>
      <c r="F130" s="25">
        <v>37.92456</v>
      </c>
      <c r="G130" s="21">
        <v>11.034660000000001</v>
      </c>
      <c r="H130" s="24">
        <f t="shared" si="12"/>
        <v>96.923804081632653</v>
      </c>
      <c r="I130" s="25">
        <f t="shared" si="12"/>
        <v>9.2816343405275781</v>
      </c>
      <c r="J130" s="25">
        <f t="shared" si="12"/>
        <v>0.57461454545454549</v>
      </c>
      <c r="K130" s="21">
        <f t="shared" si="12"/>
        <v>5.2348000579710154</v>
      </c>
      <c r="L130" s="24">
        <f t="shared" si="13"/>
        <v>34.428142908163267</v>
      </c>
      <c r="M130" s="25">
        <f t="shared" si="13"/>
        <v>1.4766236450839325</v>
      </c>
      <c r="N130" s="25">
        <f t="shared" si="13"/>
        <v>0.11492290909090909</v>
      </c>
      <c r="O130" s="21">
        <f t="shared" si="13"/>
        <v>1.6845181449275364</v>
      </c>
      <c r="P130" s="38">
        <f t="shared" si="14"/>
        <v>1.6845181449275364</v>
      </c>
      <c r="Q130" s="32">
        <f t="shared" si="15"/>
        <v>2.5481002318840584</v>
      </c>
      <c r="R130" s="32">
        <f t="shared" si="16"/>
        <v>3.6568969855072466</v>
      </c>
      <c r="S130" s="32">
        <f t="shared" si="17"/>
        <v>4.34989495652174</v>
      </c>
      <c r="T130" s="32">
        <f t="shared" si="18"/>
        <v>4.8936318260869571</v>
      </c>
      <c r="U130" s="32">
        <f t="shared" si="19"/>
        <v>5.2348000579710154</v>
      </c>
      <c r="V130" s="32">
        <f t="shared" si="20"/>
        <v>5.5759682898550738</v>
      </c>
      <c r="W130" s="32">
        <f t="shared" si="21"/>
        <v>6.5888114782608707</v>
      </c>
      <c r="X130" s="32">
        <f t="shared" si="22"/>
        <v>7.6016546666666667</v>
      </c>
      <c r="Y130" s="32">
        <f t="shared" si="23"/>
        <v>9.1475732173913062</v>
      </c>
      <c r="Z130" s="32">
        <f t="shared" si="24"/>
        <v>10.03247831884058</v>
      </c>
      <c r="AA130" s="31">
        <f t="shared" si="25"/>
        <v>11.034660000000001</v>
      </c>
      <c r="AB130" s="36"/>
      <c r="AC130" s="36"/>
      <c r="AD130" s="36"/>
      <c r="AE130" s="36"/>
      <c r="AF130" s="36"/>
      <c r="AG130" s="36"/>
      <c r="AH130" s="36"/>
      <c r="AI130" s="36"/>
      <c r="AJ130" s="36"/>
      <c r="AK130" s="36"/>
      <c r="AL130" s="36"/>
      <c r="AM130" s="36"/>
    </row>
    <row r="131" spans="3:39" ht="1" customHeight="1">
      <c r="C131" s="20" t="s">
        <v>42</v>
      </c>
      <c r="D131" s="24">
        <v>96.200739999999996</v>
      </c>
      <c r="E131" s="25">
        <v>82.975700000000003</v>
      </c>
      <c r="F131" s="25">
        <v>36.143830000000001</v>
      </c>
      <c r="G131" s="21">
        <v>8.5519859999999994</v>
      </c>
      <c r="H131" s="24">
        <f t="shared" si="12"/>
        <v>41.462518939999995</v>
      </c>
      <c r="I131" s="25">
        <f t="shared" si="12"/>
        <v>3.0044449414270495</v>
      </c>
      <c r="J131" s="25">
        <f t="shared" si="12"/>
        <v>0.55605892307692306</v>
      </c>
      <c r="K131" s="21">
        <f t="shared" si="12"/>
        <v>2.1768691636363631</v>
      </c>
      <c r="L131" s="24">
        <f t="shared" si="13"/>
        <v>20.875560579999998</v>
      </c>
      <c r="M131" s="25">
        <f t="shared" si="13"/>
        <v>0.70692822151224721</v>
      </c>
      <c r="N131" s="25">
        <f t="shared" si="13"/>
        <v>0.27802946153846153</v>
      </c>
      <c r="O131" s="21">
        <f t="shared" si="13"/>
        <v>0.77745327272727272</v>
      </c>
      <c r="P131" s="38">
        <f t="shared" si="14"/>
        <v>0.77745327272727272</v>
      </c>
      <c r="Q131" s="32">
        <f t="shared" si="15"/>
        <v>1.3170973090909091</v>
      </c>
      <c r="R131" s="32">
        <f t="shared" si="16"/>
        <v>1.6372251272727274</v>
      </c>
      <c r="S131" s="32">
        <f t="shared" si="17"/>
        <v>1.9847924727272725</v>
      </c>
      <c r="T131" s="32">
        <f t="shared" si="18"/>
        <v>2.1951621818181817</v>
      </c>
      <c r="U131" s="32">
        <f t="shared" si="19"/>
        <v>2.1768691636363631</v>
      </c>
      <c r="V131" s="32">
        <f t="shared" si="20"/>
        <v>2.8354178181818184</v>
      </c>
      <c r="W131" s="32">
        <f t="shared" si="21"/>
        <v>3.6403106181818177</v>
      </c>
      <c r="X131" s="32">
        <f t="shared" si="22"/>
        <v>4.5641080363636357</v>
      </c>
      <c r="Y131" s="32">
        <f t="shared" si="23"/>
        <v>5.6342495999999995</v>
      </c>
      <c r="Z131" s="32">
        <f t="shared" si="24"/>
        <v>6.5123144727272733</v>
      </c>
      <c r="AA131" s="31">
        <f t="shared" si="25"/>
        <v>8.5519859999999994</v>
      </c>
      <c r="AB131" s="36"/>
      <c r="AC131" s="36"/>
      <c r="AD131" s="36"/>
      <c r="AE131" s="36"/>
      <c r="AF131" s="36"/>
      <c r="AG131" s="36"/>
      <c r="AH131" s="36"/>
      <c r="AI131" s="36"/>
      <c r="AJ131" s="36"/>
      <c r="AK131" s="36"/>
      <c r="AL131" s="36"/>
      <c r="AM131" s="36"/>
    </row>
    <row r="132" spans="3:39" ht="1" customHeight="1">
      <c r="C132" s="20" t="s">
        <v>43</v>
      </c>
      <c r="D132" s="24">
        <v>98.842300000000009</v>
      </c>
      <c r="E132" s="25">
        <v>82.90646000000001</v>
      </c>
      <c r="F132" s="25">
        <v>48.924199999999999</v>
      </c>
      <c r="G132" s="21">
        <v>8.9065550000000009</v>
      </c>
      <c r="H132" s="24">
        <f t="shared" si="12"/>
        <v>67.706975500000013</v>
      </c>
      <c r="I132" s="25">
        <f t="shared" si="12"/>
        <v>3.9566900998890131</v>
      </c>
      <c r="J132" s="25">
        <f t="shared" si="12"/>
        <v>1.5566790909090906</v>
      </c>
      <c r="K132" s="21">
        <f t="shared" si="12"/>
        <v>3.8035110320284704</v>
      </c>
      <c r="L132" s="24">
        <f t="shared" si="13"/>
        <v>34.397120399999999</v>
      </c>
      <c r="M132" s="25">
        <f t="shared" si="13"/>
        <v>0.36806419533851287</v>
      </c>
      <c r="N132" s="25">
        <f t="shared" si="13"/>
        <v>0</v>
      </c>
      <c r="O132" s="21">
        <f t="shared" si="13"/>
        <v>1.6481881138790038</v>
      </c>
      <c r="P132" s="38">
        <f t="shared" si="14"/>
        <v>1.6481881138790038</v>
      </c>
      <c r="Q132" s="32">
        <f t="shared" si="15"/>
        <v>2.3349331613285886</v>
      </c>
      <c r="R132" s="32">
        <f t="shared" si="16"/>
        <v>2.8631985824436539</v>
      </c>
      <c r="S132" s="32">
        <f t="shared" si="17"/>
        <v>3.3069415361803092</v>
      </c>
      <c r="T132" s="32">
        <f t="shared" si="18"/>
        <v>3.623900788849348</v>
      </c>
      <c r="U132" s="32">
        <f t="shared" si="19"/>
        <v>3.8035110320284704</v>
      </c>
      <c r="V132" s="32">
        <f t="shared" si="20"/>
        <v>4.1838621352313172</v>
      </c>
      <c r="W132" s="32">
        <f t="shared" si="21"/>
        <v>4.2578192941874269</v>
      </c>
      <c r="X132" s="32">
        <f t="shared" si="22"/>
        <v>6.6138830723606183</v>
      </c>
      <c r="Y132" s="32">
        <f t="shared" si="23"/>
        <v>7.6915445314353512</v>
      </c>
      <c r="Z132" s="32">
        <f t="shared" si="24"/>
        <v>8.409985504151841</v>
      </c>
      <c r="AA132" s="31">
        <f t="shared" si="25"/>
        <v>8.9065550000000009</v>
      </c>
      <c r="AB132" s="36"/>
      <c r="AC132" s="36"/>
      <c r="AD132" s="36"/>
      <c r="AE132" s="36"/>
      <c r="AF132" s="36"/>
      <c r="AG132" s="36"/>
      <c r="AH132" s="36"/>
      <c r="AI132" s="36"/>
      <c r="AJ132" s="36"/>
      <c r="AK132" s="36"/>
      <c r="AL132" s="36"/>
      <c r="AM132" s="36"/>
    </row>
    <row r="133" spans="3:39" ht="1" customHeight="1">
      <c r="C133" s="20" t="s">
        <v>44</v>
      </c>
      <c r="D133" s="24">
        <v>96.649039999999999</v>
      </c>
      <c r="E133" s="25">
        <v>74.830190000000002</v>
      </c>
      <c r="F133" s="25">
        <v>35.620280000000001</v>
      </c>
      <c r="G133" s="21">
        <v>8.8462569999999996</v>
      </c>
      <c r="H133" s="24">
        <f t="shared" ref="H133:H148" si="26">D133*K191</f>
        <v>50.662803225806449</v>
      </c>
      <c r="I133" s="25">
        <f t="shared" ref="I133:K139" si="27">E133*L191</f>
        <v>3.0060908464849354</v>
      </c>
      <c r="J133" s="25">
        <f t="shared" si="27"/>
        <v>0.43545574572127144</v>
      </c>
      <c r="K133" s="21">
        <f t="shared" si="27"/>
        <v>2.7562845086206895</v>
      </c>
      <c r="L133" s="24">
        <f t="shared" ref="L133:L148" si="28">D133*Q191</f>
        <v>12.178558467741935</v>
      </c>
      <c r="M133" s="25">
        <f t="shared" ref="M133:M148" si="29">E133*R191</f>
        <v>0</v>
      </c>
      <c r="N133" s="25">
        <f t="shared" ref="N133:N148" si="30">F133*S191</f>
        <v>0</v>
      </c>
      <c r="O133" s="21">
        <f t="shared" ref="O133:O148" si="31">G133*T191</f>
        <v>0.31593774999999996</v>
      </c>
      <c r="P133" s="38">
        <f t="shared" si="14"/>
        <v>0.31593774999999996</v>
      </c>
      <c r="Q133" s="32">
        <f t="shared" si="15"/>
        <v>1.1548069482758621</v>
      </c>
      <c r="R133" s="32">
        <f t="shared" si="16"/>
        <v>1.6668439913793105</v>
      </c>
      <c r="S133" s="32">
        <f t="shared" si="17"/>
        <v>2.4076635431034483</v>
      </c>
      <c r="T133" s="32">
        <f t="shared" si="18"/>
        <v>2.5057131896551721</v>
      </c>
      <c r="U133" s="32">
        <f t="shared" si="19"/>
        <v>2.7562845086206895</v>
      </c>
      <c r="V133" s="32">
        <f t="shared" si="20"/>
        <v>3.0286446379310346</v>
      </c>
      <c r="W133" s="32">
        <f t="shared" si="21"/>
        <v>4.074507534482759</v>
      </c>
      <c r="X133" s="32">
        <f t="shared" si="22"/>
        <v>5.4254137758620695</v>
      </c>
      <c r="Y133" s="32">
        <f t="shared" si="23"/>
        <v>6.6782703706896562</v>
      </c>
      <c r="Z133" s="32">
        <f t="shared" si="24"/>
        <v>7.6587668362068975</v>
      </c>
      <c r="AA133" s="31">
        <f t="shared" si="25"/>
        <v>8.8462569999999996</v>
      </c>
      <c r="AB133" s="36"/>
      <c r="AC133" s="36"/>
      <c r="AD133" s="36"/>
      <c r="AE133" s="36"/>
      <c r="AF133" s="36"/>
      <c r="AG133" s="36"/>
      <c r="AH133" s="36"/>
      <c r="AI133" s="36"/>
      <c r="AJ133" s="36"/>
      <c r="AK133" s="36"/>
      <c r="AL133" s="36"/>
      <c r="AM133" s="36"/>
    </row>
    <row r="134" spans="3:39" ht="1" customHeight="1">
      <c r="C134" s="20" t="s">
        <v>45</v>
      </c>
      <c r="D134" s="24">
        <v>94.88927000000001</v>
      </c>
      <c r="E134" s="25">
        <v>67.499659999999992</v>
      </c>
      <c r="F134" s="25">
        <v>39.595019999999998</v>
      </c>
      <c r="G134" s="21">
        <v>9.0662079999999996</v>
      </c>
      <c r="H134" s="24">
        <f t="shared" si="26"/>
        <v>55.510222949999999</v>
      </c>
      <c r="I134" s="25">
        <f t="shared" si="27"/>
        <v>3.7178515299877595</v>
      </c>
      <c r="J134" s="25">
        <f t="shared" si="27"/>
        <v>0.81220553846153842</v>
      </c>
      <c r="K134" s="21">
        <f t="shared" si="27"/>
        <v>2.9617786733167084</v>
      </c>
      <c r="L134" s="24">
        <f t="shared" si="28"/>
        <v>25.145656550000005</v>
      </c>
      <c r="M134" s="25">
        <f t="shared" si="29"/>
        <v>0</v>
      </c>
      <c r="N134" s="25">
        <f t="shared" si="30"/>
        <v>0.1015256923076923</v>
      </c>
      <c r="O134" s="21">
        <f t="shared" si="31"/>
        <v>1.0174048877805486</v>
      </c>
      <c r="P134" s="38">
        <f t="shared" si="14"/>
        <v>1.0174048877805486</v>
      </c>
      <c r="Q134" s="32">
        <f t="shared" si="15"/>
        <v>1.4130623441396508</v>
      </c>
      <c r="R134" s="32">
        <f t="shared" si="16"/>
        <v>1.7861108029925188</v>
      </c>
      <c r="S134" s="32">
        <f t="shared" si="17"/>
        <v>2.1026367680798006</v>
      </c>
      <c r="T134" s="32">
        <f t="shared" si="18"/>
        <v>2.5209032219451371</v>
      </c>
      <c r="U134" s="32">
        <f t="shared" si="19"/>
        <v>2.9617786733167084</v>
      </c>
      <c r="V134" s="32">
        <f t="shared" si="20"/>
        <v>3.7191800897755614</v>
      </c>
      <c r="W134" s="32">
        <f t="shared" si="21"/>
        <v>5.143546932668329</v>
      </c>
      <c r="X134" s="32">
        <f t="shared" si="22"/>
        <v>7.1783567082294262</v>
      </c>
      <c r="Y134" s="32">
        <f t="shared" si="23"/>
        <v>8.1731525985037408</v>
      </c>
      <c r="Z134" s="32">
        <f t="shared" si="24"/>
        <v>8.3766335760598505</v>
      </c>
      <c r="AA134" s="31">
        <f t="shared" si="25"/>
        <v>9.0662079999999996</v>
      </c>
      <c r="AB134" s="36"/>
      <c r="AC134" s="36"/>
      <c r="AD134" s="36"/>
      <c r="AE134" s="36"/>
      <c r="AF134" s="36"/>
      <c r="AG134" s="36"/>
      <c r="AH134" s="36"/>
      <c r="AI134" s="36"/>
      <c r="AJ134" s="36"/>
      <c r="AK134" s="36"/>
      <c r="AL134" s="36"/>
      <c r="AM134" s="36"/>
    </row>
    <row r="135" spans="3:39" ht="1" customHeight="1">
      <c r="C135" s="20" t="s">
        <v>46</v>
      </c>
      <c r="D135" s="24">
        <v>94.732830000000007</v>
      </c>
      <c r="E135" s="25">
        <v>63.268129999999999</v>
      </c>
      <c r="F135" s="25">
        <v>20.70036</v>
      </c>
      <c r="G135" s="21">
        <v>7.5093560000000004</v>
      </c>
      <c r="H135" s="24">
        <f t="shared" si="26"/>
        <v>40.261452750000004</v>
      </c>
      <c r="I135" s="25">
        <f t="shared" si="27"/>
        <v>3.4639555877616748</v>
      </c>
      <c r="J135" s="25">
        <f t="shared" si="27"/>
        <v>0.36000626086956522</v>
      </c>
      <c r="K135" s="21">
        <f t="shared" si="27"/>
        <v>1.444106923076923</v>
      </c>
      <c r="L135" s="24">
        <f t="shared" si="28"/>
        <v>19.420230150000002</v>
      </c>
      <c r="M135" s="25">
        <f t="shared" si="29"/>
        <v>0.81504837359098226</v>
      </c>
      <c r="N135" s="25">
        <f t="shared" si="30"/>
        <v>0</v>
      </c>
      <c r="O135" s="21">
        <f t="shared" si="31"/>
        <v>0.76397914640198505</v>
      </c>
      <c r="P135" s="38">
        <f t="shared" si="14"/>
        <v>0.76397914640198505</v>
      </c>
      <c r="Q135" s="32">
        <f t="shared" si="15"/>
        <v>1.0714341687344913</v>
      </c>
      <c r="R135" s="32">
        <f t="shared" si="16"/>
        <v>1.1925528138957817</v>
      </c>
      <c r="S135" s="32">
        <f t="shared" si="17"/>
        <v>1.3136714590570719</v>
      </c>
      <c r="T135" s="32">
        <f t="shared" si="18"/>
        <v>1.3136714590570719</v>
      </c>
      <c r="U135" s="32">
        <f t="shared" si="19"/>
        <v>1.444106923076923</v>
      </c>
      <c r="V135" s="32">
        <f t="shared" si="20"/>
        <v>1.8447301339950373</v>
      </c>
      <c r="W135" s="32">
        <f t="shared" si="21"/>
        <v>2.7018774689826301</v>
      </c>
      <c r="X135" s="32">
        <f t="shared" si="22"/>
        <v>3.484490253101737</v>
      </c>
      <c r="Y135" s="32">
        <f t="shared" si="23"/>
        <v>4.7329439801488835</v>
      </c>
      <c r="Z135" s="32">
        <f t="shared" si="24"/>
        <v>6.5590404764267989</v>
      </c>
      <c r="AA135" s="31">
        <f t="shared" si="25"/>
        <v>7.5093560000000004</v>
      </c>
    </row>
    <row r="136" spans="3:39" ht="1" customHeight="1">
      <c r="C136" s="20" t="s">
        <v>47</v>
      </c>
      <c r="D136" s="24">
        <v>93.189340000000001</v>
      </c>
      <c r="E136" s="25">
        <v>49.893430000000002</v>
      </c>
      <c r="F136" s="25">
        <v>12.735330000000001</v>
      </c>
      <c r="G136" s="21">
        <v>5.565169</v>
      </c>
      <c r="H136" s="24">
        <f t="shared" si="26"/>
        <v>27.67723398</v>
      </c>
      <c r="I136" s="25">
        <f t="shared" si="27"/>
        <v>2.4434381200631914</v>
      </c>
      <c r="J136" s="25">
        <f t="shared" si="27"/>
        <v>0.27212243589743595</v>
      </c>
      <c r="K136" s="21">
        <f t="shared" si="27"/>
        <v>1.4099852360844531</v>
      </c>
      <c r="L136" s="24">
        <f t="shared" si="28"/>
        <v>19.662950740000003</v>
      </c>
      <c r="M136" s="25">
        <f t="shared" si="29"/>
        <v>1.0246675987361771</v>
      </c>
      <c r="N136" s="25">
        <f t="shared" si="30"/>
        <v>0</v>
      </c>
      <c r="O136" s="21">
        <f t="shared" si="31"/>
        <v>0.89726333205374287</v>
      </c>
      <c r="P136" s="38">
        <f t="shared" si="14"/>
        <v>0.89726333205374287</v>
      </c>
      <c r="Q136" s="32">
        <f t="shared" si="15"/>
        <v>1.1429425777351248</v>
      </c>
      <c r="R136" s="32">
        <f t="shared" si="16"/>
        <v>1.3993035297504797</v>
      </c>
      <c r="S136" s="32">
        <f t="shared" si="17"/>
        <v>1.3779401170825336</v>
      </c>
      <c r="T136" s="32">
        <f t="shared" si="18"/>
        <v>1.5274840057581576</v>
      </c>
      <c r="U136" s="32">
        <f t="shared" si="19"/>
        <v>1.4099852360844531</v>
      </c>
      <c r="V136" s="32">
        <f t="shared" si="20"/>
        <v>1.5061205930902108</v>
      </c>
      <c r="W136" s="32">
        <f t="shared" si="21"/>
        <v>1.9013437274472169</v>
      </c>
      <c r="X136" s="32">
        <f t="shared" si="22"/>
        <v>3.1404216621880998</v>
      </c>
      <c r="Y136" s="32">
        <f t="shared" si="23"/>
        <v>3.9095045182341654</v>
      </c>
      <c r="Z136" s="32">
        <f t="shared" si="24"/>
        <v>4.6465422552783107</v>
      </c>
      <c r="AA136" s="31">
        <f t="shared" si="25"/>
        <v>5.565169</v>
      </c>
    </row>
    <row r="137" spans="3:39" ht="1" customHeight="1">
      <c r="C137" s="20" t="s">
        <v>48</v>
      </c>
      <c r="D137" s="24">
        <v>82.6</v>
      </c>
      <c r="E137" s="25">
        <v>88.7</v>
      </c>
      <c r="F137" s="25">
        <v>11</v>
      </c>
      <c r="G137" s="21">
        <v>9</v>
      </c>
      <c r="H137" s="24">
        <f t="shared" si="26"/>
        <v>99.999999999999986</v>
      </c>
      <c r="I137" s="25">
        <f t="shared" si="27"/>
        <v>1.6</v>
      </c>
      <c r="J137" s="25">
        <f t="shared" si="27"/>
        <v>0.10000000000000002</v>
      </c>
      <c r="K137" s="21">
        <f t="shared" si="27"/>
        <v>4.3600000000000003</v>
      </c>
      <c r="L137" s="24">
        <f t="shared" si="28"/>
        <v>62.4</v>
      </c>
      <c r="M137" s="25">
        <f t="shared" si="29"/>
        <v>0.1</v>
      </c>
      <c r="N137" s="25">
        <f t="shared" si="30"/>
        <v>0</v>
      </c>
      <c r="O137" s="21">
        <f t="shared" si="31"/>
        <v>1.56</v>
      </c>
      <c r="P137" s="38">
        <f t="shared" si="14"/>
        <v>1.56</v>
      </c>
      <c r="Q137" s="32">
        <f t="shared" si="15"/>
        <v>1.98</v>
      </c>
      <c r="R137" s="32">
        <f t="shared" si="16"/>
        <v>2.58</v>
      </c>
      <c r="S137" s="32">
        <f t="shared" si="17"/>
        <v>2.97</v>
      </c>
      <c r="T137" s="32">
        <f t="shared" si="18"/>
        <v>3.4400000000000004</v>
      </c>
      <c r="U137" s="32">
        <f t="shared" si="19"/>
        <v>4.3600000000000003</v>
      </c>
      <c r="V137" s="32">
        <f t="shared" si="20"/>
        <v>4.91</v>
      </c>
      <c r="W137" s="32">
        <f t="shared" si="21"/>
        <v>5.76</v>
      </c>
      <c r="X137" s="32">
        <f t="shared" si="22"/>
        <v>6.65</v>
      </c>
      <c r="Y137" s="32">
        <f t="shared" si="23"/>
        <v>7.27</v>
      </c>
      <c r="Z137" s="32">
        <f t="shared" si="24"/>
        <v>8.43</v>
      </c>
      <c r="AA137" s="31">
        <f t="shared" si="25"/>
        <v>9</v>
      </c>
    </row>
    <row r="138" spans="3:39" ht="1" customHeight="1">
      <c r="C138" s="20" t="s">
        <v>49</v>
      </c>
      <c r="D138" s="24">
        <v>99.1</v>
      </c>
      <c r="E138" s="25">
        <v>42.2</v>
      </c>
      <c r="F138" s="25">
        <v>2.9</v>
      </c>
      <c r="G138" s="21">
        <v>5.17</v>
      </c>
      <c r="H138" s="24">
        <f t="shared" si="26"/>
        <v>30.6</v>
      </c>
      <c r="I138" s="25">
        <f t="shared" si="27"/>
        <v>1.3</v>
      </c>
      <c r="J138" s="25">
        <f t="shared" si="27"/>
        <v>9.9999999999999992E-2</v>
      </c>
      <c r="K138" s="21">
        <f t="shared" si="27"/>
        <v>0.6</v>
      </c>
      <c r="L138" s="24">
        <f t="shared" si="28"/>
        <v>0</v>
      </c>
      <c r="M138" s="25">
        <f t="shared" si="29"/>
        <v>0</v>
      </c>
      <c r="N138" s="25">
        <f t="shared" si="30"/>
        <v>0</v>
      </c>
      <c r="O138" s="21">
        <f t="shared" si="31"/>
        <v>0.14000000000000001</v>
      </c>
      <c r="P138" s="38">
        <f t="shared" si="14"/>
        <v>0.14000000000000001</v>
      </c>
      <c r="Q138" s="32">
        <f t="shared" si="15"/>
        <v>0.22</v>
      </c>
      <c r="R138" s="32">
        <f t="shared" si="16"/>
        <v>0.31</v>
      </c>
      <c r="S138" s="32">
        <f t="shared" si="17"/>
        <v>0.4</v>
      </c>
      <c r="T138" s="32">
        <f t="shared" si="18"/>
        <v>0.72</v>
      </c>
      <c r="U138" s="32">
        <f t="shared" si="19"/>
        <v>0.6</v>
      </c>
      <c r="V138" s="32">
        <f t="shared" si="20"/>
        <v>0.83</v>
      </c>
      <c r="W138" s="32">
        <f t="shared" si="21"/>
        <v>1.22</v>
      </c>
      <c r="X138" s="32">
        <f t="shared" si="22"/>
        <v>2.0699999999999998</v>
      </c>
      <c r="Y138" s="32">
        <f t="shared" si="23"/>
        <v>3.56</v>
      </c>
      <c r="Z138" s="32">
        <f t="shared" si="24"/>
        <v>4.4400000000000004</v>
      </c>
      <c r="AA138" s="31">
        <f t="shared" si="25"/>
        <v>5.17</v>
      </c>
    </row>
    <row r="139" spans="3:39" ht="1" customHeight="1">
      <c r="C139" s="20" t="s">
        <v>50</v>
      </c>
      <c r="D139" s="24">
        <v>90.698530000000005</v>
      </c>
      <c r="E139" s="25">
        <v>52.82732</v>
      </c>
      <c r="F139" s="25">
        <v>20.424769999999999</v>
      </c>
      <c r="G139" s="21">
        <v>6.1000430000000003</v>
      </c>
      <c r="H139" s="24">
        <f t="shared" si="26"/>
        <v>27.935147240000003</v>
      </c>
      <c r="I139" s="25">
        <f t="shared" si="27"/>
        <v>0.83852888888888899</v>
      </c>
      <c r="J139" s="25">
        <f t="shared" si="27"/>
        <v>0.38904323809523811</v>
      </c>
      <c r="K139" s="21">
        <f t="shared" si="27"/>
        <v>1.5250107500000001</v>
      </c>
      <c r="L139" s="24">
        <f t="shared" si="28"/>
        <v>27.481654590000002</v>
      </c>
      <c r="M139" s="25">
        <f t="shared" si="29"/>
        <v>0.45737939393939392</v>
      </c>
      <c r="N139" s="25">
        <f t="shared" si="30"/>
        <v>0.19452161904761905</v>
      </c>
      <c r="O139" s="21">
        <f t="shared" si="31"/>
        <v>0.70242919393939396</v>
      </c>
      <c r="P139" s="38">
        <f t="shared" si="14"/>
        <v>0.70242919393939396</v>
      </c>
      <c r="Q139" s="32">
        <f t="shared" si="15"/>
        <v>1.0166738333333336</v>
      </c>
      <c r="R139" s="32">
        <f t="shared" si="16"/>
        <v>1.4048583878787879</v>
      </c>
      <c r="S139" s="32">
        <f t="shared" si="17"/>
        <v>1.4325858560606062</v>
      </c>
      <c r="T139" s="32">
        <f t="shared" si="18"/>
        <v>1.4048583878787879</v>
      </c>
      <c r="U139" s="32">
        <f t="shared" si="19"/>
        <v>1.5250107500000001</v>
      </c>
      <c r="V139" s="32">
        <f t="shared" si="20"/>
        <v>1.7838004530303031</v>
      </c>
      <c r="W139" s="32">
        <f t="shared" si="21"/>
        <v>2.1997124757575759</v>
      </c>
      <c r="X139" s="32">
        <f t="shared" si="22"/>
        <v>3.4566910333333341</v>
      </c>
      <c r="Y139" s="32">
        <f t="shared" si="23"/>
        <v>4.6859421227272735</v>
      </c>
      <c r="Z139" s="32">
        <f t="shared" si="24"/>
        <v>5.4253412742424247</v>
      </c>
      <c r="AA139" s="31">
        <f t="shared" si="25"/>
        <v>6.1000430000000003</v>
      </c>
    </row>
    <row r="140" spans="3:39" ht="1" customHeight="1">
      <c r="C140" s="20" t="s">
        <v>51</v>
      </c>
      <c r="D140" s="24">
        <v>94.6</v>
      </c>
      <c r="E140" s="25">
        <v>89.9</v>
      </c>
      <c r="F140" s="25">
        <v>28.999999999999996</v>
      </c>
      <c r="G140" s="21">
        <v>10.33</v>
      </c>
      <c r="H140" s="24">
        <f t="shared" si="26"/>
        <v>99.999999999999986</v>
      </c>
      <c r="I140" s="25">
        <f t="shared" ref="I140:I148" si="32">E140*L198</f>
        <v>3.3999999999999995</v>
      </c>
      <c r="J140" s="25">
        <f t="shared" ref="J140:J148" si="33">F140*M198</f>
        <v>0.2</v>
      </c>
      <c r="K140" s="21">
        <f t="shared" ref="K140:K148" si="34">G140*N198</f>
        <v>3.64</v>
      </c>
      <c r="L140" s="24">
        <f t="shared" si="28"/>
        <v>80.3</v>
      </c>
      <c r="M140" s="25">
        <f t="shared" si="29"/>
        <v>0.2</v>
      </c>
      <c r="N140" s="25">
        <f t="shared" si="30"/>
        <v>0</v>
      </c>
      <c r="O140" s="21">
        <f t="shared" si="31"/>
        <v>1.97</v>
      </c>
      <c r="P140" s="38">
        <f t="shared" si="14"/>
        <v>1.97</v>
      </c>
      <c r="Q140" s="32">
        <f t="shared" si="15"/>
        <v>2.4700000000000002</v>
      </c>
      <c r="R140" s="32">
        <f t="shared" si="16"/>
        <v>2.7599999999999993</v>
      </c>
      <c r="S140" s="32">
        <f t="shared" si="17"/>
        <v>2.9799999999999995</v>
      </c>
      <c r="T140" s="32">
        <f t="shared" si="18"/>
        <v>3.3599999999999994</v>
      </c>
      <c r="U140" s="32">
        <f t="shared" si="19"/>
        <v>3.64</v>
      </c>
      <c r="V140" s="32">
        <f t="shared" si="20"/>
        <v>3.9300000000000006</v>
      </c>
      <c r="W140" s="32">
        <f t="shared" si="21"/>
        <v>4.96</v>
      </c>
      <c r="X140" s="32">
        <f t="shared" si="22"/>
        <v>6.27</v>
      </c>
      <c r="Y140" s="32">
        <f t="shared" si="23"/>
        <v>7.48</v>
      </c>
      <c r="Z140" s="32">
        <f t="shared" si="24"/>
        <v>9.59</v>
      </c>
      <c r="AA140" s="31">
        <f t="shared" si="25"/>
        <v>10.33</v>
      </c>
    </row>
    <row r="141" spans="3:39" ht="1" customHeight="1">
      <c r="C141" s="20" t="s">
        <v>52</v>
      </c>
      <c r="D141" s="24">
        <v>97.536259999999999</v>
      </c>
      <c r="E141" s="25">
        <v>71.089559999999992</v>
      </c>
      <c r="F141" s="25">
        <v>25.439240000000002</v>
      </c>
      <c r="G141" s="21">
        <v>9.1619220000000006</v>
      </c>
      <c r="H141" s="24">
        <f t="shared" si="26"/>
        <v>61.057698760000001</v>
      </c>
      <c r="I141" s="25">
        <f t="shared" si="32"/>
        <v>1.6332547037484881</v>
      </c>
      <c r="J141" s="25">
        <f t="shared" si="33"/>
        <v>0.47109703703703704</v>
      </c>
      <c r="K141" s="21">
        <f t="shared" si="34"/>
        <v>2.1956675816993467</v>
      </c>
      <c r="L141" s="24">
        <f t="shared" si="28"/>
        <v>34.235227260000002</v>
      </c>
      <c r="M141" s="25">
        <f t="shared" si="29"/>
        <v>0.34384309552599751</v>
      </c>
      <c r="N141" s="25">
        <f t="shared" si="30"/>
        <v>0.18843881481481484</v>
      </c>
      <c r="O141" s="21">
        <f t="shared" si="31"/>
        <v>0.84832611111111111</v>
      </c>
      <c r="P141" s="38">
        <f t="shared" si="14"/>
        <v>0.84832611111111111</v>
      </c>
      <c r="Q141" s="32">
        <f t="shared" si="15"/>
        <v>1.3273808562091505</v>
      </c>
      <c r="R141" s="32">
        <f t="shared" si="16"/>
        <v>1.4671051568627453</v>
      </c>
      <c r="S141" s="32">
        <f t="shared" si="17"/>
        <v>1.6966522222222222</v>
      </c>
      <c r="T141" s="32">
        <f t="shared" si="18"/>
        <v>2.2455691176470589</v>
      </c>
      <c r="U141" s="32">
        <f t="shared" si="19"/>
        <v>2.1956675816993467</v>
      </c>
      <c r="V141" s="32">
        <f t="shared" si="20"/>
        <v>2.5449783333333338</v>
      </c>
      <c r="W141" s="32">
        <f t="shared" si="21"/>
        <v>3.4731469019607846</v>
      </c>
      <c r="X141" s="32">
        <f t="shared" si="22"/>
        <v>5.0001339019607842</v>
      </c>
      <c r="Y141" s="32">
        <f t="shared" si="23"/>
        <v>6.6668452026143799</v>
      </c>
      <c r="Z141" s="32">
        <f t="shared" si="24"/>
        <v>7.9443245228758173</v>
      </c>
      <c r="AA141" s="31">
        <f t="shared" si="25"/>
        <v>9.1619220000000006</v>
      </c>
    </row>
    <row r="142" spans="3:39" ht="1" customHeight="1">
      <c r="C142" s="20" t="s">
        <v>53</v>
      </c>
      <c r="D142" s="24">
        <v>90.324150000000003</v>
      </c>
      <c r="E142" s="25">
        <v>55.576349999999998</v>
      </c>
      <c r="F142" s="25">
        <v>25.448500000000003</v>
      </c>
      <c r="G142" s="21">
        <v>7.0106279999999996</v>
      </c>
      <c r="H142" s="24">
        <f t="shared" si="26"/>
        <v>36.671604900000006</v>
      </c>
      <c r="I142" s="25">
        <f t="shared" si="32"/>
        <v>2.9879758064516131</v>
      </c>
      <c r="J142" s="25">
        <f t="shared" si="33"/>
        <v>0.43876724137931039</v>
      </c>
      <c r="K142" s="21">
        <f t="shared" si="34"/>
        <v>1.5830450322580645</v>
      </c>
      <c r="L142" s="24">
        <f t="shared" si="28"/>
        <v>17.342236800000002</v>
      </c>
      <c r="M142" s="25">
        <f t="shared" si="29"/>
        <v>0</v>
      </c>
      <c r="N142" s="25">
        <f t="shared" si="30"/>
        <v>0</v>
      </c>
      <c r="O142" s="21">
        <f t="shared" si="31"/>
        <v>0.88403813489736061</v>
      </c>
      <c r="P142" s="38">
        <f t="shared" si="14"/>
        <v>0.88403813489736061</v>
      </c>
      <c r="Q142" s="32">
        <f t="shared" si="15"/>
        <v>1.1204669384164223</v>
      </c>
      <c r="R142" s="32">
        <f t="shared" si="16"/>
        <v>1.3157776891495601</v>
      </c>
      <c r="S142" s="32">
        <f t="shared" si="17"/>
        <v>1.5213679530791788</v>
      </c>
      <c r="T142" s="32">
        <f t="shared" si="18"/>
        <v>1.5624860058651024</v>
      </c>
      <c r="U142" s="32">
        <f t="shared" si="19"/>
        <v>1.5830450322580645</v>
      </c>
      <c r="V142" s="32">
        <f t="shared" si="20"/>
        <v>2.2512133900293252</v>
      </c>
      <c r="W142" s="32">
        <f t="shared" si="21"/>
        <v>3.1558105513196475</v>
      </c>
      <c r="X142" s="32">
        <f t="shared" si="22"/>
        <v>3.94733306744868</v>
      </c>
      <c r="Y142" s="32">
        <f t="shared" si="23"/>
        <v>4.769694123167155</v>
      </c>
      <c r="Z142" s="32">
        <f t="shared" si="24"/>
        <v>5.8593225219941347</v>
      </c>
      <c r="AA142" s="31">
        <f t="shared" si="25"/>
        <v>7.0106279999999996</v>
      </c>
    </row>
    <row r="143" spans="3:39" ht="1" customHeight="1">
      <c r="C143" s="20" t="s">
        <v>54</v>
      </c>
      <c r="D143" s="24">
        <v>98.797659999999993</v>
      </c>
      <c r="E143" s="25">
        <v>81.804220000000001</v>
      </c>
      <c r="F143" s="25">
        <v>33.59169</v>
      </c>
      <c r="G143" s="21">
        <v>9.9935670000000005</v>
      </c>
      <c r="H143" s="24">
        <f t="shared" si="26"/>
        <v>73.790783402489623</v>
      </c>
      <c r="I143" s="25">
        <f t="shared" si="32"/>
        <v>15.415992826747722</v>
      </c>
      <c r="J143" s="25">
        <f t="shared" si="33"/>
        <v>0.83979225000000002</v>
      </c>
      <c r="K143" s="21">
        <f t="shared" si="34"/>
        <v>3.9789201944444446</v>
      </c>
      <c r="L143" s="24">
        <f t="shared" si="28"/>
        <v>20.087491037344396</v>
      </c>
      <c r="M143" s="25">
        <f t="shared" si="29"/>
        <v>0</v>
      </c>
      <c r="N143" s="25">
        <f t="shared" si="30"/>
        <v>0</v>
      </c>
      <c r="O143" s="21">
        <f t="shared" si="31"/>
        <v>0.87392304012345678</v>
      </c>
      <c r="P143" s="38">
        <f t="shared" si="14"/>
        <v>0.87392304012345678</v>
      </c>
      <c r="Q143" s="32">
        <f t="shared" si="15"/>
        <v>1.5319356820987655</v>
      </c>
      <c r="R143" s="32">
        <f t="shared" si="16"/>
        <v>2.0048822685185184</v>
      </c>
      <c r="S143" s="32">
        <f t="shared" si="17"/>
        <v>2.549798987654321</v>
      </c>
      <c r="T143" s="32">
        <f t="shared" si="18"/>
        <v>3.2592188672839506</v>
      </c>
      <c r="U143" s="32">
        <f t="shared" si="19"/>
        <v>3.9789201944444446</v>
      </c>
      <c r="V143" s="32">
        <f t="shared" si="20"/>
        <v>4.8836875771604937</v>
      </c>
      <c r="W143" s="32">
        <f t="shared" si="21"/>
        <v>5.5417002191358025</v>
      </c>
      <c r="X143" s="32">
        <f t="shared" si="22"/>
        <v>7.0839173487654321</v>
      </c>
      <c r="Y143" s="32">
        <f t="shared" si="23"/>
        <v>8.3074096049382717</v>
      </c>
      <c r="Z143" s="32">
        <f t="shared" si="24"/>
        <v>9.5000575185185188</v>
      </c>
      <c r="AA143" s="31">
        <f t="shared" si="25"/>
        <v>9.9935670000000005</v>
      </c>
    </row>
    <row r="144" spans="3:39" ht="1" customHeight="1">
      <c r="C144" s="20" t="s">
        <v>55</v>
      </c>
      <c r="D144" s="24">
        <v>98.318340000000006</v>
      </c>
      <c r="E144" s="25">
        <v>73.957999999999998</v>
      </c>
      <c r="F144" s="25">
        <v>30.03782</v>
      </c>
      <c r="G144" s="21">
        <v>8.7836890000000007</v>
      </c>
      <c r="H144" s="24">
        <f t="shared" si="26"/>
        <v>70.653006233766234</v>
      </c>
      <c r="I144" s="25">
        <f t="shared" si="32"/>
        <v>3.7363625557206537</v>
      </c>
      <c r="J144" s="25">
        <f t="shared" si="33"/>
        <v>0.60075639999999997</v>
      </c>
      <c r="K144" s="21">
        <f t="shared" si="34"/>
        <v>3.0891321764705881</v>
      </c>
      <c r="L144" s="24">
        <f t="shared" si="28"/>
        <v>21.068215714285714</v>
      </c>
      <c r="M144" s="25">
        <f t="shared" si="29"/>
        <v>0</v>
      </c>
      <c r="N144" s="25">
        <f t="shared" si="30"/>
        <v>0</v>
      </c>
      <c r="O144" s="21">
        <f t="shared" si="31"/>
        <v>0.84648817647058827</v>
      </c>
      <c r="P144" s="38">
        <f t="shared" si="14"/>
        <v>0.84648817647058827</v>
      </c>
      <c r="Q144" s="32">
        <f t="shared" si="15"/>
        <v>1.5170827058823528</v>
      </c>
      <c r="R144" s="32">
        <f t="shared" si="16"/>
        <v>2.0007902352941178</v>
      </c>
      <c r="S144" s="32">
        <f t="shared" si="17"/>
        <v>2.5724445882352942</v>
      </c>
      <c r="T144" s="32">
        <f t="shared" si="18"/>
        <v>2.9791986470588236</v>
      </c>
      <c r="U144" s="32">
        <f t="shared" si="19"/>
        <v>3.0891321764705881</v>
      </c>
      <c r="V144" s="32">
        <f t="shared" si="20"/>
        <v>3.8146934705882356</v>
      </c>
      <c r="W144" s="32">
        <f t="shared" si="21"/>
        <v>4.7491284705882357</v>
      </c>
      <c r="X144" s="32">
        <f t="shared" si="22"/>
        <v>5.9034305294117653</v>
      </c>
      <c r="Y144" s="32">
        <f t="shared" si="23"/>
        <v>7.0687259411764707</v>
      </c>
      <c r="Z144" s="32">
        <f t="shared" si="24"/>
        <v>7.2006461764705882</v>
      </c>
      <c r="AA144" s="31">
        <f t="shared" si="25"/>
        <v>8.7836890000000007</v>
      </c>
    </row>
    <row r="145" spans="3:27" ht="1" customHeight="1">
      <c r="C145" s="20" t="s">
        <v>56</v>
      </c>
      <c r="D145" s="24">
        <v>97.454799999999992</v>
      </c>
      <c r="E145" s="25">
        <v>83.185040000000001</v>
      </c>
      <c r="F145" s="25">
        <v>42.555769999999995</v>
      </c>
      <c r="G145" s="21">
        <v>9.8180069999999997</v>
      </c>
      <c r="H145" s="24">
        <f t="shared" si="26"/>
        <v>67.048902399999989</v>
      </c>
      <c r="I145" s="25">
        <f t="shared" si="32"/>
        <v>3.9704151804423744</v>
      </c>
      <c r="J145" s="25">
        <f t="shared" si="33"/>
        <v>1.18760288372093</v>
      </c>
      <c r="K145" s="21">
        <f t="shared" si="34"/>
        <v>3.0787069364224138</v>
      </c>
      <c r="L145" s="24">
        <f t="shared" si="28"/>
        <v>15.300403599999999</v>
      </c>
      <c r="M145" s="25">
        <f t="shared" si="29"/>
        <v>0.19367878928987195</v>
      </c>
      <c r="N145" s="25">
        <f t="shared" si="30"/>
        <v>9.8966906976744179E-2</v>
      </c>
      <c r="O145" s="21">
        <f t="shared" si="31"/>
        <v>0.23275447629310347</v>
      </c>
      <c r="P145" s="38">
        <f t="shared" si="14"/>
        <v>0.23275447629310347</v>
      </c>
      <c r="Q145" s="32">
        <f t="shared" si="15"/>
        <v>0.75116217349137937</v>
      </c>
      <c r="R145" s="32">
        <f t="shared" si="16"/>
        <v>1.5234838448275863</v>
      </c>
      <c r="S145" s="32">
        <f t="shared" si="17"/>
        <v>1.9995725463362068</v>
      </c>
      <c r="T145" s="32">
        <f t="shared" si="18"/>
        <v>2.5391397413793104</v>
      </c>
      <c r="U145" s="32">
        <f t="shared" si="19"/>
        <v>3.0787069364224138</v>
      </c>
      <c r="V145" s="32">
        <f t="shared" si="20"/>
        <v>3.5124766422413796</v>
      </c>
      <c r="W145" s="32">
        <f t="shared" si="21"/>
        <v>4.7291477683189651</v>
      </c>
      <c r="X145" s="32">
        <f t="shared" si="22"/>
        <v>6.5594443318965521</v>
      </c>
      <c r="Y145" s="32">
        <f t="shared" si="23"/>
        <v>7.8184344536637926</v>
      </c>
      <c r="Z145" s="32">
        <f t="shared" si="24"/>
        <v>9.5746727747844833</v>
      </c>
      <c r="AA145" s="31">
        <f t="shared" si="25"/>
        <v>9.8180069999999997</v>
      </c>
    </row>
    <row r="146" spans="3:27" ht="1" customHeight="1">
      <c r="C146" s="20" t="s">
        <v>57</v>
      </c>
      <c r="D146" s="24">
        <v>99.3</v>
      </c>
      <c r="E146" s="25">
        <v>88.5</v>
      </c>
      <c r="F146" s="25">
        <v>15.2</v>
      </c>
      <c r="G146" s="21">
        <v>10.96</v>
      </c>
      <c r="H146" s="24">
        <f t="shared" si="26"/>
        <v>100</v>
      </c>
      <c r="I146" s="25">
        <f t="shared" si="32"/>
        <v>8.3000000000000007</v>
      </c>
      <c r="J146" s="25">
        <f t="shared" si="33"/>
        <v>0.2</v>
      </c>
      <c r="K146" s="21">
        <f t="shared" si="34"/>
        <v>5.16</v>
      </c>
      <c r="L146" s="24">
        <f t="shared" si="28"/>
        <v>68.900000000000006</v>
      </c>
      <c r="M146" s="25">
        <f t="shared" si="29"/>
        <v>0.8</v>
      </c>
      <c r="N146" s="25">
        <f t="shared" si="30"/>
        <v>0</v>
      </c>
      <c r="O146" s="21">
        <f t="shared" si="31"/>
        <v>1.66</v>
      </c>
      <c r="P146" s="38">
        <f t="shared" si="14"/>
        <v>1.66</v>
      </c>
      <c r="Q146" s="32">
        <f t="shared" si="15"/>
        <v>2.41</v>
      </c>
      <c r="R146" s="32">
        <f t="shared" si="16"/>
        <v>3.28</v>
      </c>
      <c r="S146" s="32">
        <f t="shared" si="17"/>
        <v>3.93</v>
      </c>
      <c r="T146" s="32">
        <f t="shared" si="18"/>
        <v>4.6100000000000003</v>
      </c>
      <c r="U146" s="32">
        <f t="shared" si="19"/>
        <v>5.16</v>
      </c>
      <c r="V146" s="32">
        <f t="shared" si="20"/>
        <v>5.73</v>
      </c>
      <c r="W146" s="32">
        <f t="shared" si="21"/>
        <v>6.51</v>
      </c>
      <c r="X146" s="32">
        <f t="shared" si="22"/>
        <v>7.5699999999999994</v>
      </c>
      <c r="Y146" s="32">
        <f t="shared" si="23"/>
        <v>8.7100000000000009</v>
      </c>
      <c r="Z146" s="32">
        <f t="shared" si="24"/>
        <v>9.7200000000000006</v>
      </c>
      <c r="AA146" s="31">
        <f t="shared" si="25"/>
        <v>10.96</v>
      </c>
    </row>
    <row r="147" spans="3:27" ht="1" customHeight="1">
      <c r="C147" s="20" t="s">
        <v>58</v>
      </c>
      <c r="D147" s="24">
        <v>98.787469999999999</v>
      </c>
      <c r="E147" s="25">
        <v>78.225610000000003</v>
      </c>
      <c r="F147" s="25">
        <v>37.050539999999998</v>
      </c>
      <c r="G147" s="21">
        <v>9.2232629999999993</v>
      </c>
      <c r="H147" s="24">
        <f t="shared" si="26"/>
        <v>82.09238757</v>
      </c>
      <c r="I147" s="25">
        <f t="shared" si="32"/>
        <v>7.5080352010376146</v>
      </c>
      <c r="J147" s="25">
        <f t="shared" si="33"/>
        <v>1.9995529523809521</v>
      </c>
      <c r="K147" s="21">
        <f t="shared" si="34"/>
        <v>4.7883839268292672</v>
      </c>
      <c r="L147" s="24">
        <f t="shared" si="28"/>
        <v>27.561704129999995</v>
      </c>
      <c r="M147" s="25">
        <f t="shared" si="29"/>
        <v>0.40583974059662781</v>
      </c>
      <c r="N147" s="25">
        <f t="shared" si="30"/>
        <v>0.11762076190476189</v>
      </c>
      <c r="O147" s="21">
        <f t="shared" si="31"/>
        <v>1.0069532195121951</v>
      </c>
      <c r="P147" s="38">
        <f t="shared" si="14"/>
        <v>1.0069532195121951</v>
      </c>
      <c r="Q147" s="32">
        <f t="shared" si="15"/>
        <v>1.5425666341463415</v>
      </c>
      <c r="R147" s="32">
        <f t="shared" si="16"/>
        <v>2.3138499512195123</v>
      </c>
      <c r="S147" s="32">
        <f t="shared" si="17"/>
        <v>3.3315154390243902</v>
      </c>
      <c r="T147" s="32">
        <f t="shared" si="18"/>
        <v>3.9849638048780491</v>
      </c>
      <c r="U147" s="32">
        <f t="shared" si="19"/>
        <v>4.7883839268292672</v>
      </c>
      <c r="V147" s="32">
        <f t="shared" si="20"/>
        <v>5.4204077560975596</v>
      </c>
      <c r="W147" s="32">
        <f t="shared" si="21"/>
        <v>6.3630873658536586</v>
      </c>
      <c r="X147" s="32">
        <f t="shared" si="22"/>
        <v>7.434314195121952</v>
      </c>
      <c r="Y147" s="32">
        <f t="shared" si="23"/>
        <v>8.259158853658537</v>
      </c>
      <c r="Z147" s="32">
        <f t="shared" si="24"/>
        <v>8.9554562926829266</v>
      </c>
      <c r="AA147" s="31">
        <f t="shared" si="25"/>
        <v>9.2232629999999993</v>
      </c>
    </row>
    <row r="148" spans="3:27" ht="1" customHeight="1">
      <c r="C148" s="22" t="s">
        <v>59</v>
      </c>
      <c r="D148" s="26">
        <v>97.510980000000004</v>
      </c>
      <c r="E148" s="27">
        <v>83.95835000000001</v>
      </c>
      <c r="F148" s="27">
        <v>54.34449</v>
      </c>
      <c r="G148" s="23">
        <v>9.5454690000000006</v>
      </c>
      <c r="H148" s="24">
        <f t="shared" si="26"/>
        <v>78.637887096774193</v>
      </c>
      <c r="I148" s="27">
        <f t="shared" si="32"/>
        <v>2.8094171171171176</v>
      </c>
      <c r="J148" s="27">
        <f t="shared" si="33"/>
        <v>0.55737938461538461</v>
      </c>
      <c r="K148" s="23">
        <f t="shared" si="34"/>
        <v>1.7938523747152622</v>
      </c>
      <c r="L148" s="26">
        <f t="shared" si="28"/>
        <v>6.6842204032258064</v>
      </c>
      <c r="M148" s="27">
        <f t="shared" si="29"/>
        <v>0.21610900900900903</v>
      </c>
      <c r="N148" s="27">
        <f t="shared" si="30"/>
        <v>0</v>
      </c>
      <c r="O148" s="23">
        <f t="shared" si="31"/>
        <v>0.4783606332574033</v>
      </c>
      <c r="P148" s="38">
        <f t="shared" si="14"/>
        <v>0.4783606332574033</v>
      </c>
      <c r="Q148" s="32">
        <f t="shared" si="15"/>
        <v>0.68492545216400924</v>
      </c>
      <c r="R148" s="32">
        <f t="shared" si="16"/>
        <v>0.91323393621867888</v>
      </c>
      <c r="S148" s="32">
        <f t="shared" si="17"/>
        <v>1.0654395922551254</v>
      </c>
      <c r="T148" s="32">
        <f t="shared" si="18"/>
        <v>1.4350818997722099</v>
      </c>
      <c r="U148" s="32">
        <f t="shared" si="19"/>
        <v>1.7938523747152622</v>
      </c>
      <c r="V148" s="32">
        <f t="shared" si="20"/>
        <v>2.6527271480637813</v>
      </c>
      <c r="W148" s="32">
        <f t="shared" si="21"/>
        <v>3.7942695683371306</v>
      </c>
      <c r="X148" s="32">
        <f t="shared" si="22"/>
        <v>5.9468924179954445</v>
      </c>
      <c r="Y148" s="32">
        <f t="shared" si="23"/>
        <v>5.7185839339407751</v>
      </c>
      <c r="Z148" s="32">
        <f t="shared" si="24"/>
        <v>7.6211546343963565</v>
      </c>
      <c r="AA148" s="31">
        <f t="shared" si="25"/>
        <v>9.5454690000000006</v>
      </c>
    </row>
    <row r="149" spans="3:27" ht="1" customHeight="1">
      <c r="C149" s="13" t="s">
        <v>20</v>
      </c>
      <c r="D149" s="28">
        <f t="shared" ref="D149:O149" si="35">AVERAGE(D125:D148)</f>
        <v>96.153186666666656</v>
      </c>
      <c r="E149" s="17">
        <f t="shared" si="35"/>
        <v>75.678925000000021</v>
      </c>
      <c r="F149" s="17">
        <f t="shared" si="35"/>
        <v>32.253969999999988</v>
      </c>
      <c r="G149" s="19">
        <f t="shared" si="35"/>
        <v>8.8489507500000002</v>
      </c>
      <c r="H149" s="28">
        <f t="shared" si="35"/>
        <v>63.947408798930702</v>
      </c>
      <c r="I149" s="17">
        <f t="shared" si="35"/>
        <v>5.8024133265937055</v>
      </c>
      <c r="J149" s="17">
        <f t="shared" si="35"/>
        <v>0.66740756947066782</v>
      </c>
      <c r="K149" s="19">
        <f t="shared" si="35"/>
        <v>3.1838005251060615</v>
      </c>
      <c r="L149" s="28">
        <f t="shared" si="35"/>
        <v>30.604056606576943</v>
      </c>
      <c r="M149" s="17">
        <f t="shared" si="35"/>
        <v>0.44427446629020095</v>
      </c>
      <c r="N149" s="17">
        <f t="shared" si="35"/>
        <v>7.1869398093064196E-2</v>
      </c>
      <c r="O149" s="19">
        <f t="shared" si="35"/>
        <v>0.96358992214910621</v>
      </c>
      <c r="P149" s="34">
        <f t="shared" ref="P149:AA149" si="36">AVERAGE(P125:P148)</f>
        <v>0.96358992214910621</v>
      </c>
      <c r="Q149" s="35">
        <f t="shared" si="36"/>
        <v>1.4733513353127299</v>
      </c>
      <c r="R149" s="35">
        <f t="shared" si="36"/>
        <v>1.9877544276818064</v>
      </c>
      <c r="S149" s="35">
        <f t="shared" si="36"/>
        <v>2.4056741627900595</v>
      </c>
      <c r="T149" s="35">
        <f t="shared" si="36"/>
        <v>2.8347051566854478</v>
      </c>
      <c r="U149" s="35">
        <f t="shared" si="36"/>
        <v>3.1838005251060615</v>
      </c>
      <c r="V149" s="35">
        <f t="shared" si="36"/>
        <v>3.6958666709296026</v>
      </c>
      <c r="W149" s="35">
        <f t="shared" si="36"/>
        <v>4.5259824770825672</v>
      </c>
      <c r="X149" s="35">
        <f t="shared" si="36"/>
        <v>5.7361423663462299</v>
      </c>
      <c r="Y149" s="35">
        <f t="shared" si="36"/>
        <v>6.8897902181687698</v>
      </c>
      <c r="Z149" s="35">
        <f t="shared" si="36"/>
        <v>7.9374020088551811</v>
      </c>
      <c r="AA149" s="33">
        <f t="shared" si="36"/>
        <v>8.8489507500000002</v>
      </c>
    </row>
    <row r="150" spans="3:27" ht="1" customHeight="1"/>
    <row r="151" spans="3:27" ht="1" customHeight="1"/>
    <row r="152" spans="3:27" ht="1" customHeight="1"/>
    <row r="153" spans="3:27" ht="1" customHeight="1">
      <c r="C153" s="9" t="s">
        <v>61</v>
      </c>
      <c r="D153" s="9" t="s">
        <v>17</v>
      </c>
      <c r="E153" s="9" t="s">
        <v>62</v>
      </c>
      <c r="F153" s="9" t="s">
        <v>63</v>
      </c>
      <c r="G153" s="9" t="s">
        <v>64</v>
      </c>
      <c r="H153" s="9" t="s">
        <v>65</v>
      </c>
      <c r="I153" s="9" t="s">
        <v>61</v>
      </c>
      <c r="J153" s="9" t="s">
        <v>17</v>
      </c>
      <c r="K153" s="9" t="s">
        <v>62</v>
      </c>
      <c r="L153" s="9" t="s">
        <v>63</v>
      </c>
      <c r="M153" s="9" t="s">
        <v>64</v>
      </c>
      <c r="N153" s="9" t="s">
        <v>65</v>
      </c>
      <c r="O153" s="9" t="s">
        <v>61</v>
      </c>
      <c r="P153" s="9" t="s">
        <v>17</v>
      </c>
      <c r="Q153" s="9" t="s">
        <v>62</v>
      </c>
      <c r="R153" s="9" t="s">
        <v>63</v>
      </c>
      <c r="S153" s="9" t="s">
        <v>64</v>
      </c>
      <c r="T153" s="9" t="s">
        <v>65</v>
      </c>
    </row>
    <row r="154" spans="3:27" ht="1" customHeight="1">
      <c r="C154" s="9" t="s">
        <v>36</v>
      </c>
      <c r="D154" s="9">
        <v>2010</v>
      </c>
      <c r="E154" s="9">
        <v>100</v>
      </c>
      <c r="F154" s="9">
        <v>81.2</v>
      </c>
      <c r="G154" s="9">
        <v>75</v>
      </c>
      <c r="H154" s="9">
        <v>9.7100000000000009</v>
      </c>
      <c r="I154" s="9" t="s">
        <v>36</v>
      </c>
      <c r="J154" s="9">
        <v>1950</v>
      </c>
      <c r="K154" s="9">
        <v>81.3</v>
      </c>
      <c r="L154" s="9">
        <v>13.9</v>
      </c>
      <c r="M154" s="9">
        <v>3.8</v>
      </c>
      <c r="N154" s="9">
        <v>4.91</v>
      </c>
      <c r="O154" s="9" t="s">
        <v>36</v>
      </c>
      <c r="P154" s="9">
        <v>1900</v>
      </c>
      <c r="Q154" s="9">
        <v>39.6</v>
      </c>
      <c r="R154" s="9">
        <v>0.8</v>
      </c>
      <c r="S154" s="9">
        <v>0.5</v>
      </c>
      <c r="T154" s="9">
        <v>0.97</v>
      </c>
    </row>
    <row r="155" spans="3:27" ht="1" customHeight="1">
      <c r="C155" s="9" t="s">
        <v>66</v>
      </c>
      <c r="D155" s="9">
        <v>2010</v>
      </c>
      <c r="E155" s="9">
        <v>96</v>
      </c>
      <c r="F155" s="9">
        <v>100</v>
      </c>
      <c r="G155" s="9">
        <v>65</v>
      </c>
      <c r="H155" s="9">
        <v>9.57</v>
      </c>
      <c r="I155" s="9" t="s">
        <v>66</v>
      </c>
      <c r="J155" s="9">
        <v>1950</v>
      </c>
      <c r="K155" s="9">
        <v>68.8</v>
      </c>
      <c r="L155" s="9">
        <v>33.4</v>
      </c>
      <c r="M155" s="9">
        <v>0.2</v>
      </c>
      <c r="N155" s="9">
        <v>4.68</v>
      </c>
      <c r="O155" s="9" t="s">
        <v>66</v>
      </c>
      <c r="P155" s="9">
        <v>1900</v>
      </c>
      <c r="Q155" s="9">
        <v>71.599999999999994</v>
      </c>
      <c r="R155" s="9">
        <v>1.6</v>
      </c>
      <c r="S155" s="9">
        <v>0</v>
      </c>
      <c r="T155" s="9">
        <v>1.52</v>
      </c>
    </row>
    <row r="156" spans="3:27" ht="1" customHeight="1">
      <c r="C156" s="9" t="s">
        <v>67</v>
      </c>
      <c r="D156" s="9">
        <v>2010</v>
      </c>
      <c r="E156" s="9">
        <v>100</v>
      </c>
      <c r="F156" s="9">
        <v>76.3</v>
      </c>
      <c r="G156" s="9">
        <v>23</v>
      </c>
      <c r="H156" s="9">
        <v>9.6300000000000008</v>
      </c>
      <c r="I156" s="9" t="s">
        <v>67</v>
      </c>
      <c r="J156" s="9">
        <v>1950</v>
      </c>
      <c r="K156" s="9">
        <v>100</v>
      </c>
      <c r="L156" s="9">
        <v>0</v>
      </c>
      <c r="M156" s="9">
        <v>0</v>
      </c>
      <c r="N156" s="9">
        <v>5.76</v>
      </c>
      <c r="O156" s="9" t="s">
        <v>67</v>
      </c>
      <c r="P156" s="9">
        <v>1900</v>
      </c>
      <c r="Q156" s="9">
        <v>49.9</v>
      </c>
      <c r="R156" s="9">
        <v>0</v>
      </c>
      <c r="S156" s="9">
        <v>0</v>
      </c>
      <c r="T156" s="9">
        <v>1.36</v>
      </c>
    </row>
    <row r="157" spans="3:27" ht="1" customHeight="1">
      <c r="C157" s="9" t="s">
        <v>39</v>
      </c>
      <c r="D157" s="9">
        <v>2010</v>
      </c>
      <c r="E157" s="9">
        <v>92.3</v>
      </c>
      <c r="F157" s="9">
        <v>73.400000000000006</v>
      </c>
      <c r="G157" s="9">
        <v>45.8</v>
      </c>
      <c r="H157" s="9">
        <v>8.57</v>
      </c>
      <c r="I157" s="9" t="s">
        <v>39</v>
      </c>
      <c r="J157" s="9">
        <v>1950</v>
      </c>
      <c r="K157" s="9">
        <v>38.1</v>
      </c>
      <c r="L157" s="9">
        <v>4.9000000000000004</v>
      </c>
      <c r="M157" s="9">
        <v>1.2</v>
      </c>
      <c r="N157" s="9">
        <v>2.44</v>
      </c>
      <c r="O157" s="9" t="s">
        <v>39</v>
      </c>
      <c r="P157" s="9">
        <v>1900</v>
      </c>
      <c r="Q157" s="9">
        <v>12.4</v>
      </c>
      <c r="R157" s="9">
        <v>0.6</v>
      </c>
      <c r="S157" s="9">
        <v>0.2</v>
      </c>
      <c r="T157" s="9">
        <v>0.24</v>
      </c>
    </row>
    <row r="158" spans="3:27" ht="1" customHeight="1">
      <c r="C158" s="9" t="s">
        <v>40</v>
      </c>
      <c r="D158" s="9">
        <v>2010</v>
      </c>
      <c r="E158" s="9">
        <v>100</v>
      </c>
      <c r="F158" s="9">
        <v>86.2</v>
      </c>
      <c r="G158" s="9">
        <v>29.5</v>
      </c>
      <c r="H158" s="9">
        <v>8.17</v>
      </c>
      <c r="I158" s="9" t="s">
        <v>40</v>
      </c>
      <c r="J158" s="9">
        <v>1950</v>
      </c>
      <c r="K158" s="9">
        <v>37.799999999999997</v>
      </c>
      <c r="L158" s="9">
        <v>3.6</v>
      </c>
      <c r="M158" s="9">
        <v>0.5</v>
      </c>
      <c r="N158" s="9">
        <v>2.11</v>
      </c>
      <c r="O158" s="9" t="s">
        <v>40</v>
      </c>
      <c r="P158" s="9">
        <v>1900</v>
      </c>
      <c r="Q158" s="9">
        <v>13.7</v>
      </c>
      <c r="R158" s="9">
        <v>0.5</v>
      </c>
      <c r="S158" s="9">
        <v>0.1</v>
      </c>
      <c r="T158" s="9">
        <v>0.56000000000000005</v>
      </c>
    </row>
    <row r="159" spans="3:27" ht="1" customHeight="1">
      <c r="C159" s="9" t="s">
        <v>41</v>
      </c>
      <c r="D159" s="9">
        <v>2010</v>
      </c>
      <c r="E159" s="9">
        <v>98</v>
      </c>
      <c r="F159" s="9">
        <v>83.4</v>
      </c>
      <c r="G159" s="9">
        <v>66</v>
      </c>
      <c r="H159" s="9">
        <v>10.35</v>
      </c>
      <c r="I159" s="9" t="s">
        <v>41</v>
      </c>
      <c r="J159" s="9">
        <v>1950</v>
      </c>
      <c r="K159" s="9">
        <v>96</v>
      </c>
      <c r="L159" s="9">
        <v>8.8000000000000007</v>
      </c>
      <c r="M159" s="9">
        <v>1</v>
      </c>
      <c r="N159" s="9">
        <v>4.91</v>
      </c>
      <c r="O159" s="9" t="s">
        <v>41</v>
      </c>
      <c r="P159" s="9">
        <v>1900</v>
      </c>
      <c r="Q159" s="9">
        <v>34.1</v>
      </c>
      <c r="R159" s="9">
        <v>1.4</v>
      </c>
      <c r="S159" s="9">
        <v>0.2</v>
      </c>
      <c r="T159" s="9">
        <v>1.58</v>
      </c>
    </row>
    <row r="160" spans="3:27" ht="1" customHeight="1">
      <c r="C160" s="9" t="s">
        <v>42</v>
      </c>
      <c r="D160" s="9">
        <v>2010</v>
      </c>
      <c r="E160" s="9">
        <v>100</v>
      </c>
      <c r="F160" s="9">
        <v>93.9</v>
      </c>
      <c r="G160" s="9">
        <v>39</v>
      </c>
      <c r="H160" s="9">
        <v>9.35</v>
      </c>
      <c r="I160" s="9" t="s">
        <v>42</v>
      </c>
      <c r="J160" s="9">
        <v>1950</v>
      </c>
      <c r="K160" s="9">
        <v>43.1</v>
      </c>
      <c r="L160" s="9">
        <v>3.4</v>
      </c>
      <c r="M160" s="9">
        <v>0.6</v>
      </c>
      <c r="N160" s="9">
        <v>2.38</v>
      </c>
      <c r="O160" s="9" t="s">
        <v>42</v>
      </c>
      <c r="P160" s="9">
        <v>1900</v>
      </c>
      <c r="Q160" s="9">
        <v>21.7</v>
      </c>
      <c r="R160" s="9">
        <v>0.8</v>
      </c>
      <c r="S160" s="9">
        <v>0.3</v>
      </c>
      <c r="T160" s="9">
        <v>0.85</v>
      </c>
    </row>
    <row r="161" spans="3:20" ht="1" customHeight="1">
      <c r="C161" s="9" t="s">
        <v>43</v>
      </c>
      <c r="D161" s="9">
        <v>2010</v>
      </c>
      <c r="E161" s="9">
        <v>100</v>
      </c>
      <c r="F161" s="9">
        <v>90.1</v>
      </c>
      <c r="G161" s="9">
        <v>44</v>
      </c>
      <c r="H161" s="9">
        <v>8.43</v>
      </c>
      <c r="I161" s="9" t="s">
        <v>43</v>
      </c>
      <c r="J161" s="9">
        <v>1950</v>
      </c>
      <c r="K161" s="9">
        <v>68.5</v>
      </c>
      <c r="L161" s="9">
        <v>4.3</v>
      </c>
      <c r="M161" s="9">
        <v>1.4</v>
      </c>
      <c r="N161" s="9">
        <v>3.6</v>
      </c>
      <c r="O161" s="9" t="s">
        <v>43</v>
      </c>
      <c r="P161" s="9">
        <v>1900</v>
      </c>
      <c r="Q161" s="9">
        <v>34.799999999999997</v>
      </c>
      <c r="R161" s="9">
        <v>0.4</v>
      </c>
      <c r="S161" s="9">
        <v>0</v>
      </c>
      <c r="T161" s="9">
        <v>1.56</v>
      </c>
    </row>
    <row r="162" spans="3:20" ht="1" customHeight="1">
      <c r="C162" s="9" t="s">
        <v>68</v>
      </c>
      <c r="D162" s="9">
        <v>2010</v>
      </c>
      <c r="E162" s="9">
        <v>100</v>
      </c>
      <c r="F162" s="9">
        <v>88.5</v>
      </c>
      <c r="G162" s="9">
        <v>95</v>
      </c>
      <c r="H162" s="9">
        <v>11.06</v>
      </c>
      <c r="I162" s="9" t="s">
        <v>68</v>
      </c>
      <c r="J162" s="9">
        <v>1950</v>
      </c>
      <c r="K162" s="9">
        <v>70.099999999999994</v>
      </c>
      <c r="L162" s="9">
        <v>6.8</v>
      </c>
      <c r="M162" s="9">
        <v>2.9</v>
      </c>
      <c r="N162" s="9">
        <v>3.58</v>
      </c>
      <c r="O162" s="9" t="s">
        <v>68</v>
      </c>
      <c r="P162" s="9">
        <v>1900</v>
      </c>
      <c r="Q162" s="9">
        <v>45.5</v>
      </c>
      <c r="R162" s="9">
        <v>1.6</v>
      </c>
      <c r="S162" s="9">
        <v>0.3</v>
      </c>
      <c r="T162" s="9">
        <v>0.82</v>
      </c>
    </row>
    <row r="163" spans="3:20" ht="1" customHeight="1">
      <c r="C163" s="9" t="s">
        <v>113</v>
      </c>
      <c r="D163" s="9">
        <v>2010</v>
      </c>
      <c r="E163" s="9">
        <v>99.2</v>
      </c>
      <c r="F163" s="9">
        <v>69.7</v>
      </c>
      <c r="G163" s="9">
        <v>40.9</v>
      </c>
      <c r="H163" s="9">
        <v>8.1199999999999992</v>
      </c>
      <c r="I163" s="9" t="s">
        <v>44</v>
      </c>
      <c r="J163" s="9">
        <v>1950</v>
      </c>
      <c r="K163" s="9">
        <v>52</v>
      </c>
      <c r="L163" s="9">
        <v>2.8</v>
      </c>
      <c r="M163" s="9">
        <v>0.5</v>
      </c>
      <c r="N163" s="9">
        <v>2.5299999999999998</v>
      </c>
      <c r="O163" s="9" t="s">
        <v>44</v>
      </c>
      <c r="P163" s="9">
        <v>1900</v>
      </c>
      <c r="Q163" s="9">
        <v>12.5</v>
      </c>
      <c r="R163" s="9">
        <v>0</v>
      </c>
      <c r="S163" s="9">
        <v>0</v>
      </c>
      <c r="T163" s="9">
        <v>0.28999999999999998</v>
      </c>
    </row>
    <row r="164" spans="3:20" ht="1" customHeight="1">
      <c r="C164" s="9" t="s">
        <v>45</v>
      </c>
      <c r="D164" s="9">
        <v>2010</v>
      </c>
      <c r="E164" s="9">
        <v>100</v>
      </c>
      <c r="F164" s="9">
        <v>81.7</v>
      </c>
      <c r="G164" s="9">
        <v>39</v>
      </c>
      <c r="H164" s="9">
        <v>8.02</v>
      </c>
      <c r="I164" s="9" t="s">
        <v>45</v>
      </c>
      <c r="J164" s="9">
        <v>1950</v>
      </c>
      <c r="K164" s="9">
        <v>58.5</v>
      </c>
      <c r="L164" s="9">
        <v>4.5</v>
      </c>
      <c r="M164" s="9">
        <v>0.8</v>
      </c>
      <c r="N164" s="9">
        <v>2.62</v>
      </c>
      <c r="O164" s="9" t="s">
        <v>45</v>
      </c>
      <c r="P164" s="9">
        <v>1900</v>
      </c>
      <c r="Q164" s="9">
        <v>26.5</v>
      </c>
      <c r="R164" s="9">
        <v>0</v>
      </c>
      <c r="S164" s="9">
        <v>0.1</v>
      </c>
      <c r="T164" s="9">
        <v>0.9</v>
      </c>
    </row>
    <row r="165" spans="3:20" ht="1" customHeight="1">
      <c r="C165" s="9" t="s">
        <v>46</v>
      </c>
      <c r="D165" s="9">
        <v>2010</v>
      </c>
      <c r="E165" s="9">
        <v>100</v>
      </c>
      <c r="F165" s="9">
        <v>62.1</v>
      </c>
      <c r="G165" s="9">
        <v>23</v>
      </c>
      <c r="H165" s="9">
        <v>8.06</v>
      </c>
      <c r="I165" s="9" t="s">
        <v>46</v>
      </c>
      <c r="J165" s="9">
        <v>1950</v>
      </c>
      <c r="K165" s="9">
        <v>42.5</v>
      </c>
      <c r="L165" s="9">
        <v>3.4</v>
      </c>
      <c r="M165" s="9">
        <v>0.4</v>
      </c>
      <c r="N165" s="9">
        <v>1.55</v>
      </c>
      <c r="O165" s="9" t="s">
        <v>46</v>
      </c>
      <c r="P165" s="9">
        <v>1900</v>
      </c>
      <c r="Q165" s="9">
        <v>20.5</v>
      </c>
      <c r="R165" s="9">
        <v>0.8</v>
      </c>
      <c r="S165" s="9">
        <v>0</v>
      </c>
      <c r="T165" s="9">
        <v>0.82</v>
      </c>
    </row>
    <row r="166" spans="3:20" ht="1" customHeight="1">
      <c r="C166" s="9" t="s">
        <v>47</v>
      </c>
      <c r="D166" s="9">
        <v>2010</v>
      </c>
      <c r="E166" s="9">
        <v>100</v>
      </c>
      <c r="F166" s="9">
        <v>63.3</v>
      </c>
      <c r="G166" s="9">
        <v>23.4</v>
      </c>
      <c r="H166" s="9">
        <v>5.21</v>
      </c>
      <c r="I166" s="9" t="s">
        <v>47</v>
      </c>
      <c r="J166" s="9">
        <v>1950</v>
      </c>
      <c r="K166" s="9">
        <v>29.7</v>
      </c>
      <c r="L166" s="9">
        <v>3.1</v>
      </c>
      <c r="M166" s="9">
        <v>0.5</v>
      </c>
      <c r="N166" s="9">
        <v>1.32</v>
      </c>
      <c r="O166" s="9" t="s">
        <v>47</v>
      </c>
      <c r="P166" s="9">
        <v>1900</v>
      </c>
      <c r="Q166" s="9">
        <v>21.1</v>
      </c>
      <c r="R166" s="9">
        <v>1.3</v>
      </c>
      <c r="S166" s="9">
        <v>0</v>
      </c>
      <c r="T166" s="9">
        <v>0.84</v>
      </c>
    </row>
    <row r="167" spans="3:20" ht="1" customHeight="1">
      <c r="C167" s="9" t="s">
        <v>69</v>
      </c>
      <c r="D167" s="9">
        <v>2010</v>
      </c>
      <c r="E167" s="9">
        <v>82.6</v>
      </c>
      <c r="F167" s="9">
        <v>88.7</v>
      </c>
      <c r="G167" s="9">
        <v>11</v>
      </c>
      <c r="H167" s="9">
        <v>9</v>
      </c>
      <c r="I167" s="9" t="s">
        <v>69</v>
      </c>
      <c r="J167" s="9">
        <v>1950</v>
      </c>
      <c r="K167" s="9">
        <v>100</v>
      </c>
      <c r="L167" s="9">
        <v>1.6</v>
      </c>
      <c r="M167" s="9">
        <v>0.1</v>
      </c>
      <c r="N167" s="9">
        <v>4.3600000000000003</v>
      </c>
      <c r="O167" s="9" t="s">
        <v>69</v>
      </c>
      <c r="P167" s="9">
        <v>1900</v>
      </c>
      <c r="Q167" s="9">
        <v>62.4</v>
      </c>
      <c r="R167" s="9">
        <v>0.1</v>
      </c>
      <c r="S167" s="9">
        <v>0</v>
      </c>
      <c r="T167" s="9">
        <v>1.56</v>
      </c>
    </row>
    <row r="168" spans="3:20" ht="1" customHeight="1">
      <c r="C168" s="9" t="s">
        <v>70</v>
      </c>
      <c r="D168" s="9">
        <v>2010</v>
      </c>
      <c r="E168" s="9">
        <v>99.1</v>
      </c>
      <c r="F168" s="9">
        <v>42.2</v>
      </c>
      <c r="G168" s="9">
        <v>2.9</v>
      </c>
      <c r="H168" s="9">
        <v>5.17</v>
      </c>
      <c r="I168" s="9" t="s">
        <v>70</v>
      </c>
      <c r="J168" s="9">
        <v>1950</v>
      </c>
      <c r="K168" s="9">
        <v>30.6</v>
      </c>
      <c r="L168" s="9">
        <v>1.3</v>
      </c>
      <c r="M168" s="9">
        <v>0.1</v>
      </c>
      <c r="N168" s="9">
        <v>0.6</v>
      </c>
      <c r="O168" s="9" t="s">
        <v>70</v>
      </c>
      <c r="P168" s="9">
        <v>1900</v>
      </c>
      <c r="Q168" s="9">
        <v>0</v>
      </c>
      <c r="R168" s="9">
        <v>0</v>
      </c>
      <c r="S168" s="9">
        <v>0</v>
      </c>
      <c r="T168" s="9">
        <v>0.14000000000000001</v>
      </c>
    </row>
    <row r="169" spans="3:20" ht="1" customHeight="1">
      <c r="C169" s="9" t="s">
        <v>50</v>
      </c>
      <c r="D169" s="9">
        <v>2010</v>
      </c>
      <c r="E169" s="9">
        <v>100</v>
      </c>
      <c r="F169" s="9">
        <v>69.3</v>
      </c>
      <c r="G169" s="9">
        <v>21</v>
      </c>
      <c r="H169" s="9">
        <v>6.6</v>
      </c>
      <c r="I169" s="9" t="s">
        <v>50</v>
      </c>
      <c r="J169" s="9">
        <v>1950</v>
      </c>
      <c r="K169" s="9">
        <v>30.8</v>
      </c>
      <c r="L169" s="9">
        <v>1.1000000000000001</v>
      </c>
      <c r="M169" s="9">
        <v>0.4</v>
      </c>
      <c r="N169" s="9">
        <v>1.65</v>
      </c>
      <c r="O169" s="9" t="s">
        <v>50</v>
      </c>
      <c r="P169" s="9">
        <v>1900</v>
      </c>
      <c r="Q169" s="9">
        <v>30.3</v>
      </c>
      <c r="R169" s="9">
        <v>0.6</v>
      </c>
      <c r="S169" s="9">
        <v>0.2</v>
      </c>
      <c r="T169" s="9">
        <v>0.76</v>
      </c>
    </row>
    <row r="170" spans="3:20" ht="1" customHeight="1">
      <c r="C170" s="9" t="s">
        <v>71</v>
      </c>
      <c r="D170" s="9">
        <v>2010</v>
      </c>
      <c r="E170" s="9">
        <v>94.6</v>
      </c>
      <c r="F170" s="9">
        <v>89.9</v>
      </c>
      <c r="G170" s="9">
        <v>29</v>
      </c>
      <c r="H170" s="9">
        <v>10.33</v>
      </c>
      <c r="I170" s="9" t="s">
        <v>71</v>
      </c>
      <c r="J170" s="9">
        <v>1950</v>
      </c>
      <c r="K170" s="9">
        <v>100</v>
      </c>
      <c r="L170" s="9">
        <v>3.4</v>
      </c>
      <c r="M170" s="9">
        <v>0.2</v>
      </c>
      <c r="N170" s="9">
        <v>3.64</v>
      </c>
      <c r="O170" s="9" t="s">
        <v>71</v>
      </c>
      <c r="P170" s="9">
        <v>1900</v>
      </c>
      <c r="Q170" s="9">
        <v>80.3</v>
      </c>
      <c r="R170" s="9">
        <v>0.2</v>
      </c>
      <c r="S170" s="9">
        <v>0</v>
      </c>
      <c r="T170" s="9">
        <v>1.97</v>
      </c>
    </row>
    <row r="171" spans="3:20" ht="1" customHeight="1">
      <c r="C171" s="9" t="s">
        <v>52</v>
      </c>
      <c r="D171" s="9">
        <v>2010</v>
      </c>
      <c r="E171" s="9">
        <v>100</v>
      </c>
      <c r="F171" s="9">
        <v>82.7</v>
      </c>
      <c r="G171" s="9">
        <v>27</v>
      </c>
      <c r="H171" s="9">
        <v>9.18</v>
      </c>
      <c r="I171" s="9" t="s">
        <v>52</v>
      </c>
      <c r="J171" s="9">
        <v>1950</v>
      </c>
      <c r="K171" s="9">
        <v>62.6</v>
      </c>
      <c r="L171" s="9">
        <v>1.9</v>
      </c>
      <c r="M171" s="9">
        <v>0.5</v>
      </c>
      <c r="N171" s="9">
        <v>2.2000000000000002</v>
      </c>
      <c r="O171" s="9" t="s">
        <v>52</v>
      </c>
      <c r="P171" s="9">
        <v>1900</v>
      </c>
      <c r="Q171" s="9">
        <v>35.1</v>
      </c>
      <c r="R171" s="9">
        <v>0.4</v>
      </c>
      <c r="S171" s="9">
        <v>0.2</v>
      </c>
      <c r="T171" s="9">
        <v>0.85</v>
      </c>
    </row>
    <row r="172" spans="3:20" ht="1" customHeight="1">
      <c r="C172" s="9" t="s">
        <v>53</v>
      </c>
      <c r="D172" s="9">
        <v>2010</v>
      </c>
      <c r="E172" s="9">
        <v>100</v>
      </c>
      <c r="F172" s="9">
        <v>65.099999999999994</v>
      </c>
      <c r="G172" s="9">
        <v>23.2</v>
      </c>
      <c r="H172" s="9">
        <v>6.82</v>
      </c>
      <c r="I172" s="9" t="s">
        <v>53</v>
      </c>
      <c r="J172" s="9">
        <v>1950</v>
      </c>
      <c r="K172" s="9">
        <v>40.6</v>
      </c>
      <c r="L172" s="9">
        <v>3.5</v>
      </c>
      <c r="M172" s="9">
        <v>0.4</v>
      </c>
      <c r="N172" s="9">
        <v>1.54</v>
      </c>
      <c r="O172" s="9" t="s">
        <v>53</v>
      </c>
      <c r="P172" s="9">
        <v>1900</v>
      </c>
      <c r="Q172" s="9">
        <v>19.2</v>
      </c>
      <c r="R172" s="9">
        <v>0</v>
      </c>
      <c r="S172" s="9">
        <v>0</v>
      </c>
      <c r="T172" s="9">
        <v>0.86</v>
      </c>
    </row>
    <row r="173" spans="3:20" ht="1" customHeight="1">
      <c r="C173" s="9" t="s">
        <v>54</v>
      </c>
      <c r="D173" s="9">
        <v>2010</v>
      </c>
      <c r="E173" s="9">
        <v>96.4</v>
      </c>
      <c r="F173" s="9">
        <v>65.8</v>
      </c>
      <c r="G173" s="9">
        <v>44</v>
      </c>
      <c r="H173" s="9">
        <v>9.7200000000000006</v>
      </c>
      <c r="I173" s="9" t="s">
        <v>54</v>
      </c>
      <c r="J173" s="9">
        <v>1950</v>
      </c>
      <c r="K173" s="9">
        <v>72</v>
      </c>
      <c r="L173" s="9">
        <v>12.4</v>
      </c>
      <c r="M173" s="9">
        <v>1.1000000000000001</v>
      </c>
      <c r="N173" s="9">
        <v>3.87</v>
      </c>
      <c r="O173" s="9" t="s">
        <v>54</v>
      </c>
      <c r="P173" s="9">
        <v>1900</v>
      </c>
      <c r="Q173" s="9">
        <v>19.600000000000001</v>
      </c>
      <c r="R173" s="9">
        <v>0</v>
      </c>
      <c r="S173" s="9">
        <v>0</v>
      </c>
      <c r="T173" s="9">
        <v>0.85</v>
      </c>
    </row>
    <row r="174" spans="3:20" ht="1" customHeight="1">
      <c r="C174" s="9" t="s">
        <v>55</v>
      </c>
      <c r="D174" s="9">
        <v>2010</v>
      </c>
      <c r="E174" s="9">
        <v>92.4</v>
      </c>
      <c r="F174" s="9">
        <v>67.3</v>
      </c>
      <c r="G174" s="9">
        <v>35</v>
      </c>
      <c r="H174" s="9">
        <v>7.99</v>
      </c>
      <c r="I174" s="9" t="s">
        <v>55</v>
      </c>
      <c r="J174" s="9">
        <v>1950</v>
      </c>
      <c r="K174" s="9">
        <v>66.400000000000006</v>
      </c>
      <c r="L174" s="9">
        <v>3.4</v>
      </c>
      <c r="M174" s="9">
        <v>0.7</v>
      </c>
      <c r="N174" s="9">
        <v>2.81</v>
      </c>
      <c r="O174" s="9" t="s">
        <v>55</v>
      </c>
      <c r="P174" s="9">
        <v>1900</v>
      </c>
      <c r="Q174" s="9">
        <v>19.8</v>
      </c>
      <c r="R174" s="9">
        <v>0</v>
      </c>
      <c r="S174" s="9">
        <v>0</v>
      </c>
      <c r="T174" s="9">
        <v>0.77</v>
      </c>
    </row>
    <row r="175" spans="3:20" ht="1" customHeight="1">
      <c r="C175" s="9" t="s">
        <v>56</v>
      </c>
      <c r="D175" s="9">
        <v>2010</v>
      </c>
      <c r="E175" s="9">
        <v>100</v>
      </c>
      <c r="F175" s="9">
        <v>85.9</v>
      </c>
      <c r="G175" s="9">
        <v>43</v>
      </c>
      <c r="H175" s="9">
        <v>9.2799999999999994</v>
      </c>
      <c r="I175" s="9" t="s">
        <v>56</v>
      </c>
      <c r="J175" s="9">
        <v>1950</v>
      </c>
      <c r="K175" s="9">
        <v>68.8</v>
      </c>
      <c r="L175" s="9">
        <v>4.0999999999999996</v>
      </c>
      <c r="M175" s="9">
        <v>1.2</v>
      </c>
      <c r="N175" s="9">
        <v>2.91</v>
      </c>
      <c r="O175" s="9" t="s">
        <v>56</v>
      </c>
      <c r="P175" s="9">
        <v>1900</v>
      </c>
      <c r="Q175" s="9">
        <v>15.7</v>
      </c>
      <c r="R175" s="9">
        <v>0.2</v>
      </c>
      <c r="S175" s="9">
        <v>0.1</v>
      </c>
      <c r="T175" s="9">
        <v>0.22</v>
      </c>
    </row>
    <row r="176" spans="3:20" ht="1" customHeight="1">
      <c r="C176" s="9" t="s">
        <v>72</v>
      </c>
      <c r="D176" s="9">
        <v>2010</v>
      </c>
      <c r="E176" s="9">
        <v>99.3</v>
      </c>
      <c r="F176" s="9">
        <v>88.5</v>
      </c>
      <c r="G176" s="9">
        <v>15.2</v>
      </c>
      <c r="H176" s="9">
        <v>10.96</v>
      </c>
      <c r="I176" s="9" t="s">
        <v>72</v>
      </c>
      <c r="J176" s="9">
        <v>1950</v>
      </c>
      <c r="K176" s="9">
        <v>100</v>
      </c>
      <c r="L176" s="9">
        <v>8.3000000000000007</v>
      </c>
      <c r="M176" s="9">
        <v>0.2</v>
      </c>
      <c r="N176" s="9">
        <v>5.16</v>
      </c>
      <c r="O176" s="9" t="s">
        <v>72</v>
      </c>
      <c r="P176" s="9">
        <v>1900</v>
      </c>
      <c r="Q176" s="9">
        <v>68.900000000000006</v>
      </c>
      <c r="R176" s="9">
        <v>0.8</v>
      </c>
      <c r="S176" s="9">
        <v>0</v>
      </c>
      <c r="T176" s="9">
        <v>1.66</v>
      </c>
    </row>
    <row r="177" spans="3:20" ht="1" customHeight="1">
      <c r="C177" s="9" t="s">
        <v>58</v>
      </c>
      <c r="D177" s="9">
        <v>2010</v>
      </c>
      <c r="E177" s="9">
        <v>100</v>
      </c>
      <c r="F177" s="9">
        <v>77.099999999999994</v>
      </c>
      <c r="G177" s="9">
        <v>63</v>
      </c>
      <c r="H177" s="9">
        <v>8.61</v>
      </c>
      <c r="I177" s="9" t="s">
        <v>58</v>
      </c>
      <c r="J177" s="9">
        <v>1950</v>
      </c>
      <c r="K177" s="9">
        <v>83.1</v>
      </c>
      <c r="L177" s="9">
        <v>7.4</v>
      </c>
      <c r="M177" s="9">
        <v>3.4</v>
      </c>
      <c r="N177" s="9">
        <v>4.47</v>
      </c>
      <c r="O177" s="9" t="s">
        <v>58</v>
      </c>
      <c r="P177" s="9">
        <v>1900</v>
      </c>
      <c r="Q177" s="9">
        <v>27.9</v>
      </c>
      <c r="R177" s="9">
        <v>0.4</v>
      </c>
      <c r="S177" s="9">
        <v>0.2</v>
      </c>
      <c r="T177" s="9">
        <v>0.94</v>
      </c>
    </row>
    <row r="178" spans="3:20" ht="1" customHeight="1">
      <c r="C178" s="9" t="s">
        <v>59</v>
      </c>
      <c r="D178" s="9">
        <v>2010</v>
      </c>
      <c r="E178" s="9">
        <v>99.2</v>
      </c>
      <c r="F178" s="9">
        <v>77.7</v>
      </c>
      <c r="G178" s="9">
        <v>78</v>
      </c>
      <c r="H178" s="9">
        <v>8.7799999999999994</v>
      </c>
      <c r="I178" s="9" t="s">
        <v>59</v>
      </c>
      <c r="J178" s="9">
        <v>1950</v>
      </c>
      <c r="K178" s="9">
        <v>80</v>
      </c>
      <c r="L178" s="9">
        <v>2.6</v>
      </c>
      <c r="M178" s="9">
        <v>0.8</v>
      </c>
      <c r="N178" s="9">
        <v>1.65</v>
      </c>
      <c r="O178" s="9" t="s">
        <v>59</v>
      </c>
      <c r="P178" s="9">
        <v>1900</v>
      </c>
      <c r="Q178" s="9">
        <v>6.8</v>
      </c>
      <c r="R178" s="9">
        <v>0.2</v>
      </c>
      <c r="S178" s="9">
        <v>0</v>
      </c>
      <c r="T178" s="9">
        <v>0.44</v>
      </c>
    </row>
    <row r="179" spans="3:20" ht="1" customHeight="1"/>
    <row r="180" spans="3:20" ht="1" customHeight="1"/>
    <row r="181" spans="3:20" ht="1" customHeight="1">
      <c r="C181" s="9" t="s">
        <v>61</v>
      </c>
      <c r="D181" s="9" t="s">
        <v>17</v>
      </c>
      <c r="E181" s="9" t="s">
        <v>62</v>
      </c>
      <c r="F181" s="9" t="s">
        <v>63</v>
      </c>
      <c r="G181" s="9" t="s">
        <v>64</v>
      </c>
      <c r="H181" s="9" t="s">
        <v>65</v>
      </c>
      <c r="I181" s="9" t="s">
        <v>61</v>
      </c>
      <c r="J181" s="9" t="s">
        <v>17</v>
      </c>
      <c r="K181" s="9" t="s">
        <v>62</v>
      </c>
      <c r="L181" s="9" t="s">
        <v>63</v>
      </c>
      <c r="M181" s="9" t="s">
        <v>64</v>
      </c>
      <c r="N181" s="9" t="s">
        <v>65</v>
      </c>
      <c r="O181" s="9" t="s">
        <v>61</v>
      </c>
      <c r="P181" s="9" t="s">
        <v>17</v>
      </c>
      <c r="Q181" s="9" t="s">
        <v>62</v>
      </c>
      <c r="R181" s="9" t="s">
        <v>63</v>
      </c>
      <c r="S181" s="9" t="s">
        <v>64</v>
      </c>
      <c r="T181" s="9" t="s">
        <v>65</v>
      </c>
    </row>
    <row r="182" spans="3:20" ht="1" customHeight="1">
      <c r="C182" s="9" t="s">
        <v>36</v>
      </c>
      <c r="D182" s="9">
        <v>2010</v>
      </c>
      <c r="E182" s="9">
        <f>E154/E154</f>
        <v>1</v>
      </c>
      <c r="F182" s="9">
        <f t="shared" ref="F182:H182" si="37">F154/F154</f>
        <v>1</v>
      </c>
      <c r="G182" s="9">
        <f t="shared" si="37"/>
        <v>1</v>
      </c>
      <c r="H182" s="9">
        <f t="shared" si="37"/>
        <v>1</v>
      </c>
      <c r="I182" s="9" t="s">
        <v>36</v>
      </c>
      <c r="J182" s="9">
        <v>1950</v>
      </c>
      <c r="K182" s="9">
        <f>K154/E154</f>
        <v>0.81299999999999994</v>
      </c>
      <c r="L182" s="9">
        <f t="shared" ref="L182:N197" si="38">L154/F154</f>
        <v>0.1711822660098522</v>
      </c>
      <c r="M182" s="9">
        <f t="shared" si="38"/>
        <v>5.0666666666666665E-2</v>
      </c>
      <c r="N182" s="9">
        <f t="shared" si="38"/>
        <v>0.50566426364572603</v>
      </c>
      <c r="O182" s="9" t="s">
        <v>36</v>
      </c>
      <c r="P182" s="9">
        <v>1900</v>
      </c>
      <c r="Q182" s="9">
        <f>Q154/E154</f>
        <v>0.39600000000000002</v>
      </c>
      <c r="R182" s="9">
        <f t="shared" ref="R182:T197" si="39">R154/F154</f>
        <v>9.852216748768473E-3</v>
      </c>
      <c r="S182" s="9">
        <f t="shared" si="39"/>
        <v>6.6666666666666671E-3</v>
      </c>
      <c r="T182" s="9">
        <f t="shared" si="39"/>
        <v>9.9897013388259515E-2</v>
      </c>
    </row>
    <row r="183" spans="3:20" ht="1" customHeight="1">
      <c r="C183" s="9" t="s">
        <v>66</v>
      </c>
      <c r="D183" s="9">
        <v>2010</v>
      </c>
      <c r="E183" s="9">
        <f t="shared" ref="E183:H183" si="40">E155/E155</f>
        <v>1</v>
      </c>
      <c r="F183" s="9">
        <f t="shared" si="40"/>
        <v>1</v>
      </c>
      <c r="G183" s="9">
        <f t="shared" si="40"/>
        <v>1</v>
      </c>
      <c r="H183" s="9">
        <f t="shared" si="40"/>
        <v>1</v>
      </c>
      <c r="I183" s="9" t="s">
        <v>66</v>
      </c>
      <c r="J183" s="9">
        <v>1950</v>
      </c>
      <c r="K183" s="9">
        <f t="shared" ref="K183:K206" si="41">K155/E155</f>
        <v>0.71666666666666667</v>
      </c>
      <c r="L183" s="9">
        <f t="shared" si="38"/>
        <v>0.33399999999999996</v>
      </c>
      <c r="M183" s="9">
        <f t="shared" si="38"/>
        <v>3.0769230769230769E-3</v>
      </c>
      <c r="N183" s="9">
        <f t="shared" si="38"/>
        <v>0.48902821316614414</v>
      </c>
      <c r="O183" s="9" t="s">
        <v>66</v>
      </c>
      <c r="P183" s="9">
        <v>1900</v>
      </c>
      <c r="Q183" s="9">
        <f t="shared" ref="Q183:Q206" si="42">Q155/E155</f>
        <v>0.74583333333333324</v>
      </c>
      <c r="R183" s="9">
        <f t="shared" si="39"/>
        <v>1.6E-2</v>
      </c>
      <c r="S183" s="9">
        <f t="shared" si="39"/>
        <v>0</v>
      </c>
      <c r="T183" s="9">
        <f t="shared" si="39"/>
        <v>0.15882967607105539</v>
      </c>
    </row>
    <row r="184" spans="3:20" ht="1" customHeight="1">
      <c r="C184" s="9" t="s">
        <v>67</v>
      </c>
      <c r="D184" s="9">
        <v>2010</v>
      </c>
      <c r="E184" s="9">
        <f t="shared" ref="E184:H184" si="43">E156/E156</f>
        <v>1</v>
      </c>
      <c r="F184" s="9">
        <f t="shared" si="43"/>
        <v>1</v>
      </c>
      <c r="G184" s="9">
        <f t="shared" si="43"/>
        <v>1</v>
      </c>
      <c r="H184" s="9">
        <f t="shared" si="43"/>
        <v>1</v>
      </c>
      <c r="I184" s="9" t="s">
        <v>67</v>
      </c>
      <c r="J184" s="9">
        <v>1950</v>
      </c>
      <c r="K184" s="9">
        <f t="shared" si="41"/>
        <v>1</v>
      </c>
      <c r="L184" s="9">
        <f t="shared" si="38"/>
        <v>0</v>
      </c>
      <c r="M184" s="9">
        <f t="shared" si="38"/>
        <v>0</v>
      </c>
      <c r="N184" s="9">
        <f t="shared" si="38"/>
        <v>0.59813084112149528</v>
      </c>
      <c r="O184" s="9" t="s">
        <v>67</v>
      </c>
      <c r="P184" s="9">
        <v>1900</v>
      </c>
      <c r="Q184" s="9">
        <f t="shared" si="42"/>
        <v>0.499</v>
      </c>
      <c r="R184" s="9">
        <f t="shared" si="39"/>
        <v>0</v>
      </c>
      <c r="S184" s="9">
        <f t="shared" si="39"/>
        <v>0</v>
      </c>
      <c r="T184" s="9">
        <f t="shared" si="39"/>
        <v>0.14122533748701974</v>
      </c>
    </row>
    <row r="185" spans="3:20" ht="1" customHeight="1">
      <c r="C185" s="9" t="s">
        <v>39</v>
      </c>
      <c r="D185" s="9">
        <v>2010</v>
      </c>
      <c r="E185" s="9">
        <f t="shared" ref="E185:H185" si="44">E157/E157</f>
        <v>1</v>
      </c>
      <c r="F185" s="9">
        <f t="shared" si="44"/>
        <v>1</v>
      </c>
      <c r="G185" s="9">
        <f t="shared" si="44"/>
        <v>1</v>
      </c>
      <c r="H185" s="9">
        <f t="shared" si="44"/>
        <v>1</v>
      </c>
      <c r="I185" s="9" t="s">
        <v>39</v>
      </c>
      <c r="J185" s="9">
        <v>1950</v>
      </c>
      <c r="K185" s="9">
        <f t="shared" si="41"/>
        <v>0.4127843986998917</v>
      </c>
      <c r="L185" s="9">
        <f t="shared" si="38"/>
        <v>6.67574931880109E-2</v>
      </c>
      <c r="M185" s="9">
        <f t="shared" si="38"/>
        <v>2.6200873362445417E-2</v>
      </c>
      <c r="N185" s="9">
        <f t="shared" si="38"/>
        <v>0.28471411901983662</v>
      </c>
      <c r="O185" s="9" t="s">
        <v>39</v>
      </c>
      <c r="P185" s="9">
        <v>1900</v>
      </c>
      <c r="Q185" s="9">
        <f t="shared" si="42"/>
        <v>0.13434452871072591</v>
      </c>
      <c r="R185" s="9">
        <f t="shared" si="39"/>
        <v>8.1743869209809257E-3</v>
      </c>
      <c r="S185" s="9">
        <f t="shared" si="39"/>
        <v>4.3668122270742364E-3</v>
      </c>
      <c r="T185" s="9">
        <f t="shared" si="39"/>
        <v>2.8004667444574093E-2</v>
      </c>
    </row>
    <row r="186" spans="3:20" ht="1" customHeight="1">
      <c r="C186" s="9" t="s">
        <v>40</v>
      </c>
      <c r="D186" s="9">
        <v>2010</v>
      </c>
      <c r="E186" s="9">
        <f t="shared" ref="E186:H186" si="45">E158/E158</f>
        <v>1</v>
      </c>
      <c r="F186" s="9">
        <f t="shared" si="45"/>
        <v>1</v>
      </c>
      <c r="G186" s="9">
        <f t="shared" si="45"/>
        <v>1</v>
      </c>
      <c r="H186" s="9">
        <f t="shared" si="45"/>
        <v>1</v>
      </c>
      <c r="I186" s="9" t="s">
        <v>40</v>
      </c>
      <c r="J186" s="9">
        <v>1950</v>
      </c>
      <c r="K186" s="9">
        <f t="shared" si="41"/>
        <v>0.37799999999999995</v>
      </c>
      <c r="L186" s="9">
        <f t="shared" si="38"/>
        <v>4.1763341067285381E-2</v>
      </c>
      <c r="M186" s="9">
        <f t="shared" si="38"/>
        <v>1.6949152542372881E-2</v>
      </c>
      <c r="N186" s="9">
        <f t="shared" si="38"/>
        <v>0.25826193390452873</v>
      </c>
      <c r="O186" s="9" t="s">
        <v>40</v>
      </c>
      <c r="P186" s="9">
        <v>1900</v>
      </c>
      <c r="Q186" s="9">
        <f t="shared" si="42"/>
        <v>0.13699999999999998</v>
      </c>
      <c r="R186" s="9">
        <f t="shared" si="39"/>
        <v>5.8004640371229696E-3</v>
      </c>
      <c r="S186" s="9">
        <f t="shared" si="39"/>
        <v>3.3898305084745766E-3</v>
      </c>
      <c r="T186" s="9">
        <f t="shared" si="39"/>
        <v>6.8543451652386789E-2</v>
      </c>
    </row>
    <row r="187" spans="3:20" ht="1" customHeight="1">
      <c r="C187" s="9" t="s">
        <v>41</v>
      </c>
      <c r="D187" s="9">
        <v>2010</v>
      </c>
      <c r="E187" s="9">
        <f t="shared" ref="E187:H187" si="46">E159/E159</f>
        <v>1</v>
      </c>
      <c r="F187" s="9">
        <f t="shared" si="46"/>
        <v>1</v>
      </c>
      <c r="G187" s="9">
        <f t="shared" si="46"/>
        <v>1</v>
      </c>
      <c r="H187" s="9">
        <f t="shared" si="46"/>
        <v>1</v>
      </c>
      <c r="I187" s="9" t="s">
        <v>41</v>
      </c>
      <c r="J187" s="9">
        <v>1950</v>
      </c>
      <c r="K187" s="9">
        <f t="shared" si="41"/>
        <v>0.97959183673469385</v>
      </c>
      <c r="L187" s="9">
        <f t="shared" si="38"/>
        <v>0.10551558752997602</v>
      </c>
      <c r="M187" s="9">
        <f t="shared" si="38"/>
        <v>1.5151515151515152E-2</v>
      </c>
      <c r="N187" s="9">
        <f t="shared" si="38"/>
        <v>0.47439613526570051</v>
      </c>
      <c r="O187" s="9" t="s">
        <v>41</v>
      </c>
      <c r="P187" s="9">
        <v>1900</v>
      </c>
      <c r="Q187" s="9">
        <f t="shared" si="42"/>
        <v>0.3479591836734694</v>
      </c>
      <c r="R187" s="9">
        <f t="shared" si="39"/>
        <v>1.6786570743405272E-2</v>
      </c>
      <c r="S187" s="9">
        <f t="shared" si="39"/>
        <v>3.0303030303030303E-3</v>
      </c>
      <c r="T187" s="9">
        <f t="shared" si="39"/>
        <v>0.15265700483091788</v>
      </c>
    </row>
    <row r="188" spans="3:20" ht="1" customHeight="1">
      <c r="C188" s="9" t="s">
        <v>42</v>
      </c>
      <c r="D188" s="9">
        <v>2010</v>
      </c>
      <c r="E188" s="9">
        <f t="shared" ref="E188:H188" si="47">E160/E160</f>
        <v>1</v>
      </c>
      <c r="F188" s="9">
        <f t="shared" si="47"/>
        <v>1</v>
      </c>
      <c r="G188" s="9">
        <f t="shared" si="47"/>
        <v>1</v>
      </c>
      <c r="H188" s="9">
        <f t="shared" si="47"/>
        <v>1</v>
      </c>
      <c r="I188" s="9" t="s">
        <v>42</v>
      </c>
      <c r="J188" s="9">
        <v>1950</v>
      </c>
      <c r="K188" s="9">
        <f t="shared" si="41"/>
        <v>0.43099999999999999</v>
      </c>
      <c r="L188" s="9">
        <f t="shared" si="38"/>
        <v>3.6208732694355691E-2</v>
      </c>
      <c r="M188" s="9">
        <f t="shared" si="38"/>
        <v>1.5384615384615384E-2</v>
      </c>
      <c r="N188" s="9">
        <f t="shared" si="38"/>
        <v>0.25454545454545452</v>
      </c>
      <c r="O188" s="9" t="s">
        <v>42</v>
      </c>
      <c r="P188" s="9">
        <v>1900</v>
      </c>
      <c r="Q188" s="9">
        <f t="shared" si="42"/>
        <v>0.217</v>
      </c>
      <c r="R188" s="9">
        <f t="shared" si="39"/>
        <v>8.5197018104366355E-3</v>
      </c>
      <c r="S188" s="9">
        <f t="shared" si="39"/>
        <v>7.6923076923076919E-3</v>
      </c>
      <c r="T188" s="9">
        <f t="shared" si="39"/>
        <v>9.0909090909090912E-2</v>
      </c>
    </row>
    <row r="189" spans="3:20" ht="1" customHeight="1">
      <c r="C189" s="9" t="s">
        <v>43</v>
      </c>
      <c r="D189" s="9">
        <v>2010</v>
      </c>
      <c r="E189" s="9">
        <f t="shared" ref="E189:H189" si="48">E161/E161</f>
        <v>1</v>
      </c>
      <c r="F189" s="9">
        <f t="shared" si="48"/>
        <v>1</v>
      </c>
      <c r="G189" s="9">
        <f t="shared" si="48"/>
        <v>1</v>
      </c>
      <c r="H189" s="9">
        <f t="shared" si="48"/>
        <v>1</v>
      </c>
      <c r="I189" s="9" t="s">
        <v>43</v>
      </c>
      <c r="J189" s="9">
        <v>1950</v>
      </c>
      <c r="K189" s="9">
        <f t="shared" si="41"/>
        <v>0.68500000000000005</v>
      </c>
      <c r="L189" s="9">
        <f t="shared" si="38"/>
        <v>4.7724750277469481E-2</v>
      </c>
      <c r="M189" s="9">
        <f t="shared" si="38"/>
        <v>3.1818181818181815E-2</v>
      </c>
      <c r="N189" s="9">
        <f t="shared" si="38"/>
        <v>0.42704626334519574</v>
      </c>
      <c r="O189" s="9" t="s">
        <v>43</v>
      </c>
      <c r="P189" s="9">
        <v>1900</v>
      </c>
      <c r="Q189" s="9">
        <f t="shared" si="42"/>
        <v>0.34799999999999998</v>
      </c>
      <c r="R189" s="9">
        <f t="shared" si="39"/>
        <v>4.439511653718092E-3</v>
      </c>
      <c r="S189" s="9">
        <f t="shared" si="39"/>
        <v>0</v>
      </c>
      <c r="T189" s="9">
        <f t="shared" si="39"/>
        <v>0.18505338078291816</v>
      </c>
    </row>
    <row r="190" spans="3:20" ht="1" customHeight="1">
      <c r="C190" s="9" t="s">
        <v>68</v>
      </c>
      <c r="D190" s="9">
        <v>2010</v>
      </c>
      <c r="E190" s="9">
        <f t="shared" ref="E190:H190" si="49">E162/E162</f>
        <v>1</v>
      </c>
      <c r="F190" s="9">
        <f t="shared" si="49"/>
        <v>1</v>
      </c>
      <c r="G190" s="9">
        <f t="shared" si="49"/>
        <v>1</v>
      </c>
      <c r="H190" s="9">
        <f t="shared" si="49"/>
        <v>1</v>
      </c>
      <c r="I190" s="9" t="s">
        <v>68</v>
      </c>
      <c r="J190" s="9">
        <v>1950</v>
      </c>
      <c r="K190" s="9">
        <f t="shared" si="41"/>
        <v>0.70099999999999996</v>
      </c>
      <c r="L190" s="9">
        <f t="shared" si="38"/>
        <v>7.6836158192090387E-2</v>
      </c>
      <c r="M190" s="9">
        <f t="shared" si="38"/>
        <v>3.0526315789473683E-2</v>
      </c>
      <c r="N190" s="9">
        <f t="shared" si="38"/>
        <v>0.32368896925858948</v>
      </c>
      <c r="O190" s="9" t="s">
        <v>68</v>
      </c>
      <c r="P190" s="9">
        <v>1900</v>
      </c>
      <c r="Q190" s="9">
        <f t="shared" si="42"/>
        <v>0.45500000000000002</v>
      </c>
      <c r="R190" s="9">
        <f t="shared" si="39"/>
        <v>1.8079096045197741E-2</v>
      </c>
      <c r="S190" s="9">
        <f t="shared" si="39"/>
        <v>3.1578947368421052E-3</v>
      </c>
      <c r="T190" s="9">
        <f t="shared" si="39"/>
        <v>7.4141048824593117E-2</v>
      </c>
    </row>
    <row r="191" spans="3:20" ht="1" customHeight="1">
      <c r="C191" s="9" t="s">
        <v>44</v>
      </c>
      <c r="D191" s="9">
        <v>2010</v>
      </c>
      <c r="E191" s="9">
        <f t="shared" ref="E191:H191" si="50">E163/E163</f>
        <v>1</v>
      </c>
      <c r="F191" s="9">
        <f t="shared" si="50"/>
        <v>1</v>
      </c>
      <c r="G191" s="9">
        <f t="shared" si="50"/>
        <v>1</v>
      </c>
      <c r="H191" s="9">
        <f t="shared" si="50"/>
        <v>1</v>
      </c>
      <c r="I191" s="9" t="s">
        <v>44</v>
      </c>
      <c r="J191" s="9">
        <v>1950</v>
      </c>
      <c r="K191" s="9">
        <f t="shared" si="41"/>
        <v>0.52419354838709675</v>
      </c>
      <c r="L191" s="9">
        <f t="shared" si="38"/>
        <v>4.0172166427546625E-2</v>
      </c>
      <c r="M191" s="9">
        <f t="shared" si="38"/>
        <v>1.2224938875305624E-2</v>
      </c>
      <c r="N191" s="9">
        <f t="shared" si="38"/>
        <v>0.31157635467980294</v>
      </c>
      <c r="O191" s="9" t="s">
        <v>44</v>
      </c>
      <c r="P191" s="9">
        <v>1900</v>
      </c>
      <c r="Q191" s="9">
        <f t="shared" si="42"/>
        <v>0.12600806451612903</v>
      </c>
      <c r="R191" s="9">
        <f t="shared" si="39"/>
        <v>0</v>
      </c>
      <c r="S191" s="9">
        <f t="shared" si="39"/>
        <v>0</v>
      </c>
      <c r="T191" s="9">
        <f t="shared" si="39"/>
        <v>3.5714285714285712E-2</v>
      </c>
    </row>
    <row r="192" spans="3:20" ht="1" customHeight="1">
      <c r="C192" s="9" t="s">
        <v>45</v>
      </c>
      <c r="D192" s="9">
        <v>2010</v>
      </c>
      <c r="E192" s="9">
        <f t="shared" ref="E192:H192" si="51">E164/E164</f>
        <v>1</v>
      </c>
      <c r="F192" s="9">
        <f t="shared" si="51"/>
        <v>1</v>
      </c>
      <c r="G192" s="9">
        <f t="shared" si="51"/>
        <v>1</v>
      </c>
      <c r="H192" s="9">
        <f t="shared" si="51"/>
        <v>1</v>
      </c>
      <c r="I192" s="9" t="s">
        <v>45</v>
      </c>
      <c r="J192" s="9">
        <v>1950</v>
      </c>
      <c r="K192" s="9">
        <f t="shared" si="41"/>
        <v>0.58499999999999996</v>
      </c>
      <c r="L192" s="9">
        <f t="shared" si="38"/>
        <v>5.5079559363525092E-2</v>
      </c>
      <c r="M192" s="9">
        <f t="shared" si="38"/>
        <v>2.0512820512820513E-2</v>
      </c>
      <c r="N192" s="9">
        <f t="shared" si="38"/>
        <v>0.32668329177057359</v>
      </c>
      <c r="O192" s="9" t="s">
        <v>45</v>
      </c>
      <c r="P192" s="9">
        <v>1900</v>
      </c>
      <c r="Q192" s="9">
        <f t="shared" si="42"/>
        <v>0.26500000000000001</v>
      </c>
      <c r="R192" s="9">
        <f t="shared" si="39"/>
        <v>0</v>
      </c>
      <c r="S192" s="9">
        <f t="shared" si="39"/>
        <v>2.5641025641025641E-3</v>
      </c>
      <c r="T192" s="9">
        <f t="shared" si="39"/>
        <v>0.11221945137157108</v>
      </c>
    </row>
    <row r="193" spans="3:20" ht="1" customHeight="1">
      <c r="C193" s="9" t="s">
        <v>46</v>
      </c>
      <c r="D193" s="9">
        <v>2010</v>
      </c>
      <c r="E193" s="9">
        <f t="shared" ref="E193:H193" si="52">E165/E165</f>
        <v>1</v>
      </c>
      <c r="F193" s="9">
        <f t="shared" si="52"/>
        <v>1</v>
      </c>
      <c r="G193" s="9">
        <f t="shared" si="52"/>
        <v>1</v>
      </c>
      <c r="H193" s="9">
        <f t="shared" si="52"/>
        <v>1</v>
      </c>
      <c r="I193" s="9" t="s">
        <v>46</v>
      </c>
      <c r="J193" s="9">
        <v>1950</v>
      </c>
      <c r="K193" s="9">
        <f t="shared" si="41"/>
        <v>0.42499999999999999</v>
      </c>
      <c r="L193" s="9">
        <f t="shared" si="38"/>
        <v>5.4750402576489533E-2</v>
      </c>
      <c r="M193" s="9">
        <f t="shared" si="38"/>
        <v>1.7391304347826087E-2</v>
      </c>
      <c r="N193" s="9">
        <f t="shared" si="38"/>
        <v>0.19230769230769229</v>
      </c>
      <c r="O193" s="9" t="s">
        <v>46</v>
      </c>
      <c r="P193" s="9">
        <v>1900</v>
      </c>
      <c r="Q193" s="9">
        <f t="shared" si="42"/>
        <v>0.20499999999999999</v>
      </c>
      <c r="R193" s="9">
        <f t="shared" si="39"/>
        <v>1.2882447665056361E-2</v>
      </c>
      <c r="S193" s="9">
        <f t="shared" si="39"/>
        <v>0</v>
      </c>
      <c r="T193" s="9">
        <f t="shared" si="39"/>
        <v>0.10173697270471463</v>
      </c>
    </row>
    <row r="194" spans="3:20" ht="1" customHeight="1">
      <c r="C194" s="9" t="s">
        <v>47</v>
      </c>
      <c r="D194" s="9">
        <v>2010</v>
      </c>
      <c r="E194" s="9">
        <f t="shared" ref="E194:H194" si="53">E166/E166</f>
        <v>1</v>
      </c>
      <c r="F194" s="9">
        <f t="shared" si="53"/>
        <v>1</v>
      </c>
      <c r="G194" s="9">
        <f t="shared" si="53"/>
        <v>1</v>
      </c>
      <c r="H194" s="9">
        <f t="shared" si="53"/>
        <v>1</v>
      </c>
      <c r="I194" s="9" t="s">
        <v>47</v>
      </c>
      <c r="J194" s="9">
        <v>1950</v>
      </c>
      <c r="K194" s="9">
        <f t="shared" si="41"/>
        <v>0.29699999999999999</v>
      </c>
      <c r="L194" s="9">
        <f t="shared" si="38"/>
        <v>4.8973143759873619E-2</v>
      </c>
      <c r="M194" s="9">
        <f t="shared" si="38"/>
        <v>2.1367521367521368E-2</v>
      </c>
      <c r="N194" s="9">
        <f t="shared" si="38"/>
        <v>0.25335892514395397</v>
      </c>
      <c r="O194" s="9" t="s">
        <v>47</v>
      </c>
      <c r="P194" s="9">
        <v>1900</v>
      </c>
      <c r="Q194" s="9">
        <f t="shared" si="42"/>
        <v>0.21100000000000002</v>
      </c>
      <c r="R194" s="9">
        <f t="shared" si="39"/>
        <v>2.0537124802527649E-2</v>
      </c>
      <c r="S194" s="9">
        <f t="shared" si="39"/>
        <v>0</v>
      </c>
      <c r="T194" s="9">
        <f t="shared" si="39"/>
        <v>0.16122840690978887</v>
      </c>
    </row>
    <row r="195" spans="3:20" ht="1" customHeight="1">
      <c r="C195" s="9" t="s">
        <v>69</v>
      </c>
      <c r="D195" s="9">
        <v>2010</v>
      </c>
      <c r="E195" s="9">
        <f t="shared" ref="E195:H195" si="54">E167/E167</f>
        <v>1</v>
      </c>
      <c r="F195" s="9">
        <f t="shared" si="54"/>
        <v>1</v>
      </c>
      <c r="G195" s="9">
        <f t="shared" si="54"/>
        <v>1</v>
      </c>
      <c r="H195" s="9">
        <f t="shared" si="54"/>
        <v>1</v>
      </c>
      <c r="I195" s="9" t="s">
        <v>69</v>
      </c>
      <c r="J195" s="9">
        <v>1950</v>
      </c>
      <c r="K195" s="9">
        <f t="shared" si="41"/>
        <v>1.2106537530266344</v>
      </c>
      <c r="L195" s="9">
        <f t="shared" si="38"/>
        <v>1.8038331454340473E-2</v>
      </c>
      <c r="M195" s="9">
        <f t="shared" si="38"/>
        <v>9.0909090909090922E-3</v>
      </c>
      <c r="N195" s="9">
        <f t="shared" si="38"/>
        <v>0.48444444444444446</v>
      </c>
      <c r="O195" s="9" t="s">
        <v>69</v>
      </c>
      <c r="P195" s="9">
        <v>1900</v>
      </c>
      <c r="Q195" s="9">
        <f t="shared" si="42"/>
        <v>0.75544794188861986</v>
      </c>
      <c r="R195" s="9">
        <f t="shared" si="39"/>
        <v>1.1273957158962795E-3</v>
      </c>
      <c r="S195" s="9">
        <f t="shared" si="39"/>
        <v>0</v>
      </c>
      <c r="T195" s="9">
        <f t="shared" si="39"/>
        <v>0.17333333333333334</v>
      </c>
    </row>
    <row r="196" spans="3:20" ht="1" customHeight="1">
      <c r="C196" s="9" t="s">
        <v>70</v>
      </c>
      <c r="D196" s="9">
        <v>2010</v>
      </c>
      <c r="E196" s="9">
        <f t="shared" ref="E196:H196" si="55">E168/E168</f>
        <v>1</v>
      </c>
      <c r="F196" s="9">
        <f t="shared" si="55"/>
        <v>1</v>
      </c>
      <c r="G196" s="9">
        <f t="shared" si="55"/>
        <v>1</v>
      </c>
      <c r="H196" s="9">
        <f t="shared" si="55"/>
        <v>1</v>
      </c>
      <c r="I196" s="9" t="s">
        <v>70</v>
      </c>
      <c r="J196" s="9">
        <v>1950</v>
      </c>
      <c r="K196" s="9">
        <f t="shared" si="41"/>
        <v>0.30877901109989914</v>
      </c>
      <c r="L196" s="9">
        <f t="shared" si="38"/>
        <v>3.0805687203791468E-2</v>
      </c>
      <c r="M196" s="9">
        <f t="shared" si="38"/>
        <v>3.4482758620689655E-2</v>
      </c>
      <c r="N196" s="9">
        <f t="shared" si="38"/>
        <v>0.11605415860735009</v>
      </c>
      <c r="O196" s="9" t="s">
        <v>70</v>
      </c>
      <c r="P196" s="9">
        <v>1900</v>
      </c>
      <c r="Q196" s="9">
        <f t="shared" si="42"/>
        <v>0</v>
      </c>
      <c r="R196" s="9">
        <f t="shared" si="39"/>
        <v>0</v>
      </c>
      <c r="S196" s="9">
        <f t="shared" si="39"/>
        <v>0</v>
      </c>
      <c r="T196" s="9">
        <f t="shared" si="39"/>
        <v>2.707930367504836E-2</v>
      </c>
    </row>
    <row r="197" spans="3:20" ht="1" customHeight="1">
      <c r="C197" s="9" t="s">
        <v>50</v>
      </c>
      <c r="D197" s="9">
        <v>2010</v>
      </c>
      <c r="E197" s="9">
        <f t="shared" ref="E197:H197" si="56">E169/E169</f>
        <v>1</v>
      </c>
      <c r="F197" s="9">
        <f t="shared" si="56"/>
        <v>1</v>
      </c>
      <c r="G197" s="9">
        <f t="shared" si="56"/>
        <v>1</v>
      </c>
      <c r="H197" s="9">
        <f t="shared" si="56"/>
        <v>1</v>
      </c>
      <c r="I197" s="9" t="s">
        <v>50</v>
      </c>
      <c r="J197" s="9">
        <v>1950</v>
      </c>
      <c r="K197" s="9">
        <f t="shared" si="41"/>
        <v>0.308</v>
      </c>
      <c r="L197" s="9">
        <f t="shared" si="38"/>
        <v>1.5873015873015876E-2</v>
      </c>
      <c r="M197" s="9">
        <f t="shared" si="38"/>
        <v>1.9047619047619049E-2</v>
      </c>
      <c r="N197" s="9">
        <f t="shared" si="38"/>
        <v>0.25</v>
      </c>
      <c r="O197" s="9" t="s">
        <v>50</v>
      </c>
      <c r="P197" s="9">
        <v>1900</v>
      </c>
      <c r="Q197" s="9">
        <f t="shared" si="42"/>
        <v>0.30299999999999999</v>
      </c>
      <c r="R197" s="9">
        <f t="shared" si="39"/>
        <v>8.658008658008658E-3</v>
      </c>
      <c r="S197" s="9">
        <f t="shared" si="39"/>
        <v>9.5238095238095247E-3</v>
      </c>
      <c r="T197" s="9">
        <f t="shared" si="39"/>
        <v>0.11515151515151516</v>
      </c>
    </row>
    <row r="198" spans="3:20" ht="1" customHeight="1">
      <c r="C198" s="9" t="s">
        <v>71</v>
      </c>
      <c r="D198" s="9">
        <v>2010</v>
      </c>
      <c r="E198" s="9">
        <f t="shared" ref="E198:H198" si="57">E170/E170</f>
        <v>1</v>
      </c>
      <c r="F198" s="9">
        <f t="shared" si="57"/>
        <v>1</v>
      </c>
      <c r="G198" s="9">
        <f t="shared" si="57"/>
        <v>1</v>
      </c>
      <c r="H198" s="9">
        <f t="shared" si="57"/>
        <v>1</v>
      </c>
      <c r="I198" s="9" t="s">
        <v>71</v>
      </c>
      <c r="J198" s="9">
        <v>1950</v>
      </c>
      <c r="K198" s="9">
        <f t="shared" si="41"/>
        <v>1.0570824524312896</v>
      </c>
      <c r="L198" s="9">
        <f t="shared" ref="L198:L206" si="58">L170/F170</f>
        <v>3.7819799777530583E-2</v>
      </c>
      <c r="M198" s="9">
        <f t="shared" ref="M198:M206" si="59">M170/G170</f>
        <v>6.8965517241379318E-3</v>
      </c>
      <c r="N198" s="9">
        <f t="shared" ref="N198:N206" si="60">N170/H170</f>
        <v>0.35237173281703776</v>
      </c>
      <c r="O198" s="9" t="s">
        <v>71</v>
      </c>
      <c r="P198" s="9">
        <v>1900</v>
      </c>
      <c r="Q198" s="9">
        <f t="shared" si="42"/>
        <v>0.84883720930232565</v>
      </c>
      <c r="R198" s="9">
        <f t="shared" ref="R198:R206" si="61">R170/F170</f>
        <v>2.2246941045606229E-3</v>
      </c>
      <c r="S198" s="9">
        <f t="shared" ref="S198:S206" si="62">S170/G170</f>
        <v>0</v>
      </c>
      <c r="T198" s="9">
        <f t="shared" ref="T198:T206" si="63">T170/H170</f>
        <v>0.19070667957405615</v>
      </c>
    </row>
    <row r="199" spans="3:20" ht="1" customHeight="1">
      <c r="C199" s="9" t="s">
        <v>52</v>
      </c>
      <c r="D199" s="9">
        <v>2010</v>
      </c>
      <c r="E199" s="9">
        <f t="shared" ref="E199:H199" si="64">E171/E171</f>
        <v>1</v>
      </c>
      <c r="F199" s="9">
        <f t="shared" si="64"/>
        <v>1</v>
      </c>
      <c r="G199" s="9">
        <f t="shared" si="64"/>
        <v>1</v>
      </c>
      <c r="H199" s="9">
        <f t="shared" si="64"/>
        <v>1</v>
      </c>
      <c r="I199" s="9" t="s">
        <v>52</v>
      </c>
      <c r="J199" s="9">
        <v>1950</v>
      </c>
      <c r="K199" s="9">
        <f t="shared" si="41"/>
        <v>0.626</v>
      </c>
      <c r="L199" s="9">
        <f t="shared" si="58"/>
        <v>2.2974607013301087E-2</v>
      </c>
      <c r="M199" s="9">
        <f t="shared" si="59"/>
        <v>1.8518518518518517E-2</v>
      </c>
      <c r="N199" s="9">
        <f t="shared" si="60"/>
        <v>0.23965141612200438</v>
      </c>
      <c r="O199" s="9" t="s">
        <v>52</v>
      </c>
      <c r="P199" s="9">
        <v>1900</v>
      </c>
      <c r="Q199" s="9">
        <f t="shared" si="42"/>
        <v>0.35100000000000003</v>
      </c>
      <c r="R199" s="9">
        <f t="shared" si="61"/>
        <v>4.8367593712212815E-3</v>
      </c>
      <c r="S199" s="9">
        <f t="shared" si="62"/>
        <v>7.4074074074074077E-3</v>
      </c>
      <c r="T199" s="9">
        <f t="shared" si="63"/>
        <v>9.2592592592592587E-2</v>
      </c>
    </row>
    <row r="200" spans="3:20" ht="1" customHeight="1">
      <c r="C200" s="9" t="s">
        <v>53</v>
      </c>
      <c r="D200" s="9">
        <v>2010</v>
      </c>
      <c r="E200" s="9">
        <f t="shared" ref="E200:H200" si="65">E172/E172</f>
        <v>1</v>
      </c>
      <c r="F200" s="9">
        <f t="shared" si="65"/>
        <v>1</v>
      </c>
      <c r="G200" s="9">
        <f t="shared" si="65"/>
        <v>1</v>
      </c>
      <c r="H200" s="9">
        <f t="shared" si="65"/>
        <v>1</v>
      </c>
      <c r="I200" s="9" t="s">
        <v>53</v>
      </c>
      <c r="J200" s="9">
        <v>1950</v>
      </c>
      <c r="K200" s="9">
        <f t="shared" si="41"/>
        <v>0.40600000000000003</v>
      </c>
      <c r="L200" s="9">
        <f t="shared" si="58"/>
        <v>5.3763440860215062E-2</v>
      </c>
      <c r="M200" s="9">
        <f t="shared" si="59"/>
        <v>1.7241379310344827E-2</v>
      </c>
      <c r="N200" s="9">
        <f t="shared" si="60"/>
        <v>0.22580645161290322</v>
      </c>
      <c r="O200" s="9" t="s">
        <v>53</v>
      </c>
      <c r="P200" s="9">
        <v>1900</v>
      </c>
      <c r="Q200" s="9">
        <f t="shared" si="42"/>
        <v>0.192</v>
      </c>
      <c r="R200" s="9">
        <f t="shared" si="61"/>
        <v>0</v>
      </c>
      <c r="S200" s="9">
        <f t="shared" si="62"/>
        <v>0</v>
      </c>
      <c r="T200" s="9">
        <f t="shared" si="63"/>
        <v>0.12609970674486803</v>
      </c>
    </row>
    <row r="201" spans="3:20" ht="1" customHeight="1">
      <c r="C201" s="9" t="s">
        <v>54</v>
      </c>
      <c r="D201" s="9">
        <v>2010</v>
      </c>
      <c r="E201" s="9">
        <f t="shared" ref="E201:H201" si="66">E173/E173</f>
        <v>1</v>
      </c>
      <c r="F201" s="9">
        <f t="shared" si="66"/>
        <v>1</v>
      </c>
      <c r="G201" s="9">
        <f t="shared" si="66"/>
        <v>1</v>
      </c>
      <c r="H201" s="9">
        <f t="shared" si="66"/>
        <v>1</v>
      </c>
      <c r="I201" s="9" t="s">
        <v>54</v>
      </c>
      <c r="J201" s="9">
        <v>1950</v>
      </c>
      <c r="K201" s="9">
        <f t="shared" si="41"/>
        <v>0.74688796680497926</v>
      </c>
      <c r="L201" s="9">
        <f t="shared" si="58"/>
        <v>0.18844984802431614</v>
      </c>
      <c r="M201" s="9">
        <f t="shared" si="59"/>
        <v>2.5000000000000001E-2</v>
      </c>
      <c r="N201" s="9">
        <f t="shared" si="60"/>
        <v>0.39814814814814814</v>
      </c>
      <c r="O201" s="9" t="s">
        <v>54</v>
      </c>
      <c r="P201" s="9">
        <v>1900</v>
      </c>
      <c r="Q201" s="9">
        <f t="shared" si="42"/>
        <v>0.2033195020746888</v>
      </c>
      <c r="R201" s="9">
        <f t="shared" si="61"/>
        <v>0</v>
      </c>
      <c r="S201" s="9">
        <f t="shared" si="62"/>
        <v>0</v>
      </c>
      <c r="T201" s="9">
        <f t="shared" si="63"/>
        <v>8.7448559670781884E-2</v>
      </c>
    </row>
    <row r="202" spans="3:20" ht="1" customHeight="1">
      <c r="C202" s="9" t="s">
        <v>55</v>
      </c>
      <c r="D202" s="9">
        <v>2010</v>
      </c>
      <c r="E202" s="9">
        <f t="shared" ref="E202:H202" si="67">E174/E174</f>
        <v>1</v>
      </c>
      <c r="F202" s="9">
        <f t="shared" si="67"/>
        <v>1</v>
      </c>
      <c r="G202" s="9">
        <f t="shared" si="67"/>
        <v>1</v>
      </c>
      <c r="H202" s="9">
        <f t="shared" si="67"/>
        <v>1</v>
      </c>
      <c r="I202" s="9" t="s">
        <v>55</v>
      </c>
      <c r="J202" s="9">
        <v>1950</v>
      </c>
      <c r="K202" s="9">
        <f t="shared" si="41"/>
        <v>0.7186147186147186</v>
      </c>
      <c r="L202" s="9">
        <f t="shared" si="58"/>
        <v>5.0520059435364043E-2</v>
      </c>
      <c r="M202" s="9">
        <f t="shared" si="59"/>
        <v>0.02</v>
      </c>
      <c r="N202" s="9">
        <f t="shared" si="60"/>
        <v>0.35168961201501875</v>
      </c>
      <c r="O202" s="9" t="s">
        <v>55</v>
      </c>
      <c r="P202" s="9">
        <v>1900</v>
      </c>
      <c r="Q202" s="9">
        <f t="shared" si="42"/>
        <v>0.21428571428571427</v>
      </c>
      <c r="R202" s="9">
        <f t="shared" si="61"/>
        <v>0</v>
      </c>
      <c r="S202" s="9">
        <f t="shared" si="62"/>
        <v>0</v>
      </c>
      <c r="T202" s="9">
        <f t="shared" si="63"/>
        <v>9.6370463078848556E-2</v>
      </c>
    </row>
    <row r="203" spans="3:20" ht="1" customHeight="1">
      <c r="C203" s="9" t="s">
        <v>56</v>
      </c>
      <c r="D203" s="9">
        <v>2010</v>
      </c>
      <c r="E203" s="9">
        <f t="shared" ref="E203:H203" si="68">E175/E175</f>
        <v>1</v>
      </c>
      <c r="F203" s="9">
        <f t="shared" si="68"/>
        <v>1</v>
      </c>
      <c r="G203" s="9">
        <f t="shared" si="68"/>
        <v>1</v>
      </c>
      <c r="H203" s="9">
        <f t="shared" si="68"/>
        <v>1</v>
      </c>
      <c r="I203" s="9" t="s">
        <v>56</v>
      </c>
      <c r="J203" s="9">
        <v>1950</v>
      </c>
      <c r="K203" s="9">
        <f t="shared" si="41"/>
        <v>0.68799999999999994</v>
      </c>
      <c r="L203" s="9">
        <f t="shared" si="58"/>
        <v>4.7729918509895219E-2</v>
      </c>
      <c r="M203" s="9">
        <f t="shared" si="59"/>
        <v>2.7906976744186046E-2</v>
      </c>
      <c r="N203" s="9">
        <f t="shared" si="60"/>
        <v>0.31357758620689657</v>
      </c>
      <c r="O203" s="9" t="s">
        <v>56</v>
      </c>
      <c r="P203" s="9">
        <v>1900</v>
      </c>
      <c r="Q203" s="9">
        <f t="shared" si="42"/>
        <v>0.157</v>
      </c>
      <c r="R203" s="9">
        <f t="shared" si="61"/>
        <v>2.3282887077997671E-3</v>
      </c>
      <c r="S203" s="9">
        <f t="shared" si="62"/>
        <v>2.3255813953488372E-3</v>
      </c>
      <c r="T203" s="9">
        <f t="shared" si="63"/>
        <v>2.370689655172414E-2</v>
      </c>
    </row>
    <row r="204" spans="3:20" ht="1" customHeight="1">
      <c r="C204" s="9" t="s">
        <v>72</v>
      </c>
      <c r="D204" s="9">
        <v>2010</v>
      </c>
      <c r="E204" s="9">
        <f t="shared" ref="E204:H204" si="69">E176/E176</f>
        <v>1</v>
      </c>
      <c r="F204" s="9">
        <f t="shared" si="69"/>
        <v>1</v>
      </c>
      <c r="G204" s="9">
        <f t="shared" si="69"/>
        <v>1</v>
      </c>
      <c r="H204" s="9">
        <f t="shared" si="69"/>
        <v>1</v>
      </c>
      <c r="I204" s="9" t="s">
        <v>72</v>
      </c>
      <c r="J204" s="9">
        <v>1950</v>
      </c>
      <c r="K204" s="9">
        <f t="shared" si="41"/>
        <v>1.0070493454179255</v>
      </c>
      <c r="L204" s="9">
        <f t="shared" si="58"/>
        <v>9.3785310734463279E-2</v>
      </c>
      <c r="M204" s="9">
        <f t="shared" si="59"/>
        <v>1.3157894736842106E-2</v>
      </c>
      <c r="N204" s="9">
        <f t="shared" si="60"/>
        <v>0.47080291970802918</v>
      </c>
      <c r="O204" s="9" t="s">
        <v>72</v>
      </c>
      <c r="P204" s="9">
        <v>1900</v>
      </c>
      <c r="Q204" s="9">
        <f t="shared" si="42"/>
        <v>0.69385699899295072</v>
      </c>
      <c r="R204" s="9">
        <f t="shared" si="61"/>
        <v>9.0395480225988704E-3</v>
      </c>
      <c r="S204" s="9">
        <f t="shared" si="62"/>
        <v>0</v>
      </c>
      <c r="T204" s="9">
        <f t="shared" si="63"/>
        <v>0.15145985401459852</v>
      </c>
    </row>
    <row r="205" spans="3:20" ht="1" customHeight="1">
      <c r="C205" s="9" t="s">
        <v>58</v>
      </c>
      <c r="D205" s="9">
        <v>2010</v>
      </c>
      <c r="E205" s="9">
        <f t="shared" ref="E205:H205" si="70">E177/E177</f>
        <v>1</v>
      </c>
      <c r="F205" s="9">
        <f t="shared" si="70"/>
        <v>1</v>
      </c>
      <c r="G205" s="9">
        <f t="shared" si="70"/>
        <v>1</v>
      </c>
      <c r="H205" s="9">
        <f t="shared" si="70"/>
        <v>1</v>
      </c>
      <c r="I205" s="9" t="s">
        <v>58</v>
      </c>
      <c r="J205" s="9">
        <v>1950</v>
      </c>
      <c r="K205" s="9">
        <f t="shared" si="41"/>
        <v>0.83099999999999996</v>
      </c>
      <c r="L205" s="9">
        <f t="shared" si="58"/>
        <v>9.5979247730220499E-2</v>
      </c>
      <c r="M205" s="9">
        <f t="shared" si="59"/>
        <v>5.3968253968253964E-2</v>
      </c>
      <c r="N205" s="9">
        <f t="shared" si="60"/>
        <v>0.51916376306620204</v>
      </c>
      <c r="O205" s="9" t="s">
        <v>58</v>
      </c>
      <c r="P205" s="9">
        <v>1900</v>
      </c>
      <c r="Q205" s="9">
        <f t="shared" si="42"/>
        <v>0.27899999999999997</v>
      </c>
      <c r="R205" s="9">
        <f t="shared" si="61"/>
        <v>5.188067444876784E-3</v>
      </c>
      <c r="S205" s="9">
        <f t="shared" si="62"/>
        <v>3.1746031746031746E-3</v>
      </c>
      <c r="T205" s="9">
        <f t="shared" si="63"/>
        <v>0.1091753774680604</v>
      </c>
    </row>
    <row r="206" spans="3:20" ht="1" customHeight="1">
      <c r="C206" s="9" t="s">
        <v>59</v>
      </c>
      <c r="D206" s="9">
        <v>2010</v>
      </c>
      <c r="E206" s="9">
        <f t="shared" ref="E206:H206" si="71">E178/E178</f>
        <v>1</v>
      </c>
      <c r="F206" s="9">
        <f t="shared" si="71"/>
        <v>1</v>
      </c>
      <c r="G206" s="9">
        <f t="shared" si="71"/>
        <v>1</v>
      </c>
      <c r="H206" s="9">
        <f t="shared" si="71"/>
        <v>1</v>
      </c>
      <c r="I206" s="9" t="s">
        <v>59</v>
      </c>
      <c r="J206" s="9">
        <v>1950</v>
      </c>
      <c r="K206" s="9">
        <f t="shared" si="41"/>
        <v>0.80645161290322576</v>
      </c>
      <c r="L206" s="9">
        <f t="shared" si="58"/>
        <v>3.3462033462033462E-2</v>
      </c>
      <c r="M206" s="9">
        <f t="shared" si="59"/>
        <v>1.0256410256410256E-2</v>
      </c>
      <c r="N206" s="9">
        <f t="shared" si="60"/>
        <v>0.18792710706150342</v>
      </c>
      <c r="O206" s="9" t="s">
        <v>59</v>
      </c>
      <c r="P206" s="9">
        <v>1900</v>
      </c>
      <c r="Q206" s="9">
        <f t="shared" si="42"/>
        <v>6.8548387096774188E-2</v>
      </c>
      <c r="R206" s="9">
        <f t="shared" si="61"/>
        <v>2.5740025740025739E-3</v>
      </c>
      <c r="S206" s="9">
        <f t="shared" si="62"/>
        <v>0</v>
      </c>
      <c r="T206" s="9">
        <f t="shared" si="63"/>
        <v>5.0113895216400917E-2</v>
      </c>
    </row>
    <row r="207" spans="3:20" ht="1" customHeight="1"/>
    <row r="208" spans="3:20" ht="1" customHeight="1"/>
    <row r="209" spans="3:32" ht="1" customHeight="1"/>
    <row r="210" spans="3:32" ht="1" customHeight="1">
      <c r="C210" s="9" t="s">
        <v>61</v>
      </c>
      <c r="D210" s="9" t="s">
        <v>17</v>
      </c>
      <c r="E210" s="9" t="s">
        <v>65</v>
      </c>
    </row>
    <row r="211" spans="3:32" ht="1" customHeight="1">
      <c r="C211" s="9" t="s">
        <v>36</v>
      </c>
      <c r="D211" s="9">
        <v>1900</v>
      </c>
      <c r="E211" s="9">
        <v>0.97</v>
      </c>
      <c r="F211" s="9">
        <v>9.9897013388259515E-2</v>
      </c>
      <c r="I211" s="9" t="s">
        <v>61</v>
      </c>
      <c r="J211" s="9" t="s">
        <v>36</v>
      </c>
      <c r="K211" s="9" t="s">
        <v>36</v>
      </c>
      <c r="L211" s="9" t="s">
        <v>36</v>
      </c>
      <c r="M211" s="9" t="s">
        <v>36</v>
      </c>
      <c r="N211" s="9" t="s">
        <v>36</v>
      </c>
      <c r="O211" s="9" t="s">
        <v>36</v>
      </c>
      <c r="P211" s="9" t="s">
        <v>36</v>
      </c>
      <c r="Q211" s="9" t="s">
        <v>36</v>
      </c>
      <c r="R211" s="9" t="s">
        <v>36</v>
      </c>
      <c r="S211" s="9" t="s">
        <v>36</v>
      </c>
      <c r="T211" s="9" t="s">
        <v>36</v>
      </c>
      <c r="U211" s="9" t="s">
        <v>36</v>
      </c>
      <c r="V211" s="9" t="s">
        <v>36</v>
      </c>
      <c r="W211" s="9" t="s">
        <v>36</v>
      </c>
      <c r="X211" s="9" t="s">
        <v>36</v>
      </c>
      <c r="Y211" s="9" t="s">
        <v>36</v>
      </c>
      <c r="Z211" s="9" t="s">
        <v>36</v>
      </c>
      <c r="AA211" s="9" t="s">
        <v>36</v>
      </c>
      <c r="AB211" s="9" t="s">
        <v>36</v>
      </c>
      <c r="AC211" s="9" t="s">
        <v>36</v>
      </c>
      <c r="AD211" s="9" t="s">
        <v>36</v>
      </c>
      <c r="AE211" s="9" t="s">
        <v>36</v>
      </c>
      <c r="AF211" s="9" t="s">
        <v>36</v>
      </c>
    </row>
    <row r="212" spans="3:32" ht="1" customHeight="1">
      <c r="C212" s="9" t="s">
        <v>36</v>
      </c>
      <c r="D212" s="9">
        <v>1905</v>
      </c>
      <c r="E212" s="9">
        <v>1.45</v>
      </c>
      <c r="F212" s="9">
        <v>0.1493305870236869</v>
      </c>
      <c r="I212" s="9" t="s">
        <v>17</v>
      </c>
      <c r="J212" s="9">
        <v>1900</v>
      </c>
      <c r="K212" s="9">
        <v>1905</v>
      </c>
      <c r="L212" s="9">
        <v>1910</v>
      </c>
      <c r="M212" s="9">
        <v>1915</v>
      </c>
      <c r="N212" s="9">
        <v>1920</v>
      </c>
      <c r="O212" s="9">
        <v>1925</v>
      </c>
      <c r="P212" s="9">
        <v>1930</v>
      </c>
      <c r="Q212" s="9">
        <v>1935</v>
      </c>
      <c r="R212" s="9">
        <v>1940</v>
      </c>
      <c r="S212" s="9">
        <v>1945</v>
      </c>
      <c r="T212" s="9">
        <v>1950</v>
      </c>
      <c r="U212" s="9">
        <v>1955</v>
      </c>
      <c r="V212" s="9">
        <v>1960</v>
      </c>
      <c r="W212" s="9">
        <v>1965</v>
      </c>
      <c r="X212" s="9">
        <v>1970</v>
      </c>
      <c r="Y212" s="9">
        <v>1975</v>
      </c>
      <c r="Z212" s="9">
        <v>1980</v>
      </c>
      <c r="AA212" s="9">
        <v>1985</v>
      </c>
      <c r="AB212" s="9">
        <v>1990</v>
      </c>
      <c r="AC212" s="9">
        <v>1995</v>
      </c>
      <c r="AD212" s="9">
        <v>2000</v>
      </c>
      <c r="AE212" s="9">
        <v>2005</v>
      </c>
      <c r="AF212" s="9">
        <v>2010</v>
      </c>
    </row>
    <row r="213" spans="3:32" ht="1" customHeight="1">
      <c r="C213" s="9" t="s">
        <v>36</v>
      </c>
      <c r="D213" s="9">
        <v>1910</v>
      </c>
      <c r="E213" s="9">
        <v>1.81</v>
      </c>
      <c r="F213" s="9">
        <v>0.18640576725025745</v>
      </c>
      <c r="I213" s="9" t="s">
        <v>36</v>
      </c>
      <c r="J213" s="9">
        <v>9.9897013388259515E-2</v>
      </c>
      <c r="K213" s="9">
        <v>0.1493305870236869</v>
      </c>
      <c r="L213" s="9">
        <v>0.18640576725025745</v>
      </c>
      <c r="M213" s="9">
        <v>0.24201853759011327</v>
      </c>
      <c r="N213" s="9">
        <v>0.30278063851699277</v>
      </c>
      <c r="O213" s="9">
        <v>0.33882595262615856</v>
      </c>
      <c r="P213" s="9">
        <v>0.38311019567456228</v>
      </c>
      <c r="Q213" s="9">
        <v>0.41606591143151389</v>
      </c>
      <c r="R213" s="9">
        <v>0.44593202883625127</v>
      </c>
      <c r="S213" s="9">
        <v>0.47888774459320288</v>
      </c>
      <c r="T213" s="9">
        <v>0.50566426364572603</v>
      </c>
      <c r="U213" s="9">
        <v>0.53964984552008233</v>
      </c>
      <c r="V213" s="9">
        <v>0.58599382080329554</v>
      </c>
      <c r="W213" s="9">
        <v>0.62100926879505658</v>
      </c>
      <c r="X213" s="9">
        <v>0.66735324407826979</v>
      </c>
      <c r="Y213" s="9">
        <v>0.72399588053553032</v>
      </c>
      <c r="Z213" s="9">
        <v>0.77342945417095765</v>
      </c>
      <c r="AA213" s="9">
        <v>0.83316168898043241</v>
      </c>
      <c r="AB213" s="9">
        <v>0.89289392378990717</v>
      </c>
      <c r="AC213" s="9">
        <v>0.91761071060762089</v>
      </c>
      <c r="AD213" s="9">
        <v>0.93511843460350152</v>
      </c>
      <c r="AE213" s="9">
        <v>0.9855818743563336</v>
      </c>
      <c r="AF213" s="9">
        <v>1</v>
      </c>
    </row>
    <row r="214" spans="3:32" ht="1" customHeight="1">
      <c r="C214" s="9" t="s">
        <v>36</v>
      </c>
      <c r="D214" s="9">
        <v>1915</v>
      </c>
      <c r="E214" s="9">
        <v>2.35</v>
      </c>
      <c r="F214" s="9">
        <v>0.24201853759011327</v>
      </c>
      <c r="I214" s="9" t="s">
        <v>66</v>
      </c>
      <c r="J214" s="9">
        <v>0.15882967607105539</v>
      </c>
      <c r="K214" s="9">
        <v>0.20585161964472309</v>
      </c>
      <c r="L214" s="9">
        <v>0.2037617554858934</v>
      </c>
      <c r="M214" s="9">
        <v>0.23824451410658304</v>
      </c>
      <c r="N214" s="9">
        <v>0.2821316614420063</v>
      </c>
      <c r="O214" s="9">
        <v>0.30929989550679204</v>
      </c>
      <c r="P214" s="9">
        <v>0.33333333333333331</v>
      </c>
      <c r="Q214" s="9">
        <v>0.36886102403343779</v>
      </c>
      <c r="R214" s="9">
        <v>0.40856844305120166</v>
      </c>
      <c r="S214" s="9">
        <v>0.45245559038662486</v>
      </c>
      <c r="T214" s="9">
        <v>0.48902821316614414</v>
      </c>
      <c r="U214" s="9">
        <v>0.50679205851619635</v>
      </c>
      <c r="V214" s="9">
        <v>0.53082549634273768</v>
      </c>
      <c r="W214" s="9">
        <v>0.70950888192267503</v>
      </c>
      <c r="X214" s="9">
        <v>0.89759665621734586</v>
      </c>
      <c r="Y214" s="9">
        <v>0.83072100313479624</v>
      </c>
      <c r="Z214" s="9">
        <v>0.80668756530825492</v>
      </c>
      <c r="AA214" s="9">
        <v>0.87983281086729359</v>
      </c>
      <c r="AB214" s="9">
        <v>0.91849529780564254</v>
      </c>
      <c r="AC214" s="9">
        <v>0.94775339602925812</v>
      </c>
      <c r="AD214" s="9">
        <v>0.96447230929989547</v>
      </c>
      <c r="AE214" s="9">
        <v>0.98328108672936254</v>
      </c>
      <c r="AF214" s="9">
        <v>1</v>
      </c>
    </row>
    <row r="215" spans="3:32" ht="1" customHeight="1">
      <c r="C215" s="9" t="s">
        <v>36</v>
      </c>
      <c r="D215" s="9">
        <v>1920</v>
      </c>
      <c r="E215" s="9">
        <v>2.94</v>
      </c>
      <c r="F215" s="9">
        <v>0.30278063851699277</v>
      </c>
      <c r="I215" s="9" t="s">
        <v>67</v>
      </c>
      <c r="J215" s="9">
        <v>0.14122533748701974</v>
      </c>
      <c r="K215" s="9">
        <v>0.20560747663551401</v>
      </c>
      <c r="L215" s="9">
        <v>0.26583592938733125</v>
      </c>
      <c r="M215" s="9">
        <v>0.31775700934579437</v>
      </c>
      <c r="N215" s="9">
        <v>0.38836967808930423</v>
      </c>
      <c r="O215" s="9">
        <v>0.42679127725856697</v>
      </c>
      <c r="P215" s="9">
        <v>0.47040498442367601</v>
      </c>
      <c r="Q215" s="9">
        <v>0.50986500519210798</v>
      </c>
      <c r="R215" s="9">
        <v>0.55036344755970923</v>
      </c>
      <c r="S215" s="9">
        <v>0.58670820353063347</v>
      </c>
      <c r="T215" s="9">
        <v>0.59813084112149528</v>
      </c>
      <c r="U215" s="9">
        <v>0.61370716510903423</v>
      </c>
      <c r="V215" s="9">
        <v>0.64278296988577366</v>
      </c>
      <c r="W215" s="9">
        <v>0.64278296988577366</v>
      </c>
      <c r="X215" s="9">
        <v>0.62928348909657317</v>
      </c>
      <c r="Y215" s="9">
        <v>0.65316718587746625</v>
      </c>
      <c r="Z215" s="9">
        <v>0.63966770508826576</v>
      </c>
      <c r="AA215" s="9">
        <v>0.66458982346832818</v>
      </c>
      <c r="AB215" s="9">
        <v>0.74247144340602278</v>
      </c>
      <c r="AC215" s="9">
        <v>0.80166147455867076</v>
      </c>
      <c r="AD215" s="9">
        <v>0.85046728971962604</v>
      </c>
      <c r="AE215" s="9">
        <v>0.9086188992731048</v>
      </c>
      <c r="AF215" s="9">
        <v>1</v>
      </c>
    </row>
    <row r="216" spans="3:32" ht="1" customHeight="1">
      <c r="C216" s="9" t="s">
        <v>36</v>
      </c>
      <c r="D216" s="9">
        <v>1925</v>
      </c>
      <c r="E216" s="9">
        <v>3.29</v>
      </c>
      <c r="F216" s="9">
        <v>0.33882595262615856</v>
      </c>
      <c r="I216" s="9" t="s">
        <v>39</v>
      </c>
      <c r="J216" s="9">
        <v>2.8004667444574093E-2</v>
      </c>
      <c r="K216" s="9">
        <v>3.3838973162193697E-2</v>
      </c>
      <c r="L216" s="9">
        <v>4.3173862310385065E-2</v>
      </c>
      <c r="M216" s="9">
        <v>5.4842473745624266E-2</v>
      </c>
      <c r="N216" s="9">
        <v>7.934655775962661E-2</v>
      </c>
      <c r="O216" s="9">
        <v>0.10035005834305717</v>
      </c>
      <c r="P216" s="9">
        <v>0.11785297549591599</v>
      </c>
      <c r="Q216" s="9">
        <v>0.19953325554259041</v>
      </c>
      <c r="R216" s="9">
        <v>0.22287047841306884</v>
      </c>
      <c r="S216" s="9">
        <v>0.24620770128354724</v>
      </c>
      <c r="T216" s="9">
        <v>0.28471411901983662</v>
      </c>
      <c r="U216" s="9">
        <v>0.32672112018669774</v>
      </c>
      <c r="V216" s="9">
        <v>0.36756126021003499</v>
      </c>
      <c r="W216" s="9">
        <v>0.43173862310385064</v>
      </c>
      <c r="X216" s="9">
        <v>0.48308051341890312</v>
      </c>
      <c r="Y216" s="9">
        <v>0.56009334889148188</v>
      </c>
      <c r="Z216" s="9">
        <v>0.67211201866977821</v>
      </c>
      <c r="AA216" s="9">
        <v>0.78179696616102679</v>
      </c>
      <c r="AB216" s="9">
        <v>0.89031505250875143</v>
      </c>
      <c r="AC216" s="9">
        <v>0.94399066511085172</v>
      </c>
      <c r="AD216" s="9">
        <v>1.0186697782963827</v>
      </c>
      <c r="AE216" s="9">
        <v>1.0233372228704782</v>
      </c>
      <c r="AF216" s="9">
        <v>1</v>
      </c>
    </row>
    <row r="217" spans="3:32" ht="1" customHeight="1">
      <c r="C217" s="9" t="s">
        <v>36</v>
      </c>
      <c r="D217" s="9">
        <v>1930</v>
      </c>
      <c r="E217" s="9">
        <v>3.72</v>
      </c>
      <c r="F217" s="9">
        <v>0.38311019567456228</v>
      </c>
      <c r="I217" s="9" t="s">
        <v>40</v>
      </c>
      <c r="J217" s="9">
        <v>6.8543451652386789E-2</v>
      </c>
      <c r="K217" s="9">
        <v>8.5679314565483472E-2</v>
      </c>
      <c r="L217" s="9">
        <v>9.9143206854345176E-2</v>
      </c>
      <c r="M217" s="9">
        <v>0.11505507955936352</v>
      </c>
      <c r="N217" s="9">
        <v>0.1309669522643819</v>
      </c>
      <c r="O217" s="9">
        <v>0.14443084455324356</v>
      </c>
      <c r="P217" s="9">
        <v>0.1652386780905753</v>
      </c>
      <c r="Q217" s="9">
        <v>0.18482252141982863</v>
      </c>
      <c r="R217" s="9">
        <v>0.20318237454100366</v>
      </c>
      <c r="S217" s="9">
        <v>0.22031823745410037</v>
      </c>
      <c r="T217" s="9">
        <v>0.25826193390452873</v>
      </c>
      <c r="U217" s="9">
        <v>0.28151774785801714</v>
      </c>
      <c r="V217" s="9">
        <v>0.30966952264381881</v>
      </c>
      <c r="W217" s="9">
        <v>0.34516523867809057</v>
      </c>
      <c r="X217" s="9">
        <v>0.40146878824969401</v>
      </c>
      <c r="Y217" s="9">
        <v>0.35128518971848227</v>
      </c>
      <c r="Z217" s="9">
        <v>0.37331701346389229</v>
      </c>
      <c r="AA217" s="9">
        <v>0.50428396572827416</v>
      </c>
      <c r="AB217" s="9">
        <v>0.60465116279069775</v>
      </c>
      <c r="AC217" s="9">
        <v>0.70869033047735619</v>
      </c>
      <c r="AD217" s="9">
        <v>0.82741738066095472</v>
      </c>
      <c r="AE217" s="9">
        <v>0.9388004895960832</v>
      </c>
      <c r="AF217" s="9">
        <v>1</v>
      </c>
    </row>
    <row r="218" spans="3:32" ht="1" customHeight="1">
      <c r="C218" s="9" t="s">
        <v>36</v>
      </c>
      <c r="D218" s="9">
        <v>1935</v>
      </c>
      <c r="E218" s="9">
        <v>4.04</v>
      </c>
      <c r="F218" s="9">
        <v>0.41606591143151389</v>
      </c>
      <c r="I218" s="9" t="s">
        <v>41</v>
      </c>
      <c r="J218" s="9">
        <v>0.15265700483091788</v>
      </c>
      <c r="K218" s="9">
        <v>0.17874396135265702</v>
      </c>
      <c r="L218" s="9">
        <v>0.23091787439613529</v>
      </c>
      <c r="M218" s="9">
        <v>0.28212560386473429</v>
      </c>
      <c r="N218" s="9">
        <v>0.3314009661835749</v>
      </c>
      <c r="O218" s="9">
        <v>0.37294685990338167</v>
      </c>
      <c r="P218" s="9">
        <v>0.39420289855072466</v>
      </c>
      <c r="Q218" s="9">
        <v>0.41642512077294686</v>
      </c>
      <c r="R218" s="9">
        <v>0.44347826086956521</v>
      </c>
      <c r="S218" s="9">
        <v>0.4599033816425121</v>
      </c>
      <c r="T218" s="9">
        <v>0.47439613526570051</v>
      </c>
      <c r="U218" s="9">
        <v>0.48695652173913045</v>
      </c>
      <c r="V218" s="9">
        <v>0.50531400966183582</v>
      </c>
      <c r="W218" s="9">
        <v>0.55169082125603863</v>
      </c>
      <c r="X218" s="9">
        <v>0.59710144927536235</v>
      </c>
      <c r="Y218" s="9">
        <v>0.64734299516908211</v>
      </c>
      <c r="Z218" s="9">
        <v>0.68888888888888888</v>
      </c>
      <c r="AA218" s="9">
        <v>0.75845410628019327</v>
      </c>
      <c r="AB218" s="9">
        <v>0.82898550724637687</v>
      </c>
      <c r="AC218" s="9">
        <v>0.86183574879227054</v>
      </c>
      <c r="AD218" s="9">
        <v>0.90917874396135268</v>
      </c>
      <c r="AE218" s="9">
        <v>0.96231884057971029</v>
      </c>
      <c r="AF218" s="9">
        <v>1</v>
      </c>
    </row>
    <row r="219" spans="3:32" ht="1" customHeight="1">
      <c r="C219" s="9" t="s">
        <v>36</v>
      </c>
      <c r="D219" s="9">
        <v>1940</v>
      </c>
      <c r="E219" s="9">
        <v>4.33</v>
      </c>
      <c r="F219" s="9">
        <v>0.44593202883625127</v>
      </c>
      <c r="I219" s="9" t="s">
        <v>42</v>
      </c>
      <c r="J219" s="9">
        <v>9.0909090909090912E-2</v>
      </c>
      <c r="K219" s="9">
        <v>0.10695187165775401</v>
      </c>
      <c r="L219" s="9">
        <v>0.15401069518716579</v>
      </c>
      <c r="M219" s="9">
        <v>0.17326203208556151</v>
      </c>
      <c r="N219" s="9">
        <v>0.1914438502673797</v>
      </c>
      <c r="O219" s="9">
        <v>0.21497326203208555</v>
      </c>
      <c r="P219" s="9">
        <v>0.2320855614973262</v>
      </c>
      <c r="Q219" s="9">
        <v>0.24812834224598929</v>
      </c>
      <c r="R219" s="9">
        <v>0.25668449197860965</v>
      </c>
      <c r="S219" s="9">
        <v>0.27058823529411763</v>
      </c>
      <c r="T219" s="9">
        <v>0.25454545454545452</v>
      </c>
      <c r="U219" s="9">
        <v>0.29197860962566846</v>
      </c>
      <c r="V219" s="9">
        <v>0.33155080213903748</v>
      </c>
      <c r="W219" s="9">
        <v>0.37112299465240645</v>
      </c>
      <c r="X219" s="9">
        <v>0.42566844919786095</v>
      </c>
      <c r="Y219" s="9">
        <v>0.47379679144385023</v>
      </c>
      <c r="Z219" s="9">
        <v>0.53368983957219251</v>
      </c>
      <c r="AA219" s="9">
        <v>0.60213903743315511</v>
      </c>
      <c r="AB219" s="9">
        <v>0.6588235294117647</v>
      </c>
      <c r="AC219" s="9">
        <v>0.71443850267379683</v>
      </c>
      <c r="AD219" s="9">
        <v>0.76149732620320865</v>
      </c>
      <c r="AE219" s="9">
        <v>0.80855614973262036</v>
      </c>
      <c r="AF219" s="9">
        <v>1</v>
      </c>
    </row>
    <row r="220" spans="3:32" ht="1" customHeight="1">
      <c r="C220" s="9" t="s">
        <v>36</v>
      </c>
      <c r="D220" s="9">
        <v>1945</v>
      </c>
      <c r="E220" s="9">
        <v>4.6500000000000004</v>
      </c>
      <c r="F220" s="9">
        <v>0.47888774459320288</v>
      </c>
      <c r="I220" s="9" t="s">
        <v>43</v>
      </c>
      <c r="J220" s="9">
        <v>0.18505338078291816</v>
      </c>
      <c r="K220" s="9">
        <v>0.22419928825622776</v>
      </c>
      <c r="L220" s="9">
        <v>0.26215895610913403</v>
      </c>
      <c r="M220" s="9">
        <v>0.29062870699881377</v>
      </c>
      <c r="N220" s="9">
        <v>0.32147093712930014</v>
      </c>
      <c r="O220" s="9">
        <v>0.35468564650059314</v>
      </c>
      <c r="P220" s="9">
        <v>0.37129300118623965</v>
      </c>
      <c r="Q220" s="9">
        <v>0.38908659549228941</v>
      </c>
      <c r="R220" s="9">
        <v>0.40688018979833929</v>
      </c>
      <c r="S220" s="9">
        <v>0.42941874258600238</v>
      </c>
      <c r="T220" s="9">
        <v>0.42704626334519574</v>
      </c>
      <c r="U220" s="9">
        <v>0.45314353499406879</v>
      </c>
      <c r="V220" s="9">
        <v>0.46975088967971529</v>
      </c>
      <c r="W220" s="9">
        <v>0.5005931198102016</v>
      </c>
      <c r="X220" s="9">
        <v>0.47805456702253862</v>
      </c>
      <c r="Y220" s="9">
        <v>0.62870699881376035</v>
      </c>
      <c r="Z220" s="9">
        <v>0.74258600237247929</v>
      </c>
      <c r="AA220" s="9">
        <v>0.81613285883748521</v>
      </c>
      <c r="AB220" s="9">
        <v>0.86358244365361814</v>
      </c>
      <c r="AC220" s="9">
        <v>0.90272835112692773</v>
      </c>
      <c r="AD220" s="9">
        <v>0.94424673784104396</v>
      </c>
      <c r="AE220" s="9">
        <v>1.01067615658363</v>
      </c>
      <c r="AF220" s="9">
        <v>1</v>
      </c>
    </row>
    <row r="221" spans="3:32" ht="1" customHeight="1">
      <c r="C221" s="9" t="s">
        <v>36</v>
      </c>
      <c r="D221" s="9">
        <v>1950</v>
      </c>
      <c r="E221" s="9">
        <v>4.91</v>
      </c>
      <c r="F221" s="9">
        <v>0.50566426364572603</v>
      </c>
      <c r="I221" s="9" t="s">
        <v>44</v>
      </c>
      <c r="J221" s="9">
        <v>3.5714285714285712E-2</v>
      </c>
      <c r="K221" s="9">
        <v>8.6206896551724144E-2</v>
      </c>
      <c r="L221" s="9">
        <v>0.13054187192118227</v>
      </c>
      <c r="M221" s="9">
        <v>0.16009852216748771</v>
      </c>
      <c r="N221" s="9">
        <v>0.18842364532019706</v>
      </c>
      <c r="O221" s="9">
        <v>0.22783251231527096</v>
      </c>
      <c r="P221" s="9">
        <v>0.27216748768472909</v>
      </c>
      <c r="Q221" s="9">
        <v>0.28325123152709358</v>
      </c>
      <c r="R221" s="9">
        <v>0.28325123152709358</v>
      </c>
      <c r="S221" s="9">
        <v>0.29433497536945818</v>
      </c>
      <c r="T221" s="9">
        <v>0.31157635467980294</v>
      </c>
      <c r="U221" s="9">
        <v>0.31773399014778331</v>
      </c>
      <c r="V221" s="9">
        <v>0.34236453201970446</v>
      </c>
      <c r="W221" s="9">
        <v>0.38793103448275867</v>
      </c>
      <c r="X221" s="9">
        <v>0.46059113300492616</v>
      </c>
      <c r="Y221" s="9">
        <v>0.52955665024630549</v>
      </c>
      <c r="Z221" s="9">
        <v>0.61330049261083752</v>
      </c>
      <c r="AA221" s="9">
        <v>0.68719211822660109</v>
      </c>
      <c r="AB221" s="9">
        <v>0.75492610837438434</v>
      </c>
      <c r="AC221" s="9">
        <v>0.81034482758620696</v>
      </c>
      <c r="AD221" s="9">
        <v>0.86576354679802969</v>
      </c>
      <c r="AE221" s="9">
        <v>0.92857142857142871</v>
      </c>
      <c r="AF221" s="9">
        <v>1</v>
      </c>
    </row>
    <row r="222" spans="3:32" ht="1" customHeight="1">
      <c r="C222" s="9" t="s">
        <v>36</v>
      </c>
      <c r="D222" s="9">
        <v>1955</v>
      </c>
      <c r="E222" s="9">
        <v>5.24</v>
      </c>
      <c r="F222" s="9">
        <v>0.53964984552008233</v>
      </c>
      <c r="I222" s="9" t="s">
        <v>45</v>
      </c>
      <c r="J222" s="9">
        <v>0.11221945137157108</v>
      </c>
      <c r="K222" s="9">
        <v>0.12967581047381546</v>
      </c>
      <c r="L222" s="9">
        <v>0.15586034912718205</v>
      </c>
      <c r="M222" s="9">
        <v>0.17705735660847879</v>
      </c>
      <c r="N222" s="9">
        <v>0.19700748129675813</v>
      </c>
      <c r="O222" s="9">
        <v>0.20947630922693267</v>
      </c>
      <c r="P222" s="9">
        <v>0.2319201995012469</v>
      </c>
      <c r="Q222" s="9">
        <v>0.25935162094763092</v>
      </c>
      <c r="R222" s="9">
        <v>0.27805486284289277</v>
      </c>
      <c r="S222" s="9">
        <v>0.30299251870324195</v>
      </c>
      <c r="T222" s="9">
        <v>0.32668329177057359</v>
      </c>
      <c r="U222" s="9">
        <v>0.36533665835411477</v>
      </c>
      <c r="V222" s="9">
        <v>0.41022443890274318</v>
      </c>
      <c r="W222" s="9">
        <v>0.49875311720698257</v>
      </c>
      <c r="X222" s="9">
        <v>0.56733167082294267</v>
      </c>
      <c r="Y222" s="9">
        <v>0.63216957605985047</v>
      </c>
      <c r="Z222" s="9">
        <v>0.79177057356608482</v>
      </c>
      <c r="AA222" s="9">
        <v>0.84289276807980051</v>
      </c>
      <c r="AB222" s="9">
        <v>0.90149625935162103</v>
      </c>
      <c r="AC222" s="9">
        <v>0.91271820448877816</v>
      </c>
      <c r="AD222" s="9">
        <v>0.92394014962593518</v>
      </c>
      <c r="AE222" s="9">
        <v>0.96009975062344144</v>
      </c>
      <c r="AF222" s="9">
        <v>1</v>
      </c>
    </row>
    <row r="223" spans="3:32" ht="1" customHeight="1">
      <c r="C223" s="9" t="s">
        <v>36</v>
      </c>
      <c r="D223" s="9">
        <v>1960</v>
      </c>
      <c r="E223" s="9">
        <v>5.69</v>
      </c>
      <c r="F223" s="9">
        <v>0.58599382080329554</v>
      </c>
      <c r="I223" s="9" t="s">
        <v>46</v>
      </c>
      <c r="J223" s="9">
        <v>0.10173697270471463</v>
      </c>
      <c r="K223" s="9">
        <v>0.11414392059553349</v>
      </c>
      <c r="L223" s="9">
        <v>0.14267990074441686</v>
      </c>
      <c r="M223" s="9">
        <v>0.15012406947890816</v>
      </c>
      <c r="N223" s="9">
        <v>0.15880893300248139</v>
      </c>
      <c r="O223" s="9">
        <v>0.16749379652605459</v>
      </c>
      <c r="P223" s="9">
        <v>0.17493796526054589</v>
      </c>
      <c r="Q223" s="9">
        <v>0.17493796526054589</v>
      </c>
      <c r="R223" s="9">
        <v>0.17493796526054589</v>
      </c>
      <c r="S223" s="9">
        <v>0.19106699751861042</v>
      </c>
      <c r="T223" s="9">
        <v>0.19230769230769229</v>
      </c>
      <c r="U223" s="9">
        <v>0.21091811414392059</v>
      </c>
      <c r="V223" s="9">
        <v>0.24565756823821339</v>
      </c>
      <c r="W223" s="9">
        <v>0.29900744416873448</v>
      </c>
      <c r="X223" s="9">
        <v>0.35980148883374685</v>
      </c>
      <c r="Y223" s="9">
        <v>0.41811414392059554</v>
      </c>
      <c r="Z223" s="9">
        <v>0.4640198511166253</v>
      </c>
      <c r="AA223" s="9">
        <v>0.5669975186104218</v>
      </c>
      <c r="AB223" s="9">
        <v>0.63027295285359797</v>
      </c>
      <c r="AC223" s="9">
        <v>0.7196029776674937</v>
      </c>
      <c r="AD223" s="9">
        <v>0.87344913151364756</v>
      </c>
      <c r="AE223" s="9">
        <v>1.0024813895781637</v>
      </c>
      <c r="AF223" s="9">
        <v>1</v>
      </c>
    </row>
    <row r="224" spans="3:32" ht="1" customHeight="1">
      <c r="C224" s="9" t="s">
        <v>36</v>
      </c>
      <c r="D224" s="9">
        <v>1965</v>
      </c>
      <c r="E224" s="9">
        <v>6.03</v>
      </c>
      <c r="F224" s="9">
        <v>0.62100926879505658</v>
      </c>
      <c r="I224" s="9" t="s">
        <v>47</v>
      </c>
      <c r="J224" s="9">
        <v>0.16122840690978887</v>
      </c>
      <c r="K224" s="9">
        <v>0.17466410748560462</v>
      </c>
      <c r="L224" s="9">
        <v>0.20537428023032631</v>
      </c>
      <c r="M224" s="9">
        <v>0.23032629558541265</v>
      </c>
      <c r="N224" s="9">
        <v>0.25143953934740881</v>
      </c>
      <c r="O224" s="9">
        <v>0.24568138195777353</v>
      </c>
      <c r="P224" s="9">
        <v>0.24760076775431863</v>
      </c>
      <c r="Q224" s="9">
        <v>0.27255278310940501</v>
      </c>
      <c r="R224" s="9">
        <v>0.27447216890595011</v>
      </c>
      <c r="S224" s="9">
        <v>0.27063339731285985</v>
      </c>
      <c r="T224" s="9">
        <v>0.25335892514395397</v>
      </c>
      <c r="U224" s="9">
        <v>0.25911708253358928</v>
      </c>
      <c r="V224" s="9">
        <v>0.27063339731285985</v>
      </c>
      <c r="W224" s="9">
        <v>0.28982725527831094</v>
      </c>
      <c r="X224" s="9">
        <v>0.34165067178502878</v>
      </c>
      <c r="Y224" s="9">
        <v>0.40499040307101725</v>
      </c>
      <c r="Z224" s="9">
        <v>0.56429942418426104</v>
      </c>
      <c r="AA224" s="9">
        <v>0.62763915547024951</v>
      </c>
      <c r="AB224" s="9">
        <v>0.70249520153550871</v>
      </c>
      <c r="AC224" s="9">
        <v>0.76007677543186181</v>
      </c>
      <c r="AD224" s="9">
        <v>0.83493282149712089</v>
      </c>
      <c r="AE224" s="9">
        <v>0.83109404990403069</v>
      </c>
      <c r="AF224" s="9">
        <v>1</v>
      </c>
    </row>
    <row r="225" spans="3:32" ht="1" customHeight="1">
      <c r="C225" s="9" t="s">
        <v>36</v>
      </c>
      <c r="D225" s="9">
        <v>1970</v>
      </c>
      <c r="E225" s="9">
        <v>6.48</v>
      </c>
      <c r="F225" s="9">
        <v>0.66735324407826979</v>
      </c>
      <c r="I225" s="9" t="s">
        <v>69</v>
      </c>
      <c r="J225" s="9">
        <v>0.17333333333333334</v>
      </c>
      <c r="K225" s="9">
        <v>0.19888888888888889</v>
      </c>
      <c r="L225" s="9">
        <v>0.22</v>
      </c>
      <c r="M225" s="9">
        <v>0.25555555555555554</v>
      </c>
      <c r="N225" s="9">
        <v>0.28666666666666668</v>
      </c>
      <c r="O225" s="9">
        <v>0.30555555555555558</v>
      </c>
      <c r="P225" s="9">
        <v>0.33</v>
      </c>
      <c r="Q225" s="9">
        <v>0.35555555555555557</v>
      </c>
      <c r="R225" s="9">
        <v>0.38222222222222224</v>
      </c>
      <c r="S225" s="9">
        <v>0.39888888888888885</v>
      </c>
      <c r="T225" s="9">
        <v>0.48444444444444446</v>
      </c>
      <c r="U225" s="9">
        <v>0.51111111111111107</v>
      </c>
      <c r="V225" s="9">
        <v>0.54555555555555557</v>
      </c>
      <c r="W225" s="9">
        <v>0.59444444444444444</v>
      </c>
      <c r="X225" s="9">
        <v>0.64</v>
      </c>
      <c r="Y225" s="9">
        <v>0.68444444444444441</v>
      </c>
      <c r="Z225" s="9">
        <v>0.73888888888888893</v>
      </c>
      <c r="AA225" s="9">
        <v>0.78222222222222226</v>
      </c>
      <c r="AB225" s="9">
        <v>0.80777777777777771</v>
      </c>
      <c r="AC225" s="9">
        <v>0.88</v>
      </c>
      <c r="AD225" s="9">
        <v>0.93666666666666665</v>
      </c>
      <c r="AE225" s="9">
        <v>0.97666666666666657</v>
      </c>
      <c r="AF225" s="9">
        <v>1</v>
      </c>
    </row>
    <row r="226" spans="3:32" ht="1" customHeight="1">
      <c r="C226" s="9" t="s">
        <v>36</v>
      </c>
      <c r="D226" s="9">
        <v>1975</v>
      </c>
      <c r="E226" s="9">
        <v>7.03</v>
      </c>
      <c r="F226" s="9">
        <v>0.72399588053553032</v>
      </c>
      <c r="I226" s="9" t="s">
        <v>70</v>
      </c>
      <c r="J226" s="9">
        <v>2.707930367504836E-2</v>
      </c>
      <c r="K226" s="9">
        <v>3.8684719535783368E-2</v>
      </c>
      <c r="L226" s="9">
        <v>4.2553191489361701E-2</v>
      </c>
      <c r="M226" s="9">
        <v>5.222437137330755E-2</v>
      </c>
      <c r="N226" s="9">
        <v>5.9961315280464215E-2</v>
      </c>
      <c r="O226" s="9">
        <v>6.5764023210831732E-2</v>
      </c>
      <c r="P226" s="9">
        <v>7.7369439071566737E-2</v>
      </c>
      <c r="Q226" s="9">
        <v>0.10638297872340427</v>
      </c>
      <c r="R226" s="9">
        <v>0.13926499032882012</v>
      </c>
      <c r="S226" s="9">
        <v>0.14893617021276595</v>
      </c>
      <c r="T226" s="9">
        <v>0.11605415860735009</v>
      </c>
      <c r="U226" s="9">
        <v>0.13152804642166346</v>
      </c>
      <c r="V226" s="9">
        <v>0.16054158607350097</v>
      </c>
      <c r="W226" s="9">
        <v>0.19148936170212766</v>
      </c>
      <c r="X226" s="9">
        <v>0.23597678916827852</v>
      </c>
      <c r="Y226" s="9">
        <v>0.30174081237911027</v>
      </c>
      <c r="Z226" s="9">
        <v>0.40038684719535783</v>
      </c>
      <c r="AA226" s="9">
        <v>0.58994197292069628</v>
      </c>
      <c r="AB226" s="9">
        <v>0.68858800773694395</v>
      </c>
      <c r="AC226" s="9">
        <v>0.7852998065764023</v>
      </c>
      <c r="AD226" s="9">
        <v>0.85880077369439078</v>
      </c>
      <c r="AE226" s="9">
        <v>0.94777562862669251</v>
      </c>
      <c r="AF226" s="9">
        <v>1</v>
      </c>
    </row>
    <row r="227" spans="3:32" ht="1" customHeight="1">
      <c r="C227" s="9" t="s">
        <v>36</v>
      </c>
      <c r="D227" s="9">
        <v>1980</v>
      </c>
      <c r="E227" s="9">
        <v>7.51</v>
      </c>
      <c r="F227" s="9">
        <v>0.77342945417095765</v>
      </c>
      <c r="I227" s="9" t="s">
        <v>50</v>
      </c>
      <c r="J227" s="9">
        <v>0.11515151515151516</v>
      </c>
      <c r="K227" s="9">
        <v>0.14242424242424243</v>
      </c>
      <c r="L227" s="9">
        <v>0.16666666666666669</v>
      </c>
      <c r="M227" s="9">
        <v>0.18484848484848485</v>
      </c>
      <c r="N227" s="9">
        <v>0.23030303030303031</v>
      </c>
      <c r="O227" s="9">
        <v>0.23787878787878791</v>
      </c>
      <c r="P227" s="9">
        <v>0.23484848484848486</v>
      </c>
      <c r="Q227" s="9">
        <v>0.22878787878787879</v>
      </c>
      <c r="R227" s="9">
        <v>0.23030303030303031</v>
      </c>
      <c r="S227" s="9">
        <v>0.23787878787878791</v>
      </c>
      <c r="T227" s="9">
        <v>0.25</v>
      </c>
      <c r="U227" s="9">
        <v>0.26515151515151514</v>
      </c>
      <c r="V227" s="9">
        <v>0.29242424242424242</v>
      </c>
      <c r="W227" s="9">
        <v>0.32272727272727275</v>
      </c>
      <c r="X227" s="9">
        <v>0.3606060606060606</v>
      </c>
      <c r="Y227" s="9">
        <v>0.41363636363636364</v>
      </c>
      <c r="Z227" s="9">
        <v>0.56666666666666676</v>
      </c>
      <c r="AA227" s="9">
        <v>0.70454545454545459</v>
      </c>
      <c r="AB227" s="9">
        <v>0.7681818181818183</v>
      </c>
      <c r="AC227" s="9">
        <v>0.82878787878787874</v>
      </c>
      <c r="AD227" s="9">
        <v>0.8893939393939394</v>
      </c>
      <c r="AE227" s="9">
        <v>0.94545454545454555</v>
      </c>
      <c r="AF227" s="9">
        <v>1</v>
      </c>
    </row>
    <row r="228" spans="3:32" ht="1" customHeight="1">
      <c r="C228" s="9" t="s">
        <v>36</v>
      </c>
      <c r="D228" s="9">
        <v>1985</v>
      </c>
      <c r="E228" s="9">
        <v>8.09</v>
      </c>
      <c r="F228" s="9">
        <v>0.83316168898043241</v>
      </c>
      <c r="I228" s="9" t="s">
        <v>71</v>
      </c>
      <c r="J228" s="9">
        <v>0.19070667957405615</v>
      </c>
      <c r="K228" s="9">
        <v>0.2197483059051307</v>
      </c>
      <c r="L228" s="9">
        <v>0.23910939012584706</v>
      </c>
      <c r="M228" s="9">
        <v>0.25266214908034851</v>
      </c>
      <c r="N228" s="9">
        <v>0.26718296224588572</v>
      </c>
      <c r="O228" s="9">
        <v>0.27783155856727976</v>
      </c>
      <c r="P228" s="9">
        <v>0.28848015488867373</v>
      </c>
      <c r="Q228" s="9">
        <v>0.30784123910939015</v>
      </c>
      <c r="R228" s="9">
        <v>0.32526621490803481</v>
      </c>
      <c r="S228" s="9">
        <v>0.33881897386253629</v>
      </c>
      <c r="T228" s="9">
        <v>0.35237173281703776</v>
      </c>
      <c r="U228" s="9">
        <v>0.36205227492739595</v>
      </c>
      <c r="V228" s="9">
        <v>0.38044530493707651</v>
      </c>
      <c r="W228" s="9">
        <v>0.43368828654404651</v>
      </c>
      <c r="X228" s="9">
        <v>0.48015488867376571</v>
      </c>
      <c r="Y228" s="9">
        <v>0.53630203291384315</v>
      </c>
      <c r="Z228" s="9">
        <v>0.60696999031945786</v>
      </c>
      <c r="AA228" s="9">
        <v>0.66408518877057121</v>
      </c>
      <c r="AB228" s="9">
        <v>0.72410454985479189</v>
      </c>
      <c r="AC228" s="9">
        <v>0.82768635043562444</v>
      </c>
      <c r="AD228" s="9">
        <v>0.92836398838334944</v>
      </c>
      <c r="AE228" s="9">
        <v>0.97676669893514034</v>
      </c>
      <c r="AF228" s="9">
        <v>1</v>
      </c>
    </row>
    <row r="229" spans="3:32" ht="1" customHeight="1">
      <c r="C229" s="9" t="s">
        <v>36</v>
      </c>
      <c r="D229" s="9">
        <v>1990</v>
      </c>
      <c r="E229" s="9">
        <v>8.67</v>
      </c>
      <c r="F229" s="9">
        <v>0.89289392378990717</v>
      </c>
      <c r="I229" s="9" t="s">
        <v>52</v>
      </c>
      <c r="J229" s="9">
        <v>9.2592592592592587E-2</v>
      </c>
      <c r="K229" s="9">
        <v>0.11764705882352942</v>
      </c>
      <c r="L229" s="9">
        <v>0.144880174291939</v>
      </c>
      <c r="M229" s="9">
        <v>0.16013071895424838</v>
      </c>
      <c r="N229" s="9">
        <v>0.16013071895424838</v>
      </c>
      <c r="O229" s="9">
        <v>0.17429193899782136</v>
      </c>
      <c r="P229" s="9">
        <v>0.18518518518518517</v>
      </c>
      <c r="Q229" s="9">
        <v>0.21568627450980393</v>
      </c>
      <c r="R229" s="9">
        <v>0.24509803921568629</v>
      </c>
      <c r="S229" s="9">
        <v>0.24400871459694992</v>
      </c>
      <c r="T229" s="9">
        <v>0.23965141612200438</v>
      </c>
      <c r="U229" s="9">
        <v>0.2570806100217865</v>
      </c>
      <c r="V229" s="9">
        <v>0.27777777777777779</v>
      </c>
      <c r="W229" s="9">
        <v>0.32897603485838783</v>
      </c>
      <c r="X229" s="9">
        <v>0.37908496732026142</v>
      </c>
      <c r="Y229" s="9">
        <v>0.45642701525054474</v>
      </c>
      <c r="Z229" s="9">
        <v>0.54575163398692805</v>
      </c>
      <c r="AA229" s="9">
        <v>0.64270152505446632</v>
      </c>
      <c r="AB229" s="9">
        <v>0.72766884531590414</v>
      </c>
      <c r="AC229" s="9">
        <v>0.80283224400871467</v>
      </c>
      <c r="AD229" s="9">
        <v>0.86710239651416121</v>
      </c>
      <c r="AE229" s="9">
        <v>0.9694989106753813</v>
      </c>
      <c r="AF229" s="9">
        <v>1</v>
      </c>
    </row>
    <row r="230" spans="3:32" ht="1" customHeight="1">
      <c r="C230" s="9" t="s">
        <v>36</v>
      </c>
      <c r="D230" s="9">
        <v>1995</v>
      </c>
      <c r="E230" s="9">
        <v>8.91</v>
      </c>
      <c r="F230" s="9">
        <v>0.91761071060762089</v>
      </c>
      <c r="I230" s="9" t="s">
        <v>53</v>
      </c>
      <c r="J230" s="9">
        <v>0.12609970674486803</v>
      </c>
      <c r="K230" s="9">
        <v>0.14809384164222875</v>
      </c>
      <c r="L230" s="9">
        <v>0.15982404692082111</v>
      </c>
      <c r="M230" s="9">
        <v>0.17155425219941348</v>
      </c>
      <c r="N230" s="9">
        <v>0.18768328445747801</v>
      </c>
      <c r="O230" s="9">
        <v>0.2067448680351906</v>
      </c>
      <c r="P230" s="9">
        <v>0.21700879765395895</v>
      </c>
      <c r="Q230" s="9">
        <v>0.21994134897360704</v>
      </c>
      <c r="R230" s="9">
        <v>0.22287390029325513</v>
      </c>
      <c r="S230" s="9">
        <v>0.22580645161290322</v>
      </c>
      <c r="T230" s="9">
        <v>0.22580645161290322</v>
      </c>
      <c r="U230" s="9">
        <v>0.26832844574780057</v>
      </c>
      <c r="V230" s="9">
        <v>0.32111436950146627</v>
      </c>
      <c r="W230" s="9">
        <v>0.38269794721407624</v>
      </c>
      <c r="X230" s="9">
        <v>0.45014662756598234</v>
      </c>
      <c r="Y230" s="9">
        <v>0.49560117302052781</v>
      </c>
      <c r="Z230" s="9">
        <v>0.56304985337243396</v>
      </c>
      <c r="AA230" s="9">
        <v>0.61730205278592376</v>
      </c>
      <c r="AB230" s="9">
        <v>0.68035190615835772</v>
      </c>
      <c r="AC230" s="9">
        <v>0.76099706744868034</v>
      </c>
      <c r="AD230" s="9">
        <v>0.83577712609970678</v>
      </c>
      <c r="AE230" s="9">
        <v>0.92082111436950143</v>
      </c>
      <c r="AF230" s="9">
        <v>1</v>
      </c>
    </row>
    <row r="231" spans="3:32" ht="1" customHeight="1">
      <c r="C231" s="9" t="s">
        <v>36</v>
      </c>
      <c r="D231" s="9">
        <v>2000</v>
      </c>
      <c r="E231" s="9">
        <v>9.08</v>
      </c>
      <c r="F231" s="9">
        <v>0.93511843460350152</v>
      </c>
      <c r="I231" s="9" t="s">
        <v>54</v>
      </c>
      <c r="J231" s="9">
        <v>8.7448559670781884E-2</v>
      </c>
      <c r="K231" s="9">
        <v>0.10905349794238683</v>
      </c>
      <c r="L231" s="9">
        <v>0.15329218106995884</v>
      </c>
      <c r="M231" s="9">
        <v>0.17901234567901234</v>
      </c>
      <c r="N231" s="9">
        <v>0.20061728395061726</v>
      </c>
      <c r="O231" s="9">
        <v>0.22222222222222221</v>
      </c>
      <c r="P231" s="9">
        <v>0.2551440329218107</v>
      </c>
      <c r="Q231" s="9">
        <v>0.29938271604938271</v>
      </c>
      <c r="R231" s="9">
        <v>0.32613168724279834</v>
      </c>
      <c r="S231" s="9">
        <v>0.35288065843621397</v>
      </c>
      <c r="T231" s="9">
        <v>0.39814814814814814</v>
      </c>
      <c r="U231" s="9">
        <v>0.43827160493827155</v>
      </c>
      <c r="V231" s="9">
        <v>0.48868312757201643</v>
      </c>
      <c r="W231" s="9">
        <v>0.51543209876543206</v>
      </c>
      <c r="X231" s="9">
        <v>0.55452674897119336</v>
      </c>
      <c r="Y231" s="9">
        <v>0.62757201646090532</v>
      </c>
      <c r="Z231" s="9">
        <v>0.70884773662551437</v>
      </c>
      <c r="AA231" s="9">
        <v>0.78086419753086411</v>
      </c>
      <c r="AB231" s="9">
        <v>0.83127572016460904</v>
      </c>
      <c r="AC231" s="9">
        <v>0.89609053497942392</v>
      </c>
      <c r="AD231" s="9">
        <v>0.95061728395061729</v>
      </c>
      <c r="AE231" s="9">
        <v>0.97839506172839497</v>
      </c>
      <c r="AF231" s="9">
        <v>1</v>
      </c>
    </row>
    <row r="232" spans="3:32" ht="1" customHeight="1">
      <c r="C232" s="9" t="s">
        <v>36</v>
      </c>
      <c r="D232" s="9">
        <v>2005</v>
      </c>
      <c r="E232" s="9">
        <v>9.57</v>
      </c>
      <c r="F232" s="9">
        <v>0.9855818743563336</v>
      </c>
      <c r="I232" s="9" t="s">
        <v>55</v>
      </c>
      <c r="J232" s="9">
        <v>9.6370463078848556E-2</v>
      </c>
      <c r="K232" s="9">
        <v>0.11889862327909886</v>
      </c>
      <c r="L232" s="9">
        <v>0.17271589486858571</v>
      </c>
      <c r="M232" s="9">
        <v>0.19774718397997498</v>
      </c>
      <c r="N232" s="9">
        <v>0.22778473091364204</v>
      </c>
      <c r="O232" s="9">
        <v>0.2715894868585732</v>
      </c>
      <c r="P232" s="9">
        <v>0.29286608260325403</v>
      </c>
      <c r="Q232" s="9">
        <v>0.31789737171464327</v>
      </c>
      <c r="R232" s="9">
        <v>0.33917396745932415</v>
      </c>
      <c r="S232" s="9">
        <v>0.36795994993742176</v>
      </c>
      <c r="T232" s="9">
        <v>0.35168961201501875</v>
      </c>
      <c r="U232" s="9">
        <v>0.38548185231539422</v>
      </c>
      <c r="V232" s="9">
        <v>0.43429286608260326</v>
      </c>
      <c r="W232" s="9">
        <v>0.474342928660826</v>
      </c>
      <c r="X232" s="9">
        <v>0.5406758448060075</v>
      </c>
      <c r="Y232" s="9">
        <v>0.60700876095118894</v>
      </c>
      <c r="Z232" s="9">
        <v>0.67209011264080099</v>
      </c>
      <c r="AA232" s="9">
        <v>0.74593241551939926</v>
      </c>
      <c r="AB232" s="9">
        <v>0.80475594493116387</v>
      </c>
      <c r="AC232" s="9">
        <v>0.80100125156445556</v>
      </c>
      <c r="AD232" s="9">
        <v>0.81977471839799743</v>
      </c>
      <c r="AE232" s="9">
        <v>1.0050062578222778</v>
      </c>
      <c r="AF232" s="9">
        <v>1</v>
      </c>
    </row>
    <row r="233" spans="3:32" ht="1" customHeight="1">
      <c r="C233" s="9" t="s">
        <v>36</v>
      </c>
      <c r="D233" s="9">
        <v>2010</v>
      </c>
      <c r="E233" s="9">
        <v>9.7100000000000009</v>
      </c>
      <c r="F233" s="9">
        <v>1</v>
      </c>
      <c r="I233" s="9" t="s">
        <v>56</v>
      </c>
      <c r="J233" s="9">
        <v>2.370689655172414E-2</v>
      </c>
      <c r="K233" s="9">
        <v>5.0646551724137935E-2</v>
      </c>
      <c r="L233" s="9">
        <v>7.650862068965518E-2</v>
      </c>
      <c r="M233" s="9">
        <v>9.6982758620689669E-2</v>
      </c>
      <c r="N233" s="9">
        <v>0.15517241379310345</v>
      </c>
      <c r="O233" s="9">
        <v>0.18103448275862069</v>
      </c>
      <c r="P233" s="9">
        <v>0.20366379310344829</v>
      </c>
      <c r="Q233" s="9">
        <v>0.23168103448275862</v>
      </c>
      <c r="R233" s="9">
        <v>0.25862068965517243</v>
      </c>
      <c r="S233" s="9">
        <v>0.2931034482758621</v>
      </c>
      <c r="T233" s="9">
        <v>0.31357758620689657</v>
      </c>
      <c r="U233" s="9">
        <v>0.33405172413793105</v>
      </c>
      <c r="V233" s="9">
        <v>0.35775862068965519</v>
      </c>
      <c r="W233" s="9">
        <v>0.40840517241379315</v>
      </c>
      <c r="X233" s="9">
        <v>0.48168103448275862</v>
      </c>
      <c r="Y233" s="9">
        <v>0.58512931034482762</v>
      </c>
      <c r="Z233" s="9">
        <v>0.6681034482758621</v>
      </c>
      <c r="AA233" s="9">
        <v>0.72737068965517249</v>
      </c>
      <c r="AB233" s="9">
        <v>0.79633620689655171</v>
      </c>
      <c r="AC233" s="9">
        <v>0.87176724137931039</v>
      </c>
      <c r="AD233" s="9">
        <v>0.97521551724137945</v>
      </c>
      <c r="AE233" s="9">
        <v>1.0646551724137934</v>
      </c>
      <c r="AF233" s="9">
        <v>1</v>
      </c>
    </row>
    <row r="234" spans="3:32" ht="1" customHeight="1">
      <c r="C234" s="9" t="s">
        <v>66</v>
      </c>
      <c r="D234" s="9">
        <v>1900</v>
      </c>
      <c r="E234" s="9">
        <v>1.52</v>
      </c>
      <c r="F234" s="9">
        <v>0.15882967607105539</v>
      </c>
      <c r="I234" s="9" t="s">
        <v>72</v>
      </c>
      <c r="J234" s="9">
        <v>0.15145985401459852</v>
      </c>
      <c r="K234" s="9">
        <v>0.18248175182481752</v>
      </c>
      <c r="L234" s="9">
        <v>0.2198905109489051</v>
      </c>
      <c r="M234" s="9">
        <v>0.26642335766423353</v>
      </c>
      <c r="N234" s="9">
        <v>0.2992700729927007</v>
      </c>
      <c r="O234" s="9">
        <v>0.32390510948905105</v>
      </c>
      <c r="P234" s="9">
        <v>0.35857664233576642</v>
      </c>
      <c r="Q234" s="9">
        <v>0.3923357664233576</v>
      </c>
      <c r="R234" s="9">
        <v>0.42062043795620435</v>
      </c>
      <c r="S234" s="9">
        <v>0.44890510948905105</v>
      </c>
      <c r="T234" s="9">
        <v>0.47080291970802918</v>
      </c>
      <c r="U234" s="9">
        <v>0.48996350364963503</v>
      </c>
      <c r="V234" s="9">
        <v>0.5228102189781022</v>
      </c>
      <c r="W234" s="9">
        <v>0.55200729927007297</v>
      </c>
      <c r="X234" s="9">
        <v>0.59397810218978098</v>
      </c>
      <c r="Y234" s="9">
        <v>0.64142335766423353</v>
      </c>
      <c r="Z234" s="9">
        <v>0.69069343065693423</v>
      </c>
      <c r="AA234" s="9">
        <v>0.74178832116788318</v>
      </c>
      <c r="AB234" s="9">
        <v>0.79470802919708028</v>
      </c>
      <c r="AC234" s="9">
        <v>0.8412408759124087</v>
      </c>
      <c r="AD234" s="9">
        <v>0.88686131386861311</v>
      </c>
      <c r="AE234" s="9">
        <v>0.93704379562043782</v>
      </c>
      <c r="AF234" s="9">
        <v>1</v>
      </c>
    </row>
    <row r="235" spans="3:32" ht="1" customHeight="1">
      <c r="C235" s="9" t="s">
        <v>66</v>
      </c>
      <c r="D235" s="9">
        <v>1905</v>
      </c>
      <c r="E235" s="9">
        <v>1.97</v>
      </c>
      <c r="F235" s="9">
        <v>0.20585161964472309</v>
      </c>
      <c r="I235" s="9" t="s">
        <v>58</v>
      </c>
      <c r="J235" s="9">
        <v>0.1091753774680604</v>
      </c>
      <c r="K235" s="9">
        <v>0.11962833914053428</v>
      </c>
      <c r="L235" s="9">
        <v>0.1672473867595819</v>
      </c>
      <c r="M235" s="9">
        <v>0.21486643437862951</v>
      </c>
      <c r="N235" s="9">
        <v>0.25087108013937287</v>
      </c>
      <c r="O235" s="9">
        <v>0.32984901277584205</v>
      </c>
      <c r="P235" s="9">
        <v>0.36120789779326368</v>
      </c>
      <c r="Q235" s="9">
        <v>0.39256678281068524</v>
      </c>
      <c r="R235" s="9">
        <v>0.43205574912891992</v>
      </c>
      <c r="S235" s="9">
        <v>0.47154471544715448</v>
      </c>
      <c r="T235" s="9">
        <v>0.51916376306620204</v>
      </c>
      <c r="U235" s="9">
        <v>0.55400696864111498</v>
      </c>
      <c r="V235" s="9">
        <v>0.58768873403019739</v>
      </c>
      <c r="W235" s="9">
        <v>0.63066202090592338</v>
      </c>
      <c r="X235" s="9">
        <v>0.68989547038327537</v>
      </c>
      <c r="Y235" s="9">
        <v>0.74912891986062724</v>
      </c>
      <c r="Z235" s="9">
        <v>0.80603948896631838</v>
      </c>
      <c r="AA235" s="9">
        <v>0.85946573751451805</v>
      </c>
      <c r="AB235" s="9">
        <v>0.89547038327526141</v>
      </c>
      <c r="AC235" s="9">
        <v>0.93844367015098729</v>
      </c>
      <c r="AD235" s="9">
        <v>0.97096399535423927</v>
      </c>
      <c r="AE235" s="9">
        <v>0.98722415795586538</v>
      </c>
      <c r="AF235" s="9">
        <v>1</v>
      </c>
    </row>
    <row r="236" spans="3:32" ht="1" customHeight="1">
      <c r="C236" s="9" t="s">
        <v>66</v>
      </c>
      <c r="D236" s="9">
        <v>1910</v>
      </c>
      <c r="E236" s="9">
        <v>1.95</v>
      </c>
      <c r="F236" s="9">
        <v>0.2037617554858934</v>
      </c>
      <c r="I236" s="9" t="s">
        <v>59</v>
      </c>
      <c r="J236" s="9">
        <v>5.0113895216400917E-2</v>
      </c>
      <c r="K236" s="9">
        <v>6.4920273348519367E-2</v>
      </c>
      <c r="L236" s="9">
        <v>7.1753986332574043E-2</v>
      </c>
      <c r="M236" s="9">
        <v>8.4282460136674259E-2</v>
      </c>
      <c r="N236" s="9">
        <v>9.5671981776765377E-2</v>
      </c>
      <c r="O236" s="9">
        <v>0.1059225512528474</v>
      </c>
      <c r="P236" s="9">
        <v>0.11161731207289294</v>
      </c>
      <c r="Q236" s="9">
        <v>0.13097949886104784</v>
      </c>
      <c r="R236" s="9">
        <v>0.15034168564920275</v>
      </c>
      <c r="S236" s="9">
        <v>0.18109339407744876</v>
      </c>
      <c r="T236" s="9">
        <v>0.18792710706150342</v>
      </c>
      <c r="U236" s="9">
        <v>0.22892938496583143</v>
      </c>
      <c r="V236" s="9">
        <v>0.27790432801822323</v>
      </c>
      <c r="W236" s="9">
        <v>0.31321184510250571</v>
      </c>
      <c r="X236" s="9">
        <v>0.39749430523918</v>
      </c>
      <c r="Y236" s="9">
        <v>0.51366742596810933</v>
      </c>
      <c r="Z236" s="9">
        <v>0.62300683371298404</v>
      </c>
      <c r="AA236" s="9">
        <v>0.6070615034168565</v>
      </c>
      <c r="AB236" s="9">
        <v>0.59908883826879278</v>
      </c>
      <c r="AC236" s="9">
        <v>0.69589977220956734</v>
      </c>
      <c r="AD236" s="9">
        <v>0.79840546697038728</v>
      </c>
      <c r="AE236" s="9">
        <v>0.88838268792710706</v>
      </c>
      <c r="AF236" s="9">
        <v>1</v>
      </c>
    </row>
    <row r="237" spans="3:32" ht="1" customHeight="1">
      <c r="C237" s="9" t="s">
        <v>66</v>
      </c>
      <c r="D237" s="9">
        <v>1915</v>
      </c>
      <c r="E237" s="9">
        <v>2.2799999999999998</v>
      </c>
      <c r="F237" s="9">
        <v>0.23824451410658304</v>
      </c>
    </row>
    <row r="238" spans="3:32" ht="1" customHeight="1">
      <c r="C238" s="9" t="s">
        <v>66</v>
      </c>
      <c r="D238" s="9">
        <v>1920</v>
      </c>
      <c r="E238" s="9">
        <v>2.7</v>
      </c>
      <c r="F238" s="9">
        <v>0.2821316614420063</v>
      </c>
    </row>
    <row r="239" spans="3:32" ht="1" customHeight="1">
      <c r="C239" s="9" t="s">
        <v>66</v>
      </c>
      <c r="D239" s="9">
        <v>1925</v>
      </c>
      <c r="E239" s="9">
        <v>2.96</v>
      </c>
      <c r="F239" s="9">
        <v>0.30929989550679204</v>
      </c>
    </row>
    <row r="240" spans="3:32" ht="1" customHeight="1">
      <c r="C240" s="9" t="s">
        <v>66</v>
      </c>
      <c r="D240" s="9">
        <v>1930</v>
      </c>
      <c r="E240" s="9">
        <v>3.19</v>
      </c>
      <c r="F240" s="9">
        <v>0.33333333333333331</v>
      </c>
    </row>
    <row r="241" spans="3:6" ht="1" customHeight="1">
      <c r="C241" s="9" t="s">
        <v>66</v>
      </c>
      <c r="D241" s="9">
        <v>1935</v>
      </c>
      <c r="E241" s="9">
        <v>3.53</v>
      </c>
      <c r="F241" s="9">
        <v>0.36886102403343779</v>
      </c>
    </row>
    <row r="242" spans="3:6" ht="1" customHeight="1">
      <c r="C242" s="9" t="s">
        <v>66</v>
      </c>
      <c r="D242" s="9">
        <v>1940</v>
      </c>
      <c r="E242" s="9">
        <v>3.91</v>
      </c>
      <c r="F242" s="9">
        <v>0.40856844305120166</v>
      </c>
    </row>
    <row r="243" spans="3:6" ht="1" customHeight="1">
      <c r="C243" s="9" t="s">
        <v>66</v>
      </c>
      <c r="D243" s="9">
        <v>1945</v>
      </c>
      <c r="E243" s="9">
        <v>4.33</v>
      </c>
      <c r="F243" s="9">
        <v>0.45245559038662486</v>
      </c>
    </row>
    <row r="244" spans="3:6" ht="1" customHeight="1">
      <c r="C244" s="9" t="s">
        <v>66</v>
      </c>
      <c r="D244" s="9">
        <v>1950</v>
      </c>
      <c r="E244" s="9">
        <v>4.68</v>
      </c>
      <c r="F244" s="9">
        <v>0.48902821316614414</v>
      </c>
    </row>
    <row r="245" spans="3:6" ht="1" customHeight="1">
      <c r="C245" s="9" t="s">
        <v>66</v>
      </c>
      <c r="D245" s="9">
        <v>1955</v>
      </c>
      <c r="E245" s="9">
        <v>4.8499999999999996</v>
      </c>
      <c r="F245" s="9">
        <v>0.50679205851619635</v>
      </c>
    </row>
    <row r="246" spans="3:6" ht="1" customHeight="1">
      <c r="C246" s="9" t="s">
        <v>66</v>
      </c>
      <c r="D246" s="9">
        <v>1960</v>
      </c>
      <c r="E246" s="9">
        <v>5.08</v>
      </c>
      <c r="F246" s="9">
        <v>0.53082549634273768</v>
      </c>
    </row>
    <row r="247" spans="3:6" ht="1" customHeight="1">
      <c r="C247" s="9" t="s">
        <v>66</v>
      </c>
      <c r="D247" s="9">
        <v>1965</v>
      </c>
      <c r="E247" s="9">
        <v>6.79</v>
      </c>
      <c r="F247" s="9">
        <v>0.70950888192267503</v>
      </c>
    </row>
    <row r="248" spans="3:6" ht="1" customHeight="1">
      <c r="C248" s="9" t="s">
        <v>66</v>
      </c>
      <c r="D248" s="9">
        <v>1970</v>
      </c>
      <c r="E248" s="9">
        <v>8.59</v>
      </c>
      <c r="F248" s="9">
        <v>0.89759665621734586</v>
      </c>
    </row>
    <row r="249" spans="3:6" ht="1" customHeight="1">
      <c r="C249" s="9" t="s">
        <v>66</v>
      </c>
      <c r="D249" s="9">
        <v>1975</v>
      </c>
      <c r="E249" s="9">
        <v>7.95</v>
      </c>
      <c r="F249" s="9">
        <v>0.83072100313479624</v>
      </c>
    </row>
    <row r="250" spans="3:6" ht="1" customHeight="1">
      <c r="C250" s="9" t="s">
        <v>66</v>
      </c>
      <c r="D250" s="9">
        <v>1980</v>
      </c>
      <c r="E250" s="9">
        <v>7.72</v>
      </c>
      <c r="F250" s="9">
        <v>0.80668756530825492</v>
      </c>
    </row>
    <row r="251" spans="3:6" ht="1" customHeight="1">
      <c r="C251" s="9" t="s">
        <v>66</v>
      </c>
      <c r="D251" s="9">
        <v>1985</v>
      </c>
      <c r="E251" s="9">
        <v>8.42</v>
      </c>
      <c r="F251" s="9">
        <v>0.87983281086729359</v>
      </c>
    </row>
    <row r="252" spans="3:6" ht="1" customHeight="1">
      <c r="C252" s="9" t="s">
        <v>66</v>
      </c>
      <c r="D252" s="9">
        <v>1990</v>
      </c>
      <c r="E252" s="9">
        <v>8.7899999999999991</v>
      </c>
      <c r="F252" s="9">
        <v>0.91849529780564254</v>
      </c>
    </row>
    <row r="253" spans="3:6" ht="1" customHeight="1">
      <c r="C253" s="9" t="s">
        <v>66</v>
      </c>
      <c r="D253" s="9">
        <v>1995</v>
      </c>
      <c r="E253" s="9">
        <v>9.07</v>
      </c>
      <c r="F253" s="9">
        <v>0.94775339602925812</v>
      </c>
    </row>
    <row r="254" spans="3:6" ht="1" customHeight="1">
      <c r="C254" s="9" t="s">
        <v>66</v>
      </c>
      <c r="D254" s="9">
        <v>2000</v>
      </c>
      <c r="E254" s="9">
        <v>9.23</v>
      </c>
      <c r="F254" s="9">
        <v>0.96447230929989547</v>
      </c>
    </row>
    <row r="255" spans="3:6" ht="1" customHeight="1">
      <c r="C255" s="9" t="s">
        <v>66</v>
      </c>
      <c r="D255" s="9">
        <v>2005</v>
      </c>
      <c r="E255" s="9">
        <v>9.41</v>
      </c>
      <c r="F255" s="9">
        <v>0.98328108672936254</v>
      </c>
    </row>
    <row r="256" spans="3:6" ht="1" customHeight="1">
      <c r="C256" s="9" t="s">
        <v>66</v>
      </c>
      <c r="D256" s="9">
        <v>2010</v>
      </c>
      <c r="E256" s="9">
        <v>9.57</v>
      </c>
      <c r="F256" s="9">
        <v>1</v>
      </c>
    </row>
    <row r="257" spans="3:6" ht="1" customHeight="1">
      <c r="C257" s="9" t="s">
        <v>67</v>
      </c>
      <c r="D257" s="9">
        <v>1900</v>
      </c>
      <c r="E257" s="9">
        <v>1.36</v>
      </c>
      <c r="F257" s="9">
        <v>0.14122533748701974</v>
      </c>
    </row>
    <row r="258" spans="3:6" ht="1" customHeight="1">
      <c r="C258" s="9" t="s">
        <v>67</v>
      </c>
      <c r="D258" s="9">
        <v>1905</v>
      </c>
      <c r="E258" s="9">
        <v>1.98</v>
      </c>
      <c r="F258" s="9">
        <v>0.20560747663551401</v>
      </c>
    </row>
    <row r="259" spans="3:6" ht="1" customHeight="1">
      <c r="C259" s="9" t="s">
        <v>67</v>
      </c>
      <c r="D259" s="9">
        <v>1910</v>
      </c>
      <c r="E259" s="9">
        <v>2.56</v>
      </c>
      <c r="F259" s="9">
        <v>0.26583592938733125</v>
      </c>
    </row>
    <row r="260" spans="3:6" ht="1" customHeight="1">
      <c r="C260" s="9" t="s">
        <v>67</v>
      </c>
      <c r="D260" s="9">
        <v>1915</v>
      </c>
      <c r="E260" s="9">
        <v>3.06</v>
      </c>
      <c r="F260" s="9">
        <v>0.31775700934579437</v>
      </c>
    </row>
    <row r="261" spans="3:6" ht="1" customHeight="1">
      <c r="C261" s="9" t="s">
        <v>67</v>
      </c>
      <c r="D261" s="9">
        <v>1920</v>
      </c>
      <c r="E261" s="9">
        <v>3.74</v>
      </c>
      <c r="F261" s="9">
        <v>0.38836967808930423</v>
      </c>
    </row>
    <row r="262" spans="3:6" ht="1" customHeight="1">
      <c r="C262" s="9" t="s">
        <v>67</v>
      </c>
      <c r="D262" s="9">
        <v>1925</v>
      </c>
      <c r="E262" s="9">
        <v>4.1100000000000003</v>
      </c>
      <c r="F262" s="9">
        <v>0.42679127725856697</v>
      </c>
    </row>
    <row r="263" spans="3:6" ht="1" customHeight="1">
      <c r="C263" s="9" t="s">
        <v>67</v>
      </c>
      <c r="D263" s="9">
        <v>1930</v>
      </c>
      <c r="E263" s="9">
        <v>4.53</v>
      </c>
      <c r="F263" s="9">
        <v>0.47040498442367601</v>
      </c>
    </row>
    <row r="264" spans="3:6" ht="1" customHeight="1">
      <c r="C264" s="9" t="s">
        <v>67</v>
      </c>
      <c r="D264" s="9">
        <v>1935</v>
      </c>
      <c r="E264" s="9">
        <v>4.91</v>
      </c>
      <c r="F264" s="9">
        <v>0.50986500519210798</v>
      </c>
    </row>
    <row r="265" spans="3:6" ht="1" customHeight="1">
      <c r="C265" s="9" t="s">
        <v>67</v>
      </c>
      <c r="D265" s="9">
        <v>1940</v>
      </c>
      <c r="E265" s="9">
        <v>5.3</v>
      </c>
      <c r="F265" s="9">
        <v>0.55036344755970923</v>
      </c>
    </row>
    <row r="266" spans="3:6" ht="1" customHeight="1">
      <c r="C266" s="9" t="s">
        <v>67</v>
      </c>
      <c r="D266" s="9">
        <v>1945</v>
      </c>
      <c r="E266" s="9">
        <v>5.65</v>
      </c>
      <c r="F266" s="9">
        <v>0.58670820353063347</v>
      </c>
    </row>
    <row r="267" spans="3:6" ht="1" customHeight="1">
      <c r="C267" s="9" t="s">
        <v>67</v>
      </c>
      <c r="D267" s="9">
        <v>1950</v>
      </c>
      <c r="E267" s="9">
        <v>5.76</v>
      </c>
      <c r="F267" s="9">
        <v>0.59813084112149528</v>
      </c>
    </row>
    <row r="268" spans="3:6" ht="1" customHeight="1">
      <c r="C268" s="9" t="s">
        <v>67</v>
      </c>
      <c r="D268" s="9">
        <v>1955</v>
      </c>
      <c r="E268" s="9">
        <v>5.91</v>
      </c>
      <c r="F268" s="9">
        <v>0.61370716510903423</v>
      </c>
    </row>
    <row r="269" spans="3:6" ht="1" customHeight="1">
      <c r="C269" s="9" t="s">
        <v>67</v>
      </c>
      <c r="D269" s="9">
        <v>1960</v>
      </c>
      <c r="E269" s="9">
        <v>6.19</v>
      </c>
      <c r="F269" s="9">
        <v>0.64278296988577366</v>
      </c>
    </row>
    <row r="270" spans="3:6" ht="1" customHeight="1">
      <c r="C270" s="9" t="s">
        <v>67</v>
      </c>
      <c r="D270" s="9">
        <v>1965</v>
      </c>
      <c r="E270" s="9">
        <v>6.19</v>
      </c>
      <c r="F270" s="9">
        <v>0.64278296988577366</v>
      </c>
    </row>
    <row r="271" spans="3:6" ht="1" customHeight="1">
      <c r="C271" s="9" t="s">
        <v>67</v>
      </c>
      <c r="D271" s="9">
        <v>1970</v>
      </c>
      <c r="E271" s="9">
        <v>6.06</v>
      </c>
      <c r="F271" s="9">
        <v>0.62928348909657317</v>
      </c>
    </row>
    <row r="272" spans="3:6" ht="1" customHeight="1">
      <c r="C272" s="9" t="s">
        <v>67</v>
      </c>
      <c r="D272" s="9">
        <v>1975</v>
      </c>
      <c r="E272" s="9">
        <v>6.29</v>
      </c>
      <c r="F272" s="9">
        <v>0.65316718587746625</v>
      </c>
    </row>
    <row r="273" spans="3:6" ht="1" customHeight="1">
      <c r="C273" s="9" t="s">
        <v>67</v>
      </c>
      <c r="D273" s="9">
        <v>1980</v>
      </c>
      <c r="E273" s="9">
        <v>6.16</v>
      </c>
      <c r="F273" s="9">
        <v>0.63966770508826576</v>
      </c>
    </row>
    <row r="274" spans="3:6" ht="1" customHeight="1">
      <c r="C274" s="9" t="s">
        <v>67</v>
      </c>
      <c r="D274" s="9">
        <v>1985</v>
      </c>
      <c r="E274" s="9">
        <v>6.4</v>
      </c>
      <c r="F274" s="9">
        <v>0.66458982346832818</v>
      </c>
    </row>
    <row r="275" spans="3:6" ht="1" customHeight="1">
      <c r="C275" s="9" t="s">
        <v>67</v>
      </c>
      <c r="D275" s="9">
        <v>1990</v>
      </c>
      <c r="E275" s="9">
        <v>7.15</v>
      </c>
      <c r="F275" s="9">
        <v>0.74247144340602278</v>
      </c>
    </row>
    <row r="276" spans="3:6" ht="1" customHeight="1">
      <c r="C276" s="9" t="s">
        <v>67</v>
      </c>
      <c r="D276" s="9">
        <v>1995</v>
      </c>
      <c r="E276" s="9">
        <v>7.72</v>
      </c>
      <c r="F276" s="9">
        <v>0.80166147455867076</v>
      </c>
    </row>
    <row r="277" spans="3:6" ht="1" customHeight="1">
      <c r="C277" s="9" t="s">
        <v>67</v>
      </c>
      <c r="D277" s="9">
        <v>2000</v>
      </c>
      <c r="E277" s="9">
        <v>8.19</v>
      </c>
      <c r="F277" s="9">
        <v>0.85046728971962604</v>
      </c>
    </row>
    <row r="278" spans="3:6" ht="1" customHeight="1">
      <c r="C278" s="9" t="s">
        <v>67</v>
      </c>
      <c r="D278" s="9">
        <v>2005</v>
      </c>
      <c r="E278" s="9">
        <v>8.75</v>
      </c>
      <c r="F278" s="9">
        <v>0.9086188992731048</v>
      </c>
    </row>
    <row r="279" spans="3:6" ht="1" customHeight="1">
      <c r="C279" s="9" t="s">
        <v>67</v>
      </c>
      <c r="D279" s="9">
        <v>2010</v>
      </c>
      <c r="E279" s="9">
        <v>9.6300000000000008</v>
      </c>
      <c r="F279" s="9">
        <v>1</v>
      </c>
    </row>
    <row r="280" spans="3:6" ht="1" customHeight="1">
      <c r="C280" s="9" t="s">
        <v>39</v>
      </c>
      <c r="D280" s="9">
        <v>1900</v>
      </c>
      <c r="E280" s="9">
        <v>0.24</v>
      </c>
      <c r="F280" s="9">
        <v>2.8004667444574093E-2</v>
      </c>
    </row>
    <row r="281" spans="3:6" ht="1" customHeight="1">
      <c r="C281" s="9" t="s">
        <v>39</v>
      </c>
      <c r="D281" s="9">
        <v>1905</v>
      </c>
      <c r="E281" s="9">
        <v>0.28999999999999998</v>
      </c>
      <c r="F281" s="9">
        <v>3.3838973162193697E-2</v>
      </c>
    </row>
    <row r="282" spans="3:6" ht="1" customHeight="1">
      <c r="C282" s="9" t="s">
        <v>39</v>
      </c>
      <c r="D282" s="9">
        <v>1910</v>
      </c>
      <c r="E282" s="9">
        <v>0.37</v>
      </c>
      <c r="F282" s="9">
        <v>4.3173862310385065E-2</v>
      </c>
    </row>
    <row r="283" spans="3:6" ht="1" customHeight="1">
      <c r="C283" s="9" t="s">
        <v>39</v>
      </c>
      <c r="D283" s="9">
        <v>1915</v>
      </c>
      <c r="E283" s="9">
        <v>0.47</v>
      </c>
      <c r="F283" s="9">
        <v>5.4842473745624266E-2</v>
      </c>
    </row>
    <row r="284" spans="3:6" ht="1" customHeight="1">
      <c r="C284" s="9" t="s">
        <v>39</v>
      </c>
      <c r="D284" s="9">
        <v>1920</v>
      </c>
      <c r="E284" s="9">
        <v>0.68</v>
      </c>
      <c r="F284" s="9">
        <v>7.934655775962661E-2</v>
      </c>
    </row>
    <row r="285" spans="3:6" ht="1" customHeight="1">
      <c r="C285" s="9" t="s">
        <v>39</v>
      </c>
      <c r="D285" s="9">
        <v>1925</v>
      </c>
      <c r="E285" s="9">
        <v>0.86</v>
      </c>
      <c r="F285" s="9">
        <v>0.10035005834305717</v>
      </c>
    </row>
    <row r="286" spans="3:6" ht="1" customHeight="1">
      <c r="C286" s="9" t="s">
        <v>39</v>
      </c>
      <c r="D286" s="9">
        <v>1930</v>
      </c>
      <c r="E286" s="9">
        <v>1.01</v>
      </c>
      <c r="F286" s="9">
        <v>0.11785297549591599</v>
      </c>
    </row>
    <row r="287" spans="3:6" ht="1" customHeight="1">
      <c r="C287" s="9" t="s">
        <v>39</v>
      </c>
      <c r="D287" s="9">
        <v>1935</v>
      </c>
      <c r="E287" s="9">
        <v>1.71</v>
      </c>
      <c r="F287" s="9">
        <v>0.19953325554259041</v>
      </c>
    </row>
    <row r="288" spans="3:6" ht="1" customHeight="1">
      <c r="C288" s="9" t="s">
        <v>39</v>
      </c>
      <c r="D288" s="9">
        <v>1940</v>
      </c>
      <c r="E288" s="9">
        <v>1.91</v>
      </c>
      <c r="F288" s="9">
        <v>0.22287047841306884</v>
      </c>
    </row>
    <row r="289" spans="3:6" ht="1" customHeight="1">
      <c r="C289" s="9" t="s">
        <v>39</v>
      </c>
      <c r="D289" s="9">
        <v>1945</v>
      </c>
      <c r="E289" s="9">
        <v>2.11</v>
      </c>
      <c r="F289" s="9">
        <v>0.24620770128354724</v>
      </c>
    </row>
    <row r="290" spans="3:6" ht="1" customHeight="1">
      <c r="C290" s="9" t="s">
        <v>39</v>
      </c>
      <c r="D290" s="9">
        <v>1950</v>
      </c>
      <c r="E290" s="9">
        <v>2.44</v>
      </c>
      <c r="F290" s="9">
        <v>0.28471411901983662</v>
      </c>
    </row>
    <row r="291" spans="3:6" ht="1" customHeight="1">
      <c r="C291" s="9" t="s">
        <v>39</v>
      </c>
      <c r="D291" s="9">
        <v>1955</v>
      </c>
      <c r="E291" s="9">
        <v>2.8</v>
      </c>
      <c r="F291" s="9">
        <v>0.32672112018669774</v>
      </c>
    </row>
    <row r="292" spans="3:6" ht="1" customHeight="1">
      <c r="C292" s="9" t="s">
        <v>39</v>
      </c>
      <c r="D292" s="9">
        <v>1960</v>
      </c>
      <c r="E292" s="9">
        <v>3.15</v>
      </c>
      <c r="F292" s="9">
        <v>0.36756126021003499</v>
      </c>
    </row>
    <row r="293" spans="3:6" ht="1" customHeight="1">
      <c r="C293" s="9" t="s">
        <v>39</v>
      </c>
      <c r="D293" s="9">
        <v>1965</v>
      </c>
      <c r="E293" s="9">
        <v>3.7</v>
      </c>
      <c r="F293" s="9">
        <v>0.43173862310385064</v>
      </c>
    </row>
    <row r="294" spans="3:6" ht="1" customHeight="1">
      <c r="C294" s="9" t="s">
        <v>39</v>
      </c>
      <c r="D294" s="9">
        <v>1970</v>
      </c>
      <c r="E294" s="9">
        <v>4.1399999999999997</v>
      </c>
      <c r="F294" s="9">
        <v>0.48308051341890312</v>
      </c>
    </row>
    <row r="295" spans="3:6" ht="1" customHeight="1">
      <c r="C295" s="9" t="s">
        <v>39</v>
      </c>
      <c r="D295" s="9">
        <v>1975</v>
      </c>
      <c r="E295" s="9">
        <v>4.8</v>
      </c>
      <c r="F295" s="9">
        <v>0.56009334889148188</v>
      </c>
    </row>
    <row r="296" spans="3:6" ht="1" customHeight="1">
      <c r="C296" s="9" t="s">
        <v>39</v>
      </c>
      <c r="D296" s="9">
        <v>1980</v>
      </c>
      <c r="E296" s="9">
        <v>5.76</v>
      </c>
      <c r="F296" s="9">
        <v>0.67211201866977821</v>
      </c>
    </row>
    <row r="297" spans="3:6" ht="1" customHeight="1">
      <c r="C297" s="9" t="s">
        <v>39</v>
      </c>
      <c r="D297" s="9">
        <v>1985</v>
      </c>
      <c r="E297" s="9">
        <v>6.7</v>
      </c>
      <c r="F297" s="9">
        <v>0.78179696616102679</v>
      </c>
    </row>
    <row r="298" spans="3:6" ht="1" customHeight="1">
      <c r="C298" s="9" t="s">
        <v>39</v>
      </c>
      <c r="D298" s="9">
        <v>1990</v>
      </c>
      <c r="E298" s="9">
        <v>7.63</v>
      </c>
      <c r="F298" s="9">
        <v>0.89031505250875143</v>
      </c>
    </row>
    <row r="299" spans="3:6" ht="1" customHeight="1">
      <c r="C299" s="9" t="s">
        <v>39</v>
      </c>
      <c r="D299" s="9">
        <v>1995</v>
      </c>
      <c r="E299" s="9">
        <v>8.09</v>
      </c>
      <c r="F299" s="9">
        <v>0.94399066511085172</v>
      </c>
    </row>
    <row r="300" spans="3:6" ht="1" customHeight="1">
      <c r="C300" s="9" t="s">
        <v>39</v>
      </c>
      <c r="D300" s="9">
        <v>2000</v>
      </c>
      <c r="E300" s="9">
        <v>8.73</v>
      </c>
      <c r="F300" s="9">
        <v>1.0186697782963827</v>
      </c>
    </row>
    <row r="301" spans="3:6" ht="1" customHeight="1">
      <c r="C301" s="9" t="s">
        <v>39</v>
      </c>
      <c r="D301" s="9">
        <v>2005</v>
      </c>
      <c r="E301" s="9">
        <v>8.77</v>
      </c>
      <c r="F301" s="9">
        <v>1.0233372228704782</v>
      </c>
    </row>
    <row r="302" spans="3:6" ht="1" customHeight="1">
      <c r="C302" s="9" t="s">
        <v>39</v>
      </c>
      <c r="D302" s="9">
        <v>2010</v>
      </c>
      <c r="E302" s="9">
        <v>8.57</v>
      </c>
      <c r="F302" s="9">
        <v>1</v>
      </c>
    </row>
    <row r="303" spans="3:6" ht="1" customHeight="1">
      <c r="C303" s="9" t="s">
        <v>40</v>
      </c>
      <c r="D303" s="9">
        <v>1900</v>
      </c>
      <c r="E303" s="9">
        <v>0.56000000000000005</v>
      </c>
      <c r="F303" s="9">
        <v>6.8543451652386789E-2</v>
      </c>
    </row>
    <row r="304" spans="3:6" ht="1" customHeight="1">
      <c r="C304" s="9" t="s">
        <v>40</v>
      </c>
      <c r="D304" s="9">
        <v>1905</v>
      </c>
      <c r="E304" s="9">
        <v>0.7</v>
      </c>
      <c r="F304" s="9">
        <v>8.5679314565483472E-2</v>
      </c>
    </row>
    <row r="305" spans="3:6" ht="1" customHeight="1">
      <c r="C305" s="9" t="s">
        <v>40</v>
      </c>
      <c r="D305" s="9">
        <v>1910</v>
      </c>
      <c r="E305" s="9">
        <v>0.81</v>
      </c>
      <c r="F305" s="9">
        <v>9.9143206854345176E-2</v>
      </c>
    </row>
    <row r="306" spans="3:6" ht="1" customHeight="1">
      <c r="C306" s="9" t="s">
        <v>40</v>
      </c>
      <c r="D306" s="9">
        <v>1915</v>
      </c>
      <c r="E306" s="9">
        <v>0.94</v>
      </c>
      <c r="F306" s="9">
        <v>0.11505507955936352</v>
      </c>
    </row>
    <row r="307" spans="3:6" ht="1" customHeight="1">
      <c r="C307" s="9" t="s">
        <v>40</v>
      </c>
      <c r="D307" s="9">
        <v>1920</v>
      </c>
      <c r="E307" s="9">
        <v>1.07</v>
      </c>
      <c r="F307" s="9">
        <v>0.1309669522643819</v>
      </c>
    </row>
    <row r="308" spans="3:6" ht="1" customHeight="1">
      <c r="C308" s="9" t="s">
        <v>40</v>
      </c>
      <c r="D308" s="9">
        <v>1925</v>
      </c>
      <c r="E308" s="9">
        <v>1.18</v>
      </c>
      <c r="F308" s="9">
        <v>0.14443084455324356</v>
      </c>
    </row>
    <row r="309" spans="3:6" ht="1" customHeight="1">
      <c r="C309" s="9" t="s">
        <v>40</v>
      </c>
      <c r="D309" s="9">
        <v>1930</v>
      </c>
      <c r="E309" s="9">
        <v>1.35</v>
      </c>
      <c r="F309" s="9">
        <v>0.1652386780905753</v>
      </c>
    </row>
    <row r="310" spans="3:6" ht="1" customHeight="1">
      <c r="C310" s="9" t="s">
        <v>40</v>
      </c>
      <c r="D310" s="9">
        <v>1935</v>
      </c>
      <c r="E310" s="9">
        <v>1.51</v>
      </c>
      <c r="F310" s="9">
        <v>0.18482252141982863</v>
      </c>
    </row>
    <row r="311" spans="3:6" ht="1" customHeight="1">
      <c r="C311" s="9" t="s">
        <v>40</v>
      </c>
      <c r="D311" s="9">
        <v>1940</v>
      </c>
      <c r="E311" s="9">
        <v>1.66</v>
      </c>
      <c r="F311" s="9">
        <v>0.20318237454100366</v>
      </c>
    </row>
    <row r="312" spans="3:6" ht="1" customHeight="1">
      <c r="C312" s="9" t="s">
        <v>40</v>
      </c>
      <c r="D312" s="9">
        <v>1945</v>
      </c>
      <c r="E312" s="9">
        <v>1.8</v>
      </c>
      <c r="F312" s="9">
        <v>0.22031823745410037</v>
      </c>
    </row>
    <row r="313" spans="3:6" ht="1" customHeight="1">
      <c r="C313" s="9" t="s">
        <v>40</v>
      </c>
      <c r="D313" s="9">
        <v>1950</v>
      </c>
      <c r="E313" s="9">
        <v>2.11</v>
      </c>
      <c r="F313" s="9">
        <v>0.25826193390452873</v>
      </c>
    </row>
    <row r="314" spans="3:6" ht="1" customHeight="1">
      <c r="C314" s="9" t="s">
        <v>40</v>
      </c>
      <c r="D314" s="9">
        <v>1955</v>
      </c>
      <c r="E314" s="9">
        <v>2.2999999999999998</v>
      </c>
      <c r="F314" s="9">
        <v>0.28151774785801714</v>
      </c>
    </row>
    <row r="315" spans="3:6" ht="1" customHeight="1">
      <c r="C315" s="9" t="s">
        <v>40</v>
      </c>
      <c r="D315" s="9">
        <v>1960</v>
      </c>
      <c r="E315" s="9">
        <v>2.5299999999999998</v>
      </c>
      <c r="F315" s="9">
        <v>0.30966952264381881</v>
      </c>
    </row>
    <row r="316" spans="3:6" ht="1" customHeight="1">
      <c r="C316" s="9" t="s">
        <v>40</v>
      </c>
      <c r="D316" s="9">
        <v>1965</v>
      </c>
      <c r="E316" s="9">
        <v>2.82</v>
      </c>
      <c r="F316" s="9">
        <v>0.34516523867809057</v>
      </c>
    </row>
    <row r="317" spans="3:6" ht="1" customHeight="1">
      <c r="C317" s="9" t="s">
        <v>40</v>
      </c>
      <c r="D317" s="9">
        <v>1970</v>
      </c>
      <c r="E317" s="9">
        <v>3.28</v>
      </c>
      <c r="F317" s="9">
        <v>0.40146878824969401</v>
      </c>
    </row>
    <row r="318" spans="3:6" ht="1" customHeight="1">
      <c r="C318" s="9" t="s">
        <v>40</v>
      </c>
      <c r="D318" s="9">
        <v>1975</v>
      </c>
      <c r="E318" s="9">
        <v>2.87</v>
      </c>
      <c r="F318" s="9">
        <v>0.35128518971848227</v>
      </c>
    </row>
    <row r="319" spans="3:6" ht="1" customHeight="1">
      <c r="C319" s="9" t="s">
        <v>40</v>
      </c>
      <c r="D319" s="9">
        <v>1980</v>
      </c>
      <c r="E319" s="9">
        <v>3.05</v>
      </c>
      <c r="F319" s="9">
        <v>0.37331701346389229</v>
      </c>
    </row>
    <row r="320" spans="3:6" ht="1" customHeight="1">
      <c r="C320" s="9" t="s">
        <v>40</v>
      </c>
      <c r="D320" s="9">
        <v>1985</v>
      </c>
      <c r="E320" s="9">
        <v>4.12</v>
      </c>
      <c r="F320" s="9">
        <v>0.50428396572827416</v>
      </c>
    </row>
    <row r="321" spans="3:6" ht="1" customHeight="1">
      <c r="C321" s="9" t="s">
        <v>40</v>
      </c>
      <c r="D321" s="9">
        <v>1990</v>
      </c>
      <c r="E321" s="9">
        <v>4.9400000000000004</v>
      </c>
      <c r="F321" s="9">
        <v>0.60465116279069775</v>
      </c>
    </row>
    <row r="322" spans="3:6" ht="1" customHeight="1">
      <c r="C322" s="9" t="s">
        <v>40</v>
      </c>
      <c r="D322" s="9">
        <v>1995</v>
      </c>
      <c r="E322" s="9">
        <v>5.79</v>
      </c>
      <c r="F322" s="9">
        <v>0.70869033047735619</v>
      </c>
    </row>
    <row r="323" spans="3:6" ht="1" customHeight="1">
      <c r="C323" s="9" t="s">
        <v>40</v>
      </c>
      <c r="D323" s="9">
        <v>2000</v>
      </c>
      <c r="E323" s="9">
        <v>6.76</v>
      </c>
      <c r="F323" s="9">
        <v>0.82741738066095472</v>
      </c>
    </row>
    <row r="324" spans="3:6" ht="1" customHeight="1">
      <c r="C324" s="9" t="s">
        <v>40</v>
      </c>
      <c r="D324" s="9">
        <v>2005</v>
      </c>
      <c r="E324" s="9">
        <v>7.67</v>
      </c>
      <c r="F324" s="9">
        <v>0.9388004895960832</v>
      </c>
    </row>
    <row r="325" spans="3:6" ht="1" customHeight="1">
      <c r="C325" s="9" t="s">
        <v>40</v>
      </c>
      <c r="D325" s="9">
        <v>2010</v>
      </c>
      <c r="E325" s="9">
        <v>8.17</v>
      </c>
      <c r="F325" s="9">
        <v>1</v>
      </c>
    </row>
    <row r="326" spans="3:6" ht="1" customHeight="1">
      <c r="C326" s="9" t="s">
        <v>41</v>
      </c>
      <c r="D326" s="9">
        <v>1900</v>
      </c>
      <c r="E326" s="9">
        <v>1.58</v>
      </c>
      <c r="F326" s="9">
        <v>0.15265700483091788</v>
      </c>
    </row>
    <row r="327" spans="3:6" ht="1" customHeight="1">
      <c r="C327" s="9" t="s">
        <v>41</v>
      </c>
      <c r="D327" s="9">
        <v>1905</v>
      </c>
      <c r="E327" s="9">
        <v>1.85</v>
      </c>
      <c r="F327" s="9">
        <v>0.17874396135265702</v>
      </c>
    </row>
    <row r="328" spans="3:6" ht="1" customHeight="1">
      <c r="C328" s="9" t="s">
        <v>41</v>
      </c>
      <c r="D328" s="9">
        <v>1910</v>
      </c>
      <c r="E328" s="9">
        <v>2.39</v>
      </c>
      <c r="F328" s="9">
        <v>0.23091787439613529</v>
      </c>
    </row>
    <row r="329" spans="3:6" ht="1" customHeight="1">
      <c r="C329" s="9" t="s">
        <v>41</v>
      </c>
      <c r="D329" s="9">
        <v>1915</v>
      </c>
      <c r="E329" s="9">
        <v>2.92</v>
      </c>
      <c r="F329" s="9">
        <v>0.28212560386473429</v>
      </c>
    </row>
    <row r="330" spans="3:6" ht="1" customHeight="1">
      <c r="C330" s="9" t="s">
        <v>41</v>
      </c>
      <c r="D330" s="9">
        <v>1920</v>
      </c>
      <c r="E330" s="9">
        <v>3.43</v>
      </c>
      <c r="F330" s="9">
        <v>0.3314009661835749</v>
      </c>
    </row>
    <row r="331" spans="3:6" ht="1" customHeight="1">
      <c r="C331" s="9" t="s">
        <v>41</v>
      </c>
      <c r="D331" s="9">
        <v>1925</v>
      </c>
      <c r="E331" s="9">
        <v>3.86</v>
      </c>
      <c r="F331" s="9">
        <v>0.37294685990338167</v>
      </c>
    </row>
    <row r="332" spans="3:6" ht="1" customHeight="1">
      <c r="C332" s="9" t="s">
        <v>41</v>
      </c>
      <c r="D332" s="9">
        <v>1930</v>
      </c>
      <c r="E332" s="9">
        <v>4.08</v>
      </c>
      <c r="F332" s="9">
        <v>0.39420289855072466</v>
      </c>
    </row>
    <row r="333" spans="3:6" ht="1" customHeight="1">
      <c r="C333" s="9" t="s">
        <v>41</v>
      </c>
      <c r="D333" s="9">
        <v>1935</v>
      </c>
      <c r="E333" s="9">
        <v>4.3099999999999996</v>
      </c>
      <c r="F333" s="9">
        <v>0.41642512077294686</v>
      </c>
    </row>
    <row r="334" spans="3:6" ht="1" customHeight="1">
      <c r="C334" s="9" t="s">
        <v>41</v>
      </c>
      <c r="D334" s="9">
        <v>1940</v>
      </c>
      <c r="E334" s="9">
        <v>4.59</v>
      </c>
      <c r="F334" s="9">
        <v>0.44347826086956521</v>
      </c>
    </row>
    <row r="335" spans="3:6" ht="1" customHeight="1">
      <c r="C335" s="9" t="s">
        <v>41</v>
      </c>
      <c r="D335" s="9">
        <v>1945</v>
      </c>
      <c r="E335" s="9">
        <v>4.76</v>
      </c>
      <c r="F335" s="9">
        <v>0.4599033816425121</v>
      </c>
    </row>
    <row r="336" spans="3:6" ht="1" customHeight="1">
      <c r="C336" s="9" t="s">
        <v>41</v>
      </c>
      <c r="D336" s="9">
        <v>1950</v>
      </c>
      <c r="E336" s="9">
        <v>4.91</v>
      </c>
      <c r="F336" s="9">
        <v>0.47439613526570051</v>
      </c>
    </row>
    <row r="337" spans="3:6" ht="1" customHeight="1">
      <c r="C337" s="9" t="s">
        <v>41</v>
      </c>
      <c r="D337" s="9">
        <v>1955</v>
      </c>
      <c r="E337" s="9">
        <v>5.04</v>
      </c>
      <c r="F337" s="9">
        <v>0.48695652173913045</v>
      </c>
    </row>
    <row r="338" spans="3:6" ht="1" customHeight="1">
      <c r="C338" s="9" t="s">
        <v>41</v>
      </c>
      <c r="D338" s="9">
        <v>1960</v>
      </c>
      <c r="E338" s="9">
        <v>5.23</v>
      </c>
      <c r="F338" s="9">
        <v>0.50531400966183582</v>
      </c>
    </row>
    <row r="339" spans="3:6" ht="1" customHeight="1">
      <c r="C339" s="9" t="s">
        <v>41</v>
      </c>
      <c r="D339" s="9">
        <v>1965</v>
      </c>
      <c r="E339" s="9">
        <v>5.71</v>
      </c>
      <c r="F339" s="9">
        <v>0.55169082125603863</v>
      </c>
    </row>
    <row r="340" spans="3:6" ht="1" customHeight="1">
      <c r="C340" s="9" t="s">
        <v>41</v>
      </c>
      <c r="D340" s="9">
        <v>1970</v>
      </c>
      <c r="E340" s="9">
        <v>6.18</v>
      </c>
      <c r="F340" s="9">
        <v>0.59710144927536235</v>
      </c>
    </row>
    <row r="341" spans="3:6" ht="1" customHeight="1">
      <c r="C341" s="9" t="s">
        <v>41</v>
      </c>
      <c r="D341" s="9">
        <v>1975</v>
      </c>
      <c r="E341" s="9">
        <v>6.7</v>
      </c>
      <c r="F341" s="9">
        <v>0.64734299516908211</v>
      </c>
    </row>
    <row r="342" spans="3:6" ht="1" customHeight="1">
      <c r="C342" s="9" t="s">
        <v>41</v>
      </c>
      <c r="D342" s="9">
        <v>1980</v>
      </c>
      <c r="E342" s="9">
        <v>7.13</v>
      </c>
      <c r="F342" s="9">
        <v>0.68888888888888888</v>
      </c>
    </row>
    <row r="343" spans="3:6" ht="1" customHeight="1">
      <c r="C343" s="9" t="s">
        <v>41</v>
      </c>
      <c r="D343" s="9">
        <v>1985</v>
      </c>
      <c r="E343" s="9">
        <v>7.85</v>
      </c>
      <c r="F343" s="9">
        <v>0.75845410628019327</v>
      </c>
    </row>
    <row r="344" spans="3:6" ht="1" customHeight="1">
      <c r="C344" s="9" t="s">
        <v>41</v>
      </c>
      <c r="D344" s="9">
        <v>1990</v>
      </c>
      <c r="E344" s="9">
        <v>8.58</v>
      </c>
      <c r="F344" s="9">
        <v>0.82898550724637687</v>
      </c>
    </row>
    <row r="345" spans="3:6" ht="1" customHeight="1">
      <c r="C345" s="9" t="s">
        <v>41</v>
      </c>
      <c r="D345" s="9">
        <v>1995</v>
      </c>
      <c r="E345" s="9">
        <v>8.92</v>
      </c>
      <c r="F345" s="9">
        <v>0.86183574879227054</v>
      </c>
    </row>
    <row r="346" spans="3:6" ht="1" customHeight="1">
      <c r="C346" s="9" t="s">
        <v>41</v>
      </c>
      <c r="D346" s="9">
        <v>2000</v>
      </c>
      <c r="E346" s="9">
        <v>9.41</v>
      </c>
      <c r="F346" s="9">
        <v>0.90917874396135268</v>
      </c>
    </row>
    <row r="347" spans="3:6" ht="1" customHeight="1">
      <c r="C347" s="9" t="s">
        <v>41</v>
      </c>
      <c r="D347" s="9">
        <v>2005</v>
      </c>
      <c r="E347" s="9">
        <v>9.9600000000000009</v>
      </c>
      <c r="F347" s="9">
        <v>0.96231884057971029</v>
      </c>
    </row>
    <row r="348" spans="3:6" ht="1" customHeight="1">
      <c r="C348" s="9" t="s">
        <v>41</v>
      </c>
      <c r="D348" s="9">
        <v>2010</v>
      </c>
      <c r="E348" s="9">
        <v>10.35</v>
      </c>
      <c r="F348" s="9">
        <v>1</v>
      </c>
    </row>
    <row r="349" spans="3:6" ht="1" customHeight="1">
      <c r="C349" s="9" t="s">
        <v>42</v>
      </c>
      <c r="D349" s="9">
        <v>1900</v>
      </c>
      <c r="E349" s="9">
        <v>0.85</v>
      </c>
      <c r="F349" s="9">
        <v>9.0909090909090912E-2</v>
      </c>
    </row>
    <row r="350" spans="3:6" ht="1" customHeight="1">
      <c r="C350" s="9" t="s">
        <v>42</v>
      </c>
      <c r="D350" s="9">
        <v>1905</v>
      </c>
      <c r="E350" s="9">
        <v>1</v>
      </c>
      <c r="F350" s="9">
        <v>0.10695187165775401</v>
      </c>
    </row>
    <row r="351" spans="3:6" ht="1" customHeight="1">
      <c r="C351" s="9" t="s">
        <v>42</v>
      </c>
      <c r="D351" s="9">
        <v>1910</v>
      </c>
      <c r="E351" s="9">
        <v>1.44</v>
      </c>
      <c r="F351" s="9">
        <v>0.15401069518716579</v>
      </c>
    </row>
    <row r="352" spans="3:6" ht="1" customHeight="1">
      <c r="C352" s="9" t="s">
        <v>42</v>
      </c>
      <c r="D352" s="9">
        <v>1915</v>
      </c>
      <c r="E352" s="9">
        <v>1.62</v>
      </c>
      <c r="F352" s="9">
        <v>0.17326203208556151</v>
      </c>
    </row>
    <row r="353" spans="3:6" ht="1" customHeight="1">
      <c r="C353" s="9" t="s">
        <v>42</v>
      </c>
      <c r="D353" s="9">
        <v>1920</v>
      </c>
      <c r="E353" s="9">
        <v>1.79</v>
      </c>
      <c r="F353" s="9">
        <v>0.1914438502673797</v>
      </c>
    </row>
    <row r="354" spans="3:6" ht="1" customHeight="1">
      <c r="C354" s="9" t="s">
        <v>42</v>
      </c>
      <c r="D354" s="9">
        <v>1925</v>
      </c>
      <c r="E354" s="9">
        <v>2.0099999999999998</v>
      </c>
      <c r="F354" s="9">
        <v>0.21497326203208555</v>
      </c>
    </row>
    <row r="355" spans="3:6" ht="1" customHeight="1">
      <c r="C355" s="9" t="s">
        <v>42</v>
      </c>
      <c r="D355" s="9">
        <v>1930</v>
      </c>
      <c r="E355" s="9">
        <v>2.17</v>
      </c>
      <c r="F355" s="9">
        <v>0.2320855614973262</v>
      </c>
    </row>
    <row r="356" spans="3:6" ht="1" customHeight="1">
      <c r="C356" s="9" t="s">
        <v>42</v>
      </c>
      <c r="D356" s="9">
        <v>1935</v>
      </c>
      <c r="E356" s="9">
        <v>2.3199999999999998</v>
      </c>
      <c r="F356" s="9">
        <v>0.24812834224598929</v>
      </c>
    </row>
    <row r="357" spans="3:6" ht="1" customHeight="1">
      <c r="C357" s="9" t="s">
        <v>42</v>
      </c>
      <c r="D357" s="9">
        <v>1940</v>
      </c>
      <c r="E357" s="9">
        <v>2.4</v>
      </c>
      <c r="F357" s="9">
        <v>0.25668449197860965</v>
      </c>
    </row>
    <row r="358" spans="3:6" ht="1" customHeight="1">
      <c r="C358" s="9" t="s">
        <v>42</v>
      </c>
      <c r="D358" s="9">
        <v>1945</v>
      </c>
      <c r="E358" s="9">
        <v>2.5299999999999998</v>
      </c>
      <c r="F358" s="9">
        <v>0.27058823529411763</v>
      </c>
    </row>
    <row r="359" spans="3:6" ht="1" customHeight="1">
      <c r="C359" s="9" t="s">
        <v>42</v>
      </c>
      <c r="D359" s="9">
        <v>1950</v>
      </c>
      <c r="E359" s="9">
        <v>2.38</v>
      </c>
      <c r="F359" s="9">
        <v>0.25454545454545452</v>
      </c>
    </row>
    <row r="360" spans="3:6" ht="1" customHeight="1">
      <c r="C360" s="9" t="s">
        <v>42</v>
      </c>
      <c r="D360" s="9">
        <v>1955</v>
      </c>
      <c r="E360" s="9">
        <v>2.73</v>
      </c>
      <c r="F360" s="9">
        <v>0.29197860962566846</v>
      </c>
    </row>
    <row r="361" spans="3:6" ht="1" customHeight="1">
      <c r="C361" s="9" t="s">
        <v>42</v>
      </c>
      <c r="D361" s="9">
        <v>1960</v>
      </c>
      <c r="E361" s="9">
        <v>3.1</v>
      </c>
      <c r="F361" s="9">
        <v>0.33155080213903748</v>
      </c>
    </row>
    <row r="362" spans="3:6" ht="1" customHeight="1">
      <c r="C362" s="9" t="s">
        <v>42</v>
      </c>
      <c r="D362" s="9">
        <v>1965</v>
      </c>
      <c r="E362" s="9">
        <v>3.47</v>
      </c>
      <c r="F362" s="9">
        <v>0.37112299465240645</v>
      </c>
    </row>
    <row r="363" spans="3:6" ht="1" customHeight="1">
      <c r="C363" s="9" t="s">
        <v>42</v>
      </c>
      <c r="D363" s="9">
        <v>1970</v>
      </c>
      <c r="E363" s="9">
        <v>3.98</v>
      </c>
      <c r="F363" s="9">
        <v>0.42566844919786095</v>
      </c>
    </row>
    <row r="364" spans="3:6" ht="1" customHeight="1">
      <c r="C364" s="9" t="s">
        <v>42</v>
      </c>
      <c r="D364" s="9">
        <v>1975</v>
      </c>
      <c r="E364" s="9">
        <v>4.43</v>
      </c>
      <c r="F364" s="9">
        <v>0.47379679144385023</v>
      </c>
    </row>
    <row r="365" spans="3:6" ht="1" customHeight="1">
      <c r="C365" s="9" t="s">
        <v>42</v>
      </c>
      <c r="D365" s="9">
        <v>1980</v>
      </c>
      <c r="E365" s="9">
        <v>4.99</v>
      </c>
      <c r="F365" s="9">
        <v>0.53368983957219251</v>
      </c>
    </row>
    <row r="366" spans="3:6" ht="1" customHeight="1">
      <c r="C366" s="9" t="s">
        <v>42</v>
      </c>
      <c r="D366" s="9">
        <v>1985</v>
      </c>
      <c r="E366" s="9">
        <v>5.63</v>
      </c>
      <c r="F366" s="9">
        <v>0.60213903743315511</v>
      </c>
    </row>
    <row r="367" spans="3:6" ht="1" customHeight="1">
      <c r="C367" s="9" t="s">
        <v>42</v>
      </c>
      <c r="D367" s="9">
        <v>1990</v>
      </c>
      <c r="E367" s="9">
        <v>6.16</v>
      </c>
      <c r="F367" s="9">
        <v>0.6588235294117647</v>
      </c>
    </row>
    <row r="368" spans="3:6" ht="1" customHeight="1">
      <c r="C368" s="9" t="s">
        <v>42</v>
      </c>
      <c r="D368" s="9">
        <v>1995</v>
      </c>
      <c r="E368" s="9">
        <v>6.68</v>
      </c>
      <c r="F368" s="9">
        <v>0.71443850267379683</v>
      </c>
    </row>
    <row r="369" spans="3:6" ht="1" customHeight="1">
      <c r="C369" s="9" t="s">
        <v>42</v>
      </c>
      <c r="D369" s="9">
        <v>2000</v>
      </c>
      <c r="E369" s="9">
        <v>7.12</v>
      </c>
      <c r="F369" s="9">
        <v>0.76149732620320865</v>
      </c>
    </row>
    <row r="370" spans="3:6" ht="1" customHeight="1">
      <c r="C370" s="9" t="s">
        <v>42</v>
      </c>
      <c r="D370" s="9">
        <v>2005</v>
      </c>
      <c r="E370" s="9">
        <v>7.56</v>
      </c>
      <c r="F370" s="9">
        <v>0.80855614973262036</v>
      </c>
    </row>
    <row r="371" spans="3:6" ht="1" customHeight="1">
      <c r="C371" s="9" t="s">
        <v>42</v>
      </c>
      <c r="D371" s="9">
        <v>2010</v>
      </c>
      <c r="E371" s="9">
        <v>9.35</v>
      </c>
      <c r="F371" s="9">
        <v>1</v>
      </c>
    </row>
    <row r="372" spans="3:6" ht="1" customHeight="1">
      <c r="C372" s="9" t="s">
        <v>43</v>
      </c>
      <c r="D372" s="9">
        <v>1900</v>
      </c>
      <c r="E372" s="9">
        <v>1.56</v>
      </c>
      <c r="F372" s="9">
        <v>0.18505338078291816</v>
      </c>
    </row>
    <row r="373" spans="3:6" ht="1" customHeight="1">
      <c r="C373" s="9" t="s">
        <v>43</v>
      </c>
      <c r="D373" s="9">
        <v>1905</v>
      </c>
      <c r="E373" s="9">
        <v>1.89</v>
      </c>
      <c r="F373" s="9">
        <v>0.22419928825622776</v>
      </c>
    </row>
    <row r="374" spans="3:6" ht="1" customHeight="1">
      <c r="C374" s="9" t="s">
        <v>43</v>
      </c>
      <c r="D374" s="9">
        <v>1910</v>
      </c>
      <c r="E374" s="9">
        <v>2.21</v>
      </c>
      <c r="F374" s="9">
        <v>0.26215895610913403</v>
      </c>
    </row>
    <row r="375" spans="3:6" ht="1" customHeight="1">
      <c r="C375" s="9" t="s">
        <v>43</v>
      </c>
      <c r="D375" s="9">
        <v>1915</v>
      </c>
      <c r="E375" s="9">
        <v>2.4500000000000002</v>
      </c>
      <c r="F375" s="9">
        <v>0.29062870699881377</v>
      </c>
    </row>
    <row r="376" spans="3:6" ht="1" customHeight="1">
      <c r="C376" s="9" t="s">
        <v>43</v>
      </c>
      <c r="D376" s="9">
        <v>1920</v>
      </c>
      <c r="E376" s="9">
        <v>2.71</v>
      </c>
      <c r="F376" s="9">
        <v>0.32147093712930014</v>
      </c>
    </row>
    <row r="377" spans="3:6" ht="1" customHeight="1">
      <c r="C377" s="9" t="s">
        <v>43</v>
      </c>
      <c r="D377" s="9">
        <v>1925</v>
      </c>
      <c r="E377" s="9">
        <v>2.99</v>
      </c>
      <c r="F377" s="9">
        <v>0.35468564650059314</v>
      </c>
    </row>
    <row r="378" spans="3:6" ht="1" customHeight="1">
      <c r="C378" s="9" t="s">
        <v>43</v>
      </c>
      <c r="D378" s="9">
        <v>1930</v>
      </c>
      <c r="E378" s="9">
        <v>3.13</v>
      </c>
      <c r="F378" s="9">
        <v>0.37129300118623965</v>
      </c>
    </row>
    <row r="379" spans="3:6" ht="1" customHeight="1">
      <c r="C379" s="9" t="s">
        <v>43</v>
      </c>
      <c r="D379" s="9">
        <v>1935</v>
      </c>
      <c r="E379" s="9">
        <v>3.28</v>
      </c>
      <c r="F379" s="9">
        <v>0.38908659549228941</v>
      </c>
    </row>
    <row r="380" spans="3:6" ht="1" customHeight="1">
      <c r="C380" s="9" t="s">
        <v>43</v>
      </c>
      <c r="D380" s="9">
        <v>1940</v>
      </c>
      <c r="E380" s="9">
        <v>3.43</v>
      </c>
      <c r="F380" s="9">
        <v>0.40688018979833929</v>
      </c>
    </row>
    <row r="381" spans="3:6" ht="1" customHeight="1">
      <c r="C381" s="9" t="s">
        <v>43</v>
      </c>
      <c r="D381" s="9">
        <v>1945</v>
      </c>
      <c r="E381" s="9">
        <v>3.62</v>
      </c>
      <c r="F381" s="9">
        <v>0.42941874258600238</v>
      </c>
    </row>
    <row r="382" spans="3:6" ht="1" customHeight="1">
      <c r="C382" s="9" t="s">
        <v>43</v>
      </c>
      <c r="D382" s="9">
        <v>1950</v>
      </c>
      <c r="E382" s="9">
        <v>3.6</v>
      </c>
      <c r="F382" s="9">
        <v>0.42704626334519574</v>
      </c>
    </row>
    <row r="383" spans="3:6" ht="1" customHeight="1">
      <c r="C383" s="9" t="s">
        <v>43</v>
      </c>
      <c r="D383" s="9">
        <v>1955</v>
      </c>
      <c r="E383" s="9">
        <v>3.82</v>
      </c>
      <c r="F383" s="9">
        <v>0.45314353499406879</v>
      </c>
    </row>
    <row r="384" spans="3:6" ht="1" customHeight="1">
      <c r="C384" s="9" t="s">
        <v>43</v>
      </c>
      <c r="D384" s="9">
        <v>1960</v>
      </c>
      <c r="E384" s="9">
        <v>3.96</v>
      </c>
      <c r="F384" s="9">
        <v>0.46975088967971529</v>
      </c>
    </row>
    <row r="385" spans="3:6" ht="1" customHeight="1">
      <c r="C385" s="9" t="s">
        <v>43</v>
      </c>
      <c r="D385" s="9">
        <v>1965</v>
      </c>
      <c r="E385" s="9">
        <v>4.22</v>
      </c>
      <c r="F385" s="9">
        <v>0.5005931198102016</v>
      </c>
    </row>
    <row r="386" spans="3:6" ht="1" customHeight="1">
      <c r="C386" s="9" t="s">
        <v>43</v>
      </c>
      <c r="D386" s="9">
        <v>1970</v>
      </c>
      <c r="E386" s="9">
        <v>4.03</v>
      </c>
      <c r="F386" s="9">
        <v>0.47805456702253862</v>
      </c>
    </row>
    <row r="387" spans="3:6" ht="1" customHeight="1">
      <c r="C387" s="9" t="s">
        <v>43</v>
      </c>
      <c r="D387" s="9">
        <v>1975</v>
      </c>
      <c r="E387" s="9">
        <v>5.3</v>
      </c>
      <c r="F387" s="9">
        <v>0.62870699881376035</v>
      </c>
    </row>
    <row r="388" spans="3:6" ht="1" customHeight="1">
      <c r="C388" s="9" t="s">
        <v>43</v>
      </c>
      <c r="D388" s="9">
        <v>1980</v>
      </c>
      <c r="E388" s="9">
        <v>6.26</v>
      </c>
      <c r="F388" s="9">
        <v>0.74258600237247929</v>
      </c>
    </row>
    <row r="389" spans="3:6" ht="1" customHeight="1">
      <c r="C389" s="9" t="s">
        <v>43</v>
      </c>
      <c r="D389" s="9">
        <v>1985</v>
      </c>
      <c r="E389" s="9">
        <v>6.88</v>
      </c>
      <c r="F389" s="9">
        <v>0.81613285883748521</v>
      </c>
    </row>
    <row r="390" spans="3:6" ht="1" customHeight="1">
      <c r="C390" s="9" t="s">
        <v>43</v>
      </c>
      <c r="D390" s="9">
        <v>1990</v>
      </c>
      <c r="E390" s="9">
        <v>7.28</v>
      </c>
      <c r="F390" s="9">
        <v>0.86358244365361814</v>
      </c>
    </row>
    <row r="391" spans="3:6" ht="1" customHeight="1">
      <c r="C391" s="9" t="s">
        <v>43</v>
      </c>
      <c r="D391" s="9">
        <v>1995</v>
      </c>
      <c r="E391" s="9">
        <v>7.61</v>
      </c>
      <c r="F391" s="9">
        <v>0.90272835112692773</v>
      </c>
    </row>
    <row r="392" spans="3:6" ht="1" customHeight="1">
      <c r="C392" s="9" t="s">
        <v>43</v>
      </c>
      <c r="D392" s="9">
        <v>2000</v>
      </c>
      <c r="E392" s="9">
        <v>7.96</v>
      </c>
      <c r="F392" s="9">
        <v>0.94424673784104396</v>
      </c>
    </row>
    <row r="393" spans="3:6" ht="1" customHeight="1">
      <c r="C393" s="9" t="s">
        <v>43</v>
      </c>
      <c r="D393" s="9">
        <v>2005</v>
      </c>
      <c r="E393" s="9">
        <v>8.52</v>
      </c>
      <c r="F393" s="9">
        <v>1.01067615658363</v>
      </c>
    </row>
    <row r="394" spans="3:6" ht="1" customHeight="1">
      <c r="C394" s="9" t="s">
        <v>43</v>
      </c>
      <c r="D394" s="9">
        <v>2010</v>
      </c>
      <c r="E394" s="9">
        <v>8.43</v>
      </c>
      <c r="F394" s="9">
        <v>1</v>
      </c>
    </row>
    <row r="395" spans="3:6" ht="1" customHeight="1">
      <c r="C395" s="9" t="s">
        <v>44</v>
      </c>
      <c r="D395" s="9">
        <v>1900</v>
      </c>
      <c r="E395" s="9">
        <v>0.28999999999999998</v>
      </c>
      <c r="F395" s="9">
        <v>3.5714285714285712E-2</v>
      </c>
    </row>
    <row r="396" spans="3:6" ht="1" customHeight="1">
      <c r="C396" s="9" t="s">
        <v>44</v>
      </c>
      <c r="D396" s="9">
        <v>1905</v>
      </c>
      <c r="E396" s="9">
        <v>0.7</v>
      </c>
      <c r="F396" s="9">
        <v>8.6206896551724144E-2</v>
      </c>
    </row>
    <row r="397" spans="3:6" ht="1" customHeight="1">
      <c r="C397" s="9" t="s">
        <v>44</v>
      </c>
      <c r="D397" s="9">
        <v>1910</v>
      </c>
      <c r="E397" s="9">
        <v>1.06</v>
      </c>
      <c r="F397" s="9">
        <v>0.13054187192118227</v>
      </c>
    </row>
    <row r="398" spans="3:6" ht="1" customHeight="1">
      <c r="C398" s="9" t="s">
        <v>44</v>
      </c>
      <c r="D398" s="9">
        <v>1915</v>
      </c>
      <c r="E398" s="9">
        <v>1.3</v>
      </c>
      <c r="F398" s="9">
        <v>0.16009852216748771</v>
      </c>
    </row>
    <row r="399" spans="3:6" ht="1" customHeight="1">
      <c r="C399" s="9" t="s">
        <v>44</v>
      </c>
      <c r="D399" s="9">
        <v>1920</v>
      </c>
      <c r="E399" s="9">
        <v>1.53</v>
      </c>
      <c r="F399" s="9">
        <v>0.18842364532019706</v>
      </c>
    </row>
    <row r="400" spans="3:6" ht="1" customHeight="1">
      <c r="C400" s="9" t="s">
        <v>44</v>
      </c>
      <c r="D400" s="9">
        <v>1925</v>
      </c>
      <c r="E400" s="9">
        <v>1.85</v>
      </c>
      <c r="F400" s="9">
        <v>0.22783251231527096</v>
      </c>
    </row>
    <row r="401" spans="3:6" ht="1" customHeight="1">
      <c r="C401" s="9" t="s">
        <v>44</v>
      </c>
      <c r="D401" s="9">
        <v>1930</v>
      </c>
      <c r="E401" s="9">
        <v>2.21</v>
      </c>
      <c r="F401" s="9">
        <v>0.27216748768472909</v>
      </c>
    </row>
    <row r="402" spans="3:6" ht="1" customHeight="1">
      <c r="C402" s="9" t="s">
        <v>44</v>
      </c>
      <c r="D402" s="9">
        <v>1935</v>
      </c>
      <c r="E402" s="9">
        <v>2.2999999999999998</v>
      </c>
      <c r="F402" s="9">
        <v>0.28325123152709358</v>
      </c>
    </row>
    <row r="403" spans="3:6" ht="1" customHeight="1">
      <c r="C403" s="9" t="s">
        <v>44</v>
      </c>
      <c r="D403" s="9">
        <v>1940</v>
      </c>
      <c r="E403" s="9">
        <v>2.2999999999999998</v>
      </c>
      <c r="F403" s="9">
        <v>0.28325123152709358</v>
      </c>
    </row>
    <row r="404" spans="3:6" ht="1" customHeight="1">
      <c r="C404" s="9" t="s">
        <v>44</v>
      </c>
      <c r="D404" s="9">
        <v>1945</v>
      </c>
      <c r="E404" s="9">
        <v>2.39</v>
      </c>
      <c r="F404" s="9">
        <v>0.29433497536945818</v>
      </c>
    </row>
    <row r="405" spans="3:6" ht="1" customHeight="1">
      <c r="C405" s="9" t="s">
        <v>44</v>
      </c>
      <c r="D405" s="9">
        <v>1950</v>
      </c>
      <c r="E405" s="9">
        <v>2.5299999999999998</v>
      </c>
      <c r="F405" s="9">
        <v>0.31157635467980294</v>
      </c>
    </row>
    <row r="406" spans="3:6" ht="1" customHeight="1">
      <c r="C406" s="9" t="s">
        <v>44</v>
      </c>
      <c r="D406" s="9">
        <v>1955</v>
      </c>
      <c r="E406" s="9">
        <v>2.58</v>
      </c>
      <c r="F406" s="9">
        <v>0.31773399014778331</v>
      </c>
    </row>
    <row r="407" spans="3:6" ht="1" customHeight="1">
      <c r="C407" s="9" t="s">
        <v>44</v>
      </c>
      <c r="D407" s="9">
        <v>1960</v>
      </c>
      <c r="E407" s="9">
        <v>2.78</v>
      </c>
      <c r="F407" s="9">
        <v>0.34236453201970446</v>
      </c>
    </row>
    <row r="408" spans="3:6" ht="1" customHeight="1">
      <c r="C408" s="9" t="s">
        <v>44</v>
      </c>
      <c r="D408" s="9">
        <v>1965</v>
      </c>
      <c r="E408" s="9">
        <v>3.15</v>
      </c>
      <c r="F408" s="9">
        <v>0.38793103448275867</v>
      </c>
    </row>
    <row r="409" spans="3:6" ht="1" customHeight="1">
      <c r="C409" s="9" t="s">
        <v>44</v>
      </c>
      <c r="D409" s="9">
        <v>1970</v>
      </c>
      <c r="E409" s="9">
        <v>3.74</v>
      </c>
      <c r="F409" s="9">
        <v>0.46059113300492616</v>
      </c>
    </row>
    <row r="410" spans="3:6" ht="1" customHeight="1">
      <c r="C410" s="9" t="s">
        <v>44</v>
      </c>
      <c r="D410" s="9">
        <v>1975</v>
      </c>
      <c r="E410" s="9">
        <v>4.3</v>
      </c>
      <c r="F410" s="9">
        <v>0.52955665024630549</v>
      </c>
    </row>
    <row r="411" spans="3:6" ht="1" customHeight="1">
      <c r="C411" s="9" t="s">
        <v>44</v>
      </c>
      <c r="D411" s="9">
        <v>1980</v>
      </c>
      <c r="E411" s="9">
        <v>4.9800000000000004</v>
      </c>
      <c r="F411" s="9">
        <v>0.61330049261083752</v>
      </c>
    </row>
    <row r="412" spans="3:6" ht="1" customHeight="1">
      <c r="C412" s="9" t="s">
        <v>44</v>
      </c>
      <c r="D412" s="9">
        <v>1985</v>
      </c>
      <c r="E412" s="9">
        <v>5.58</v>
      </c>
      <c r="F412" s="9">
        <v>0.68719211822660109</v>
      </c>
    </row>
    <row r="413" spans="3:6" ht="1" customHeight="1">
      <c r="C413" s="9" t="s">
        <v>44</v>
      </c>
      <c r="D413" s="9">
        <v>1990</v>
      </c>
      <c r="E413" s="9">
        <v>6.13</v>
      </c>
      <c r="F413" s="9">
        <v>0.75492610837438434</v>
      </c>
    </row>
    <row r="414" spans="3:6" ht="1" customHeight="1">
      <c r="C414" s="9" t="s">
        <v>44</v>
      </c>
      <c r="D414" s="9">
        <v>1995</v>
      </c>
      <c r="E414" s="9">
        <v>6.58</v>
      </c>
      <c r="F414" s="9">
        <v>0.81034482758620696</v>
      </c>
    </row>
    <row r="415" spans="3:6" ht="1" customHeight="1">
      <c r="C415" s="9" t="s">
        <v>44</v>
      </c>
      <c r="D415" s="9">
        <v>2000</v>
      </c>
      <c r="E415" s="9">
        <v>7.03</v>
      </c>
      <c r="F415" s="9">
        <v>0.86576354679802969</v>
      </c>
    </row>
    <row r="416" spans="3:6" ht="1" customHeight="1">
      <c r="C416" s="9" t="s">
        <v>44</v>
      </c>
      <c r="D416" s="9">
        <v>2005</v>
      </c>
      <c r="E416" s="9">
        <v>7.54</v>
      </c>
      <c r="F416" s="9">
        <v>0.92857142857142871</v>
      </c>
    </row>
    <row r="417" spans="3:6" ht="1" customHeight="1">
      <c r="C417" s="9" t="s">
        <v>44</v>
      </c>
      <c r="D417" s="9">
        <v>2010</v>
      </c>
      <c r="E417" s="9">
        <v>8.1199999999999992</v>
      </c>
      <c r="F417" s="9">
        <v>1</v>
      </c>
    </row>
    <row r="418" spans="3:6" ht="1" customHeight="1">
      <c r="C418" s="9" t="s">
        <v>45</v>
      </c>
      <c r="D418" s="9">
        <v>1900</v>
      </c>
      <c r="E418" s="9">
        <v>0.9</v>
      </c>
      <c r="F418" s="9">
        <v>0.11221945137157108</v>
      </c>
    </row>
    <row r="419" spans="3:6" ht="1" customHeight="1">
      <c r="C419" s="9" t="s">
        <v>45</v>
      </c>
      <c r="D419" s="9">
        <v>1905</v>
      </c>
      <c r="E419" s="9">
        <v>1.04</v>
      </c>
      <c r="F419" s="9">
        <v>0.12967581047381546</v>
      </c>
    </row>
    <row r="420" spans="3:6" ht="1" customHeight="1">
      <c r="C420" s="9" t="s">
        <v>45</v>
      </c>
      <c r="D420" s="9">
        <v>1910</v>
      </c>
      <c r="E420" s="9">
        <v>1.25</v>
      </c>
      <c r="F420" s="9">
        <v>0.15586034912718205</v>
      </c>
    </row>
    <row r="421" spans="3:6" ht="1" customHeight="1">
      <c r="C421" s="9" t="s">
        <v>45</v>
      </c>
      <c r="D421" s="9">
        <v>1915</v>
      </c>
      <c r="E421" s="9">
        <v>1.42</v>
      </c>
      <c r="F421" s="9">
        <v>0.17705735660847879</v>
      </c>
    </row>
    <row r="422" spans="3:6" ht="1" customHeight="1">
      <c r="C422" s="9" t="s">
        <v>45</v>
      </c>
      <c r="D422" s="9">
        <v>1920</v>
      </c>
      <c r="E422" s="9">
        <v>1.58</v>
      </c>
      <c r="F422" s="9">
        <v>0.19700748129675813</v>
      </c>
    </row>
    <row r="423" spans="3:6" ht="1" customHeight="1">
      <c r="C423" s="9" t="s">
        <v>45</v>
      </c>
      <c r="D423" s="9">
        <v>1925</v>
      </c>
      <c r="E423" s="9">
        <v>1.68</v>
      </c>
      <c r="F423" s="9">
        <v>0.20947630922693267</v>
      </c>
    </row>
    <row r="424" spans="3:6" ht="1" customHeight="1">
      <c r="C424" s="9" t="s">
        <v>45</v>
      </c>
      <c r="D424" s="9">
        <v>1930</v>
      </c>
      <c r="E424" s="9">
        <v>1.86</v>
      </c>
      <c r="F424" s="9">
        <v>0.2319201995012469</v>
      </c>
    </row>
    <row r="425" spans="3:6" ht="1" customHeight="1">
      <c r="C425" s="9" t="s">
        <v>45</v>
      </c>
      <c r="D425" s="9">
        <v>1935</v>
      </c>
      <c r="E425" s="9">
        <v>2.08</v>
      </c>
      <c r="F425" s="9">
        <v>0.25935162094763092</v>
      </c>
    </row>
    <row r="426" spans="3:6" ht="1" customHeight="1">
      <c r="C426" s="9" t="s">
        <v>45</v>
      </c>
      <c r="D426" s="9">
        <v>1940</v>
      </c>
      <c r="E426" s="9">
        <v>2.23</v>
      </c>
      <c r="F426" s="9">
        <v>0.27805486284289277</v>
      </c>
    </row>
    <row r="427" spans="3:6" ht="1" customHeight="1">
      <c r="C427" s="9" t="s">
        <v>45</v>
      </c>
      <c r="D427" s="9">
        <v>1945</v>
      </c>
      <c r="E427" s="9">
        <v>2.4300000000000002</v>
      </c>
      <c r="F427" s="9">
        <v>0.30299251870324195</v>
      </c>
    </row>
    <row r="428" spans="3:6" ht="1" customHeight="1">
      <c r="C428" s="9" t="s">
        <v>45</v>
      </c>
      <c r="D428" s="9">
        <v>1950</v>
      </c>
      <c r="E428" s="9">
        <v>2.62</v>
      </c>
      <c r="F428" s="9">
        <v>0.32668329177057359</v>
      </c>
    </row>
    <row r="429" spans="3:6" ht="1" customHeight="1">
      <c r="C429" s="9" t="s">
        <v>45</v>
      </c>
      <c r="D429" s="9">
        <v>1955</v>
      </c>
      <c r="E429" s="9">
        <v>2.93</v>
      </c>
      <c r="F429" s="9">
        <v>0.36533665835411477</v>
      </c>
    </row>
    <row r="430" spans="3:6" ht="1" customHeight="1">
      <c r="C430" s="9" t="s">
        <v>45</v>
      </c>
      <c r="D430" s="9">
        <v>1960</v>
      </c>
      <c r="E430" s="9">
        <v>3.29</v>
      </c>
      <c r="F430" s="9">
        <v>0.41022443890274318</v>
      </c>
    </row>
    <row r="431" spans="3:6" ht="1" customHeight="1">
      <c r="C431" s="9" t="s">
        <v>45</v>
      </c>
      <c r="D431" s="9">
        <v>1965</v>
      </c>
      <c r="E431" s="9">
        <v>4</v>
      </c>
      <c r="F431" s="9">
        <v>0.49875311720698257</v>
      </c>
    </row>
    <row r="432" spans="3:6" ht="1" customHeight="1">
      <c r="C432" s="9" t="s">
        <v>45</v>
      </c>
      <c r="D432" s="9">
        <v>1970</v>
      </c>
      <c r="E432" s="9">
        <v>4.55</v>
      </c>
      <c r="F432" s="9">
        <v>0.56733167082294267</v>
      </c>
    </row>
    <row r="433" spans="3:6" ht="1" customHeight="1">
      <c r="C433" s="9" t="s">
        <v>45</v>
      </c>
      <c r="D433" s="9">
        <v>1975</v>
      </c>
      <c r="E433" s="9">
        <v>5.07</v>
      </c>
      <c r="F433" s="9">
        <v>0.63216957605985047</v>
      </c>
    </row>
    <row r="434" spans="3:6" ht="1" customHeight="1">
      <c r="C434" s="9" t="s">
        <v>45</v>
      </c>
      <c r="D434" s="9">
        <v>1980</v>
      </c>
      <c r="E434" s="9">
        <v>6.35</v>
      </c>
      <c r="F434" s="9">
        <v>0.79177057356608482</v>
      </c>
    </row>
    <row r="435" spans="3:6" ht="1" customHeight="1">
      <c r="C435" s="9" t="s">
        <v>45</v>
      </c>
      <c r="D435" s="9">
        <v>1985</v>
      </c>
      <c r="E435" s="9">
        <v>6.76</v>
      </c>
      <c r="F435" s="9">
        <v>0.84289276807980051</v>
      </c>
    </row>
    <row r="436" spans="3:6" ht="1" customHeight="1">
      <c r="C436" s="9" t="s">
        <v>45</v>
      </c>
      <c r="D436" s="9">
        <v>1990</v>
      </c>
      <c r="E436" s="9">
        <v>7.23</v>
      </c>
      <c r="F436" s="9">
        <v>0.90149625935162103</v>
      </c>
    </row>
    <row r="437" spans="3:6" ht="1" customHeight="1">
      <c r="C437" s="9" t="s">
        <v>45</v>
      </c>
      <c r="D437" s="9">
        <v>1995</v>
      </c>
      <c r="E437" s="9">
        <v>7.32</v>
      </c>
      <c r="F437" s="9">
        <v>0.91271820448877816</v>
      </c>
    </row>
    <row r="438" spans="3:6" ht="1" customHeight="1">
      <c r="C438" s="9" t="s">
        <v>45</v>
      </c>
      <c r="D438" s="9">
        <v>2000</v>
      </c>
      <c r="E438" s="9">
        <v>7.41</v>
      </c>
      <c r="F438" s="9">
        <v>0.92394014962593518</v>
      </c>
    </row>
    <row r="439" spans="3:6" ht="1" customHeight="1">
      <c r="C439" s="9" t="s">
        <v>45</v>
      </c>
      <c r="D439" s="9">
        <v>2005</v>
      </c>
      <c r="E439" s="9">
        <v>7.7</v>
      </c>
      <c r="F439" s="9">
        <v>0.96009975062344144</v>
      </c>
    </row>
    <row r="440" spans="3:6" ht="1" customHeight="1">
      <c r="C440" s="9" t="s">
        <v>45</v>
      </c>
      <c r="D440" s="9">
        <v>2010</v>
      </c>
      <c r="E440" s="9">
        <v>8.02</v>
      </c>
      <c r="F440" s="9">
        <v>1</v>
      </c>
    </row>
    <row r="441" spans="3:6" ht="1" customHeight="1">
      <c r="C441" s="9" t="s">
        <v>46</v>
      </c>
      <c r="D441" s="9">
        <v>1900</v>
      </c>
      <c r="E441" s="9">
        <v>0.82</v>
      </c>
      <c r="F441" s="9">
        <v>0.10173697270471463</v>
      </c>
    </row>
    <row r="442" spans="3:6" ht="1" customHeight="1">
      <c r="C442" s="9" t="s">
        <v>46</v>
      </c>
      <c r="D442" s="9">
        <v>1905</v>
      </c>
      <c r="E442" s="9">
        <v>0.92</v>
      </c>
      <c r="F442" s="9">
        <v>0.11414392059553349</v>
      </c>
    </row>
    <row r="443" spans="3:6" ht="1" customHeight="1">
      <c r="C443" s="9" t="s">
        <v>46</v>
      </c>
      <c r="D443" s="9">
        <v>1910</v>
      </c>
      <c r="E443" s="9">
        <v>1.1499999999999999</v>
      </c>
      <c r="F443" s="9">
        <v>0.14267990074441686</v>
      </c>
    </row>
    <row r="444" spans="3:6" ht="1" customHeight="1">
      <c r="C444" s="9" t="s">
        <v>46</v>
      </c>
      <c r="D444" s="9">
        <v>1915</v>
      </c>
      <c r="E444" s="9">
        <v>1.21</v>
      </c>
      <c r="F444" s="9">
        <v>0.15012406947890816</v>
      </c>
    </row>
    <row r="445" spans="3:6" ht="1" customHeight="1">
      <c r="C445" s="9" t="s">
        <v>46</v>
      </c>
      <c r="D445" s="9">
        <v>1920</v>
      </c>
      <c r="E445" s="9">
        <v>1.28</v>
      </c>
      <c r="F445" s="9">
        <v>0.15880893300248139</v>
      </c>
    </row>
    <row r="446" spans="3:6" ht="1" customHeight="1">
      <c r="C446" s="9" t="s">
        <v>46</v>
      </c>
      <c r="D446" s="9">
        <v>1925</v>
      </c>
      <c r="E446" s="9">
        <v>1.35</v>
      </c>
      <c r="F446" s="9">
        <v>0.16749379652605459</v>
      </c>
    </row>
    <row r="447" spans="3:6" ht="1" customHeight="1">
      <c r="C447" s="9" t="s">
        <v>46</v>
      </c>
      <c r="D447" s="9">
        <v>1930</v>
      </c>
      <c r="E447" s="9">
        <v>1.41</v>
      </c>
      <c r="F447" s="9">
        <v>0.17493796526054589</v>
      </c>
    </row>
    <row r="448" spans="3:6" ht="1" customHeight="1">
      <c r="C448" s="9" t="s">
        <v>46</v>
      </c>
      <c r="D448" s="9">
        <v>1935</v>
      </c>
      <c r="E448" s="9">
        <v>1.41</v>
      </c>
      <c r="F448" s="9">
        <v>0.17493796526054589</v>
      </c>
    </row>
    <row r="449" spans="3:6" ht="1" customHeight="1">
      <c r="C449" s="9" t="s">
        <v>46</v>
      </c>
      <c r="D449" s="9">
        <v>1940</v>
      </c>
      <c r="E449" s="9">
        <v>1.41</v>
      </c>
      <c r="F449" s="9">
        <v>0.17493796526054589</v>
      </c>
    </row>
    <row r="450" spans="3:6" ht="1" customHeight="1">
      <c r="C450" s="9" t="s">
        <v>46</v>
      </c>
      <c r="D450" s="9">
        <v>1945</v>
      </c>
      <c r="E450" s="9">
        <v>1.54</v>
      </c>
      <c r="F450" s="9">
        <v>0.19106699751861042</v>
      </c>
    </row>
    <row r="451" spans="3:6" ht="1" customHeight="1">
      <c r="C451" s="9" t="s">
        <v>46</v>
      </c>
      <c r="D451" s="9">
        <v>1950</v>
      </c>
      <c r="E451" s="9">
        <v>1.55</v>
      </c>
      <c r="F451" s="9">
        <v>0.19230769230769229</v>
      </c>
    </row>
    <row r="452" spans="3:6" ht="1" customHeight="1">
      <c r="C452" s="9" t="s">
        <v>46</v>
      </c>
      <c r="D452" s="9">
        <v>1955</v>
      </c>
      <c r="E452" s="9">
        <v>1.7</v>
      </c>
      <c r="F452" s="9">
        <v>0.21091811414392059</v>
      </c>
    </row>
    <row r="453" spans="3:6" ht="1" customHeight="1">
      <c r="C453" s="9" t="s">
        <v>46</v>
      </c>
      <c r="D453" s="9">
        <v>1960</v>
      </c>
      <c r="E453" s="9">
        <v>1.98</v>
      </c>
      <c r="F453" s="9">
        <v>0.24565756823821339</v>
      </c>
    </row>
    <row r="454" spans="3:6" ht="1" customHeight="1">
      <c r="C454" s="9" t="s">
        <v>46</v>
      </c>
      <c r="D454" s="9">
        <v>1965</v>
      </c>
      <c r="E454" s="9">
        <v>2.41</v>
      </c>
      <c r="F454" s="9">
        <v>0.29900744416873448</v>
      </c>
    </row>
    <row r="455" spans="3:6" ht="1" customHeight="1">
      <c r="C455" s="9" t="s">
        <v>46</v>
      </c>
      <c r="D455" s="9">
        <v>1970</v>
      </c>
      <c r="E455" s="9">
        <v>2.9</v>
      </c>
      <c r="F455" s="9">
        <v>0.35980148883374685</v>
      </c>
    </row>
    <row r="456" spans="3:6" ht="1" customHeight="1">
      <c r="C456" s="9" t="s">
        <v>46</v>
      </c>
      <c r="D456" s="9">
        <v>1975</v>
      </c>
      <c r="E456" s="9">
        <v>3.37</v>
      </c>
      <c r="F456" s="9">
        <v>0.41811414392059554</v>
      </c>
    </row>
    <row r="457" spans="3:6" ht="1" customHeight="1">
      <c r="C457" s="9" t="s">
        <v>46</v>
      </c>
      <c r="D457" s="9">
        <v>1980</v>
      </c>
      <c r="E457" s="9">
        <v>3.74</v>
      </c>
      <c r="F457" s="9">
        <v>0.4640198511166253</v>
      </c>
    </row>
    <row r="458" spans="3:6" ht="1" customHeight="1">
      <c r="C458" s="9" t="s">
        <v>46</v>
      </c>
      <c r="D458" s="9">
        <v>1985</v>
      </c>
      <c r="E458" s="9">
        <v>4.57</v>
      </c>
      <c r="F458" s="9">
        <v>0.5669975186104218</v>
      </c>
    </row>
    <row r="459" spans="3:6" ht="1" customHeight="1">
      <c r="C459" s="9" t="s">
        <v>46</v>
      </c>
      <c r="D459" s="9">
        <v>1990</v>
      </c>
      <c r="E459" s="9">
        <v>5.08</v>
      </c>
      <c r="F459" s="9">
        <v>0.63027295285359797</v>
      </c>
    </row>
    <row r="460" spans="3:6" ht="1" customHeight="1">
      <c r="C460" s="9" t="s">
        <v>46</v>
      </c>
      <c r="D460" s="9">
        <v>1995</v>
      </c>
      <c r="E460" s="9">
        <v>5.8</v>
      </c>
      <c r="F460" s="9">
        <v>0.7196029776674937</v>
      </c>
    </row>
    <row r="461" spans="3:6" ht="1" customHeight="1">
      <c r="C461" s="9" t="s">
        <v>46</v>
      </c>
      <c r="D461" s="9">
        <v>2000</v>
      </c>
      <c r="E461" s="9">
        <v>7.04</v>
      </c>
      <c r="F461" s="9">
        <v>0.87344913151364756</v>
      </c>
    </row>
    <row r="462" spans="3:6" ht="1" customHeight="1">
      <c r="C462" s="9" t="s">
        <v>46</v>
      </c>
      <c r="D462" s="9">
        <v>2005</v>
      </c>
      <c r="E462" s="9">
        <v>8.08</v>
      </c>
      <c r="F462" s="9">
        <v>1.0024813895781637</v>
      </c>
    </row>
    <row r="463" spans="3:6" ht="1" customHeight="1">
      <c r="C463" s="9" t="s">
        <v>46</v>
      </c>
      <c r="D463" s="9">
        <v>2010</v>
      </c>
      <c r="E463" s="9">
        <v>8.06</v>
      </c>
      <c r="F463" s="9">
        <v>1</v>
      </c>
    </row>
    <row r="464" spans="3:6" ht="1" customHeight="1">
      <c r="C464" s="9" t="s">
        <v>47</v>
      </c>
      <c r="D464" s="9">
        <v>1900</v>
      </c>
      <c r="E464" s="9">
        <v>0.84</v>
      </c>
      <c r="F464" s="9">
        <v>0.16122840690978887</v>
      </c>
    </row>
    <row r="465" spans="3:6" ht="1" customHeight="1">
      <c r="C465" s="9" t="s">
        <v>47</v>
      </c>
      <c r="D465" s="9">
        <v>1905</v>
      </c>
      <c r="E465" s="9">
        <v>0.91</v>
      </c>
      <c r="F465" s="9">
        <v>0.17466410748560462</v>
      </c>
    </row>
    <row r="466" spans="3:6" ht="1" customHeight="1">
      <c r="C466" s="9" t="s">
        <v>47</v>
      </c>
      <c r="D466" s="9">
        <v>1910</v>
      </c>
      <c r="E466" s="9">
        <v>1.07</v>
      </c>
      <c r="F466" s="9">
        <v>0.20537428023032631</v>
      </c>
    </row>
    <row r="467" spans="3:6" ht="1" customHeight="1">
      <c r="C467" s="9" t="s">
        <v>47</v>
      </c>
      <c r="D467" s="9">
        <v>1915</v>
      </c>
      <c r="E467" s="9">
        <v>1.2</v>
      </c>
      <c r="F467" s="9">
        <v>0.23032629558541265</v>
      </c>
    </row>
    <row r="468" spans="3:6" ht="1" customHeight="1">
      <c r="C468" s="9" t="s">
        <v>47</v>
      </c>
      <c r="D468" s="9">
        <v>1920</v>
      </c>
      <c r="E468" s="9">
        <v>1.31</v>
      </c>
      <c r="F468" s="9">
        <v>0.25143953934740881</v>
      </c>
    </row>
    <row r="469" spans="3:6" ht="1" customHeight="1">
      <c r="C469" s="9" t="s">
        <v>47</v>
      </c>
      <c r="D469" s="9">
        <v>1925</v>
      </c>
      <c r="E469" s="9">
        <v>1.28</v>
      </c>
      <c r="F469" s="9">
        <v>0.24568138195777353</v>
      </c>
    </row>
    <row r="470" spans="3:6" ht="1" customHeight="1">
      <c r="C470" s="9" t="s">
        <v>47</v>
      </c>
      <c r="D470" s="9">
        <v>1930</v>
      </c>
      <c r="E470" s="9">
        <v>1.29</v>
      </c>
      <c r="F470" s="9">
        <v>0.24760076775431863</v>
      </c>
    </row>
    <row r="471" spans="3:6" ht="1" customHeight="1">
      <c r="C471" s="9" t="s">
        <v>47</v>
      </c>
      <c r="D471" s="9">
        <v>1935</v>
      </c>
      <c r="E471" s="9">
        <v>1.42</v>
      </c>
      <c r="F471" s="9">
        <v>0.27255278310940501</v>
      </c>
    </row>
    <row r="472" spans="3:6" ht="1" customHeight="1">
      <c r="C472" s="9" t="s">
        <v>47</v>
      </c>
      <c r="D472" s="9">
        <v>1940</v>
      </c>
      <c r="E472" s="9">
        <v>1.43</v>
      </c>
      <c r="F472" s="9">
        <v>0.27447216890595011</v>
      </c>
    </row>
    <row r="473" spans="3:6" ht="1" customHeight="1">
      <c r="C473" s="9" t="s">
        <v>47</v>
      </c>
      <c r="D473" s="9">
        <v>1945</v>
      </c>
      <c r="E473" s="9">
        <v>1.41</v>
      </c>
      <c r="F473" s="9">
        <v>0.27063339731285985</v>
      </c>
    </row>
    <row r="474" spans="3:6" ht="1" customHeight="1">
      <c r="C474" s="9" t="s">
        <v>47</v>
      </c>
      <c r="D474" s="9">
        <v>1950</v>
      </c>
      <c r="E474" s="9">
        <v>1.32</v>
      </c>
      <c r="F474" s="9">
        <v>0.25335892514395397</v>
      </c>
    </row>
    <row r="475" spans="3:6" ht="1" customHeight="1">
      <c r="C475" s="9" t="s">
        <v>47</v>
      </c>
      <c r="D475" s="9">
        <v>1955</v>
      </c>
      <c r="E475" s="9">
        <v>1.35</v>
      </c>
      <c r="F475" s="9">
        <v>0.25911708253358928</v>
      </c>
    </row>
    <row r="476" spans="3:6" ht="1" customHeight="1">
      <c r="C476" s="9" t="s">
        <v>47</v>
      </c>
      <c r="D476" s="9">
        <v>1960</v>
      </c>
      <c r="E476" s="9">
        <v>1.41</v>
      </c>
      <c r="F476" s="9">
        <v>0.27063339731285985</v>
      </c>
    </row>
    <row r="477" spans="3:6" ht="1" customHeight="1">
      <c r="C477" s="9" t="s">
        <v>47</v>
      </c>
      <c r="D477" s="9">
        <v>1965</v>
      </c>
      <c r="E477" s="9">
        <v>1.51</v>
      </c>
      <c r="F477" s="9">
        <v>0.28982725527831094</v>
      </c>
    </row>
    <row r="478" spans="3:6" ht="1" customHeight="1">
      <c r="C478" s="9" t="s">
        <v>47</v>
      </c>
      <c r="D478" s="9">
        <v>1970</v>
      </c>
      <c r="E478" s="9">
        <v>1.78</v>
      </c>
      <c r="F478" s="9">
        <v>0.34165067178502878</v>
      </c>
    </row>
    <row r="479" spans="3:6" ht="1" customHeight="1">
      <c r="C479" s="9" t="s">
        <v>47</v>
      </c>
      <c r="D479" s="9">
        <v>1975</v>
      </c>
      <c r="E479" s="9">
        <v>2.11</v>
      </c>
      <c r="F479" s="9">
        <v>0.40499040307101725</v>
      </c>
    </row>
    <row r="480" spans="3:6" ht="1" customHeight="1">
      <c r="C480" s="9" t="s">
        <v>47</v>
      </c>
      <c r="D480" s="9">
        <v>1980</v>
      </c>
      <c r="E480" s="9">
        <v>2.94</v>
      </c>
      <c r="F480" s="9">
        <v>0.56429942418426104</v>
      </c>
    </row>
    <row r="481" spans="3:6" ht="1" customHeight="1">
      <c r="C481" s="9" t="s">
        <v>47</v>
      </c>
      <c r="D481" s="9">
        <v>1985</v>
      </c>
      <c r="E481" s="9">
        <v>3.27</v>
      </c>
      <c r="F481" s="9">
        <v>0.62763915547024951</v>
      </c>
    </row>
    <row r="482" spans="3:6" ht="1" customHeight="1">
      <c r="C482" s="9" t="s">
        <v>47</v>
      </c>
      <c r="D482" s="9">
        <v>1990</v>
      </c>
      <c r="E482" s="9">
        <v>3.66</v>
      </c>
      <c r="F482" s="9">
        <v>0.70249520153550871</v>
      </c>
    </row>
    <row r="483" spans="3:6" ht="1" customHeight="1">
      <c r="C483" s="9" t="s">
        <v>47</v>
      </c>
      <c r="D483" s="9">
        <v>1995</v>
      </c>
      <c r="E483" s="9">
        <v>3.96</v>
      </c>
      <c r="F483" s="9">
        <v>0.76007677543186181</v>
      </c>
    </row>
    <row r="484" spans="3:6" ht="1" customHeight="1">
      <c r="C484" s="9" t="s">
        <v>47</v>
      </c>
      <c r="D484" s="9">
        <v>2000</v>
      </c>
      <c r="E484" s="9">
        <v>4.3499999999999996</v>
      </c>
      <c r="F484" s="9">
        <v>0.83493282149712089</v>
      </c>
    </row>
    <row r="485" spans="3:6" ht="1" customHeight="1">
      <c r="C485" s="9" t="s">
        <v>47</v>
      </c>
      <c r="D485" s="9">
        <v>2005</v>
      </c>
      <c r="E485" s="9">
        <v>4.33</v>
      </c>
      <c r="F485" s="9">
        <v>0.83109404990403069</v>
      </c>
    </row>
    <row r="486" spans="3:6" ht="1" customHeight="1">
      <c r="C486" s="9" t="s">
        <v>47</v>
      </c>
      <c r="D486" s="9">
        <v>2010</v>
      </c>
      <c r="E486" s="9">
        <v>5.21</v>
      </c>
      <c r="F486" s="9">
        <v>1</v>
      </c>
    </row>
    <row r="487" spans="3:6" ht="1" customHeight="1">
      <c r="C487" s="9" t="s">
        <v>69</v>
      </c>
      <c r="D487" s="9">
        <v>1900</v>
      </c>
      <c r="E487" s="9">
        <v>1.56</v>
      </c>
      <c r="F487" s="9">
        <v>0.17333333333333334</v>
      </c>
    </row>
    <row r="488" spans="3:6" ht="1" customHeight="1">
      <c r="C488" s="9" t="s">
        <v>69</v>
      </c>
      <c r="D488" s="9">
        <v>1905</v>
      </c>
      <c r="E488" s="9">
        <v>1.79</v>
      </c>
      <c r="F488" s="9">
        <v>0.19888888888888889</v>
      </c>
    </row>
    <row r="489" spans="3:6" ht="1" customHeight="1">
      <c r="C489" s="9" t="s">
        <v>69</v>
      </c>
      <c r="D489" s="9">
        <v>1910</v>
      </c>
      <c r="E489" s="9">
        <v>1.98</v>
      </c>
      <c r="F489" s="9">
        <v>0.22</v>
      </c>
    </row>
    <row r="490" spans="3:6" ht="1" customHeight="1">
      <c r="C490" s="9" t="s">
        <v>69</v>
      </c>
      <c r="D490" s="9">
        <v>1915</v>
      </c>
      <c r="E490" s="9">
        <v>2.2999999999999998</v>
      </c>
      <c r="F490" s="9">
        <v>0.25555555555555554</v>
      </c>
    </row>
    <row r="491" spans="3:6" ht="1" customHeight="1">
      <c r="C491" s="9" t="s">
        <v>69</v>
      </c>
      <c r="D491" s="9">
        <v>1920</v>
      </c>
      <c r="E491" s="9">
        <v>2.58</v>
      </c>
      <c r="F491" s="9">
        <v>0.28666666666666668</v>
      </c>
    </row>
    <row r="492" spans="3:6" ht="1" customHeight="1">
      <c r="C492" s="9" t="s">
        <v>69</v>
      </c>
      <c r="D492" s="9">
        <v>1925</v>
      </c>
      <c r="E492" s="9">
        <v>2.75</v>
      </c>
      <c r="F492" s="9">
        <v>0.30555555555555558</v>
      </c>
    </row>
    <row r="493" spans="3:6" ht="1" customHeight="1">
      <c r="C493" s="9" t="s">
        <v>69</v>
      </c>
      <c r="D493" s="9">
        <v>1930</v>
      </c>
      <c r="E493" s="9">
        <v>2.97</v>
      </c>
      <c r="F493" s="9">
        <v>0.33</v>
      </c>
    </row>
    <row r="494" spans="3:6" ht="1" customHeight="1">
      <c r="C494" s="9" t="s">
        <v>69</v>
      </c>
      <c r="D494" s="9">
        <v>1935</v>
      </c>
      <c r="E494" s="9">
        <v>3.2</v>
      </c>
      <c r="F494" s="9">
        <v>0.35555555555555557</v>
      </c>
    </row>
    <row r="495" spans="3:6" ht="1" customHeight="1">
      <c r="C495" s="9" t="s">
        <v>69</v>
      </c>
      <c r="D495" s="9">
        <v>1940</v>
      </c>
      <c r="E495" s="9">
        <v>3.44</v>
      </c>
      <c r="F495" s="9">
        <v>0.38222222222222224</v>
      </c>
    </row>
    <row r="496" spans="3:6" ht="1" customHeight="1">
      <c r="C496" s="9" t="s">
        <v>69</v>
      </c>
      <c r="D496" s="9">
        <v>1945</v>
      </c>
      <c r="E496" s="9">
        <v>3.59</v>
      </c>
      <c r="F496" s="9">
        <v>0.39888888888888885</v>
      </c>
    </row>
    <row r="497" spans="3:6" ht="1" customHeight="1">
      <c r="C497" s="9" t="s">
        <v>69</v>
      </c>
      <c r="D497" s="9">
        <v>1950</v>
      </c>
      <c r="E497" s="9">
        <v>4.3600000000000003</v>
      </c>
      <c r="F497" s="9">
        <v>0.48444444444444446</v>
      </c>
    </row>
    <row r="498" spans="3:6" ht="1" customHeight="1">
      <c r="C498" s="9" t="s">
        <v>69</v>
      </c>
      <c r="D498" s="9">
        <v>1955</v>
      </c>
      <c r="E498" s="9">
        <v>4.5999999999999996</v>
      </c>
      <c r="F498" s="9">
        <v>0.51111111111111107</v>
      </c>
    </row>
    <row r="499" spans="3:6" ht="1" customHeight="1">
      <c r="C499" s="9" t="s">
        <v>69</v>
      </c>
      <c r="D499" s="9">
        <v>1960</v>
      </c>
      <c r="E499" s="9">
        <v>4.91</v>
      </c>
      <c r="F499" s="9">
        <v>0.54555555555555557</v>
      </c>
    </row>
    <row r="500" spans="3:6" ht="1" customHeight="1">
      <c r="C500" s="9" t="s">
        <v>69</v>
      </c>
      <c r="D500" s="9">
        <v>1965</v>
      </c>
      <c r="E500" s="9">
        <v>5.35</v>
      </c>
      <c r="F500" s="9">
        <v>0.59444444444444444</v>
      </c>
    </row>
    <row r="501" spans="3:6" ht="1" customHeight="1">
      <c r="C501" s="9" t="s">
        <v>69</v>
      </c>
      <c r="D501" s="9">
        <v>1970</v>
      </c>
      <c r="E501" s="9">
        <v>5.76</v>
      </c>
      <c r="F501" s="9">
        <v>0.64</v>
      </c>
    </row>
    <row r="502" spans="3:6" ht="1" customHeight="1">
      <c r="C502" s="9" t="s">
        <v>69</v>
      </c>
      <c r="D502" s="9">
        <v>1975</v>
      </c>
      <c r="E502" s="9">
        <v>6.16</v>
      </c>
      <c r="F502" s="9">
        <v>0.68444444444444441</v>
      </c>
    </row>
    <row r="503" spans="3:6" ht="1" customHeight="1">
      <c r="C503" s="9" t="s">
        <v>69</v>
      </c>
      <c r="D503" s="9">
        <v>1980</v>
      </c>
      <c r="E503" s="9">
        <v>6.65</v>
      </c>
      <c r="F503" s="9">
        <v>0.73888888888888893</v>
      </c>
    </row>
    <row r="504" spans="3:6" ht="1" customHeight="1">
      <c r="C504" s="9" t="s">
        <v>69</v>
      </c>
      <c r="D504" s="9">
        <v>1985</v>
      </c>
      <c r="E504" s="9">
        <v>7.04</v>
      </c>
      <c r="F504" s="9">
        <v>0.78222222222222226</v>
      </c>
    </row>
    <row r="505" spans="3:6" ht="1" customHeight="1">
      <c r="C505" s="9" t="s">
        <v>69</v>
      </c>
      <c r="D505" s="9">
        <v>1990</v>
      </c>
      <c r="E505" s="9">
        <v>7.27</v>
      </c>
      <c r="F505" s="9">
        <v>0.80777777777777771</v>
      </c>
    </row>
    <row r="506" spans="3:6" ht="1" customHeight="1">
      <c r="C506" s="9" t="s">
        <v>69</v>
      </c>
      <c r="D506" s="9">
        <v>1995</v>
      </c>
      <c r="E506" s="9">
        <v>7.92</v>
      </c>
      <c r="F506" s="9">
        <v>0.88</v>
      </c>
    </row>
    <row r="507" spans="3:6" ht="1" customHeight="1">
      <c r="C507" s="9" t="s">
        <v>69</v>
      </c>
      <c r="D507" s="9">
        <v>2000</v>
      </c>
      <c r="E507" s="9">
        <v>8.43</v>
      </c>
      <c r="F507" s="9">
        <v>0.93666666666666665</v>
      </c>
    </row>
    <row r="508" spans="3:6" ht="1" customHeight="1">
      <c r="C508" s="9" t="s">
        <v>69</v>
      </c>
      <c r="D508" s="9">
        <v>2005</v>
      </c>
      <c r="E508" s="9">
        <v>8.7899999999999991</v>
      </c>
      <c r="F508" s="9">
        <v>0.97666666666666657</v>
      </c>
    </row>
    <row r="509" spans="3:6" ht="1" customHeight="1">
      <c r="C509" s="9" t="s">
        <v>69</v>
      </c>
      <c r="D509" s="9">
        <v>2010</v>
      </c>
      <c r="E509" s="9">
        <v>9</v>
      </c>
      <c r="F509" s="9">
        <v>1</v>
      </c>
    </row>
    <row r="510" spans="3:6" ht="1" customHeight="1">
      <c r="C510" s="9" t="s">
        <v>70</v>
      </c>
      <c r="D510" s="9">
        <v>1900</v>
      </c>
      <c r="E510" s="9">
        <v>0.14000000000000001</v>
      </c>
      <c r="F510" s="9">
        <v>2.707930367504836E-2</v>
      </c>
    </row>
    <row r="511" spans="3:6" ht="1" customHeight="1">
      <c r="C511" s="9" t="s">
        <v>70</v>
      </c>
      <c r="D511" s="9">
        <v>1905</v>
      </c>
      <c r="E511" s="9">
        <v>0.2</v>
      </c>
      <c r="F511" s="9">
        <v>3.8684719535783368E-2</v>
      </c>
    </row>
    <row r="512" spans="3:6" ht="1" customHeight="1">
      <c r="C512" s="9" t="s">
        <v>70</v>
      </c>
      <c r="D512" s="9">
        <v>1910</v>
      </c>
      <c r="E512" s="9">
        <v>0.22</v>
      </c>
      <c r="F512" s="9">
        <v>4.2553191489361701E-2</v>
      </c>
    </row>
    <row r="513" spans="3:6" ht="1" customHeight="1">
      <c r="C513" s="9" t="s">
        <v>70</v>
      </c>
      <c r="D513" s="9">
        <v>1915</v>
      </c>
      <c r="E513" s="9">
        <v>0.27</v>
      </c>
      <c r="F513" s="9">
        <v>5.222437137330755E-2</v>
      </c>
    </row>
    <row r="514" spans="3:6" ht="1" customHeight="1">
      <c r="C514" s="9" t="s">
        <v>70</v>
      </c>
      <c r="D514" s="9">
        <v>1920</v>
      </c>
      <c r="E514" s="9">
        <v>0.31</v>
      </c>
      <c r="F514" s="9">
        <v>5.9961315280464215E-2</v>
      </c>
    </row>
    <row r="515" spans="3:6" ht="1" customHeight="1">
      <c r="C515" s="9" t="s">
        <v>70</v>
      </c>
      <c r="D515" s="9">
        <v>1925</v>
      </c>
      <c r="E515" s="9">
        <v>0.34</v>
      </c>
      <c r="F515" s="9">
        <v>6.5764023210831732E-2</v>
      </c>
    </row>
    <row r="516" spans="3:6" ht="1" customHeight="1">
      <c r="C516" s="9" t="s">
        <v>70</v>
      </c>
      <c r="D516" s="9">
        <v>1930</v>
      </c>
      <c r="E516" s="9">
        <v>0.4</v>
      </c>
      <c r="F516" s="9">
        <v>7.7369439071566737E-2</v>
      </c>
    </row>
    <row r="517" spans="3:6" ht="1" customHeight="1">
      <c r="C517" s="9" t="s">
        <v>70</v>
      </c>
      <c r="D517" s="9">
        <v>1935</v>
      </c>
      <c r="E517" s="9">
        <v>0.55000000000000004</v>
      </c>
      <c r="F517" s="9">
        <v>0.10638297872340427</v>
      </c>
    </row>
    <row r="518" spans="3:6" ht="1" customHeight="1">
      <c r="C518" s="9" t="s">
        <v>70</v>
      </c>
      <c r="D518" s="9">
        <v>1940</v>
      </c>
      <c r="E518" s="9">
        <v>0.72</v>
      </c>
      <c r="F518" s="9">
        <v>0.13926499032882012</v>
      </c>
    </row>
    <row r="519" spans="3:6" ht="1" customHeight="1">
      <c r="C519" s="9" t="s">
        <v>70</v>
      </c>
      <c r="D519" s="9">
        <v>1945</v>
      </c>
      <c r="E519" s="9">
        <v>0.77</v>
      </c>
      <c r="F519" s="9">
        <v>0.14893617021276595</v>
      </c>
    </row>
    <row r="520" spans="3:6" ht="1" customHeight="1">
      <c r="C520" s="9" t="s">
        <v>70</v>
      </c>
      <c r="D520" s="9">
        <v>1950</v>
      </c>
      <c r="E520" s="9">
        <v>0.6</v>
      </c>
      <c r="F520" s="9">
        <v>0.11605415860735009</v>
      </c>
    </row>
    <row r="521" spans="3:6" ht="1" customHeight="1">
      <c r="C521" s="9" t="s">
        <v>70</v>
      </c>
      <c r="D521" s="9">
        <v>1955</v>
      </c>
      <c r="E521" s="9">
        <v>0.68</v>
      </c>
      <c r="F521" s="9">
        <v>0.13152804642166346</v>
      </c>
    </row>
    <row r="522" spans="3:6" ht="1" customHeight="1">
      <c r="C522" s="9" t="s">
        <v>70</v>
      </c>
      <c r="D522" s="9">
        <v>1960</v>
      </c>
      <c r="E522" s="9">
        <v>0.83</v>
      </c>
      <c r="F522" s="9">
        <v>0.16054158607350097</v>
      </c>
    </row>
    <row r="523" spans="3:6" ht="1" customHeight="1">
      <c r="C523" s="9" t="s">
        <v>70</v>
      </c>
      <c r="D523" s="9">
        <v>1965</v>
      </c>
      <c r="E523" s="9">
        <v>0.99</v>
      </c>
      <c r="F523" s="9">
        <v>0.19148936170212766</v>
      </c>
    </row>
    <row r="524" spans="3:6" ht="1" customHeight="1">
      <c r="C524" s="9" t="s">
        <v>70</v>
      </c>
      <c r="D524" s="9">
        <v>1970</v>
      </c>
      <c r="E524" s="9">
        <v>1.22</v>
      </c>
      <c r="F524" s="9">
        <v>0.23597678916827852</v>
      </c>
    </row>
    <row r="525" spans="3:6" ht="1" customHeight="1">
      <c r="C525" s="9" t="s">
        <v>70</v>
      </c>
      <c r="D525" s="9">
        <v>1975</v>
      </c>
      <c r="E525" s="9">
        <v>1.56</v>
      </c>
      <c r="F525" s="9">
        <v>0.30174081237911027</v>
      </c>
    </row>
    <row r="526" spans="3:6" ht="1" customHeight="1">
      <c r="C526" s="9" t="s">
        <v>70</v>
      </c>
      <c r="D526" s="9">
        <v>1980</v>
      </c>
      <c r="E526" s="9">
        <v>2.0699999999999998</v>
      </c>
      <c r="F526" s="9">
        <v>0.40038684719535783</v>
      </c>
    </row>
    <row r="527" spans="3:6" ht="1" customHeight="1">
      <c r="C527" s="9" t="s">
        <v>70</v>
      </c>
      <c r="D527" s="9">
        <v>1985</v>
      </c>
      <c r="E527" s="9">
        <v>3.05</v>
      </c>
      <c r="F527" s="9">
        <v>0.58994197292069628</v>
      </c>
    </row>
    <row r="528" spans="3:6" ht="1" customHeight="1">
      <c r="C528" s="9" t="s">
        <v>70</v>
      </c>
      <c r="D528" s="9">
        <v>1990</v>
      </c>
      <c r="E528" s="9">
        <v>3.56</v>
      </c>
      <c r="F528" s="9">
        <v>0.68858800773694395</v>
      </c>
    </row>
    <row r="529" spans="3:6" ht="1" customHeight="1">
      <c r="C529" s="9" t="s">
        <v>70</v>
      </c>
      <c r="D529" s="9">
        <v>1995</v>
      </c>
      <c r="E529" s="9">
        <v>4.0599999999999996</v>
      </c>
      <c r="F529" s="9">
        <v>0.7852998065764023</v>
      </c>
    </row>
    <row r="530" spans="3:6" ht="1" customHeight="1">
      <c r="C530" s="9" t="s">
        <v>70</v>
      </c>
      <c r="D530" s="9">
        <v>2000</v>
      </c>
      <c r="E530" s="9">
        <v>4.4400000000000004</v>
      </c>
      <c r="F530" s="9">
        <v>0.85880077369439078</v>
      </c>
    </row>
    <row r="531" spans="3:6" ht="1" customHeight="1">
      <c r="C531" s="9" t="s">
        <v>70</v>
      </c>
      <c r="D531" s="9">
        <v>2005</v>
      </c>
      <c r="E531" s="9">
        <v>4.9000000000000004</v>
      </c>
      <c r="F531" s="9">
        <v>0.94777562862669251</v>
      </c>
    </row>
    <row r="532" spans="3:6" ht="1" customHeight="1">
      <c r="C532" s="9" t="s">
        <v>70</v>
      </c>
      <c r="D532" s="9">
        <v>2010</v>
      </c>
      <c r="E532" s="9">
        <v>5.17</v>
      </c>
      <c r="F532" s="9">
        <v>1</v>
      </c>
    </row>
    <row r="533" spans="3:6" ht="1" customHeight="1">
      <c r="C533" s="9" t="s">
        <v>50</v>
      </c>
      <c r="D533" s="9">
        <v>1900</v>
      </c>
      <c r="E533" s="9">
        <v>0.76</v>
      </c>
      <c r="F533" s="9">
        <v>0.11515151515151516</v>
      </c>
    </row>
    <row r="534" spans="3:6" ht="1" customHeight="1">
      <c r="C534" s="9" t="s">
        <v>50</v>
      </c>
      <c r="D534" s="9">
        <v>1905</v>
      </c>
      <c r="E534" s="9">
        <v>0.94</v>
      </c>
      <c r="F534" s="9">
        <v>0.14242424242424243</v>
      </c>
    </row>
    <row r="535" spans="3:6" ht="1" customHeight="1">
      <c r="C535" s="9" t="s">
        <v>50</v>
      </c>
      <c r="D535" s="9">
        <v>1910</v>
      </c>
      <c r="E535" s="9">
        <v>1.1000000000000001</v>
      </c>
      <c r="F535" s="9">
        <v>0.16666666666666669</v>
      </c>
    </row>
    <row r="536" spans="3:6" ht="1" customHeight="1">
      <c r="C536" s="9" t="s">
        <v>50</v>
      </c>
      <c r="D536" s="9">
        <v>1915</v>
      </c>
      <c r="E536" s="9">
        <v>1.22</v>
      </c>
      <c r="F536" s="9">
        <v>0.18484848484848485</v>
      </c>
    </row>
    <row r="537" spans="3:6" ht="1" customHeight="1">
      <c r="C537" s="9" t="s">
        <v>50</v>
      </c>
      <c r="D537" s="9">
        <v>1920</v>
      </c>
      <c r="E537" s="9">
        <v>1.52</v>
      </c>
      <c r="F537" s="9">
        <v>0.23030303030303031</v>
      </c>
    </row>
    <row r="538" spans="3:6" ht="1" customHeight="1">
      <c r="C538" s="9" t="s">
        <v>50</v>
      </c>
      <c r="D538" s="9">
        <v>1925</v>
      </c>
      <c r="E538" s="9">
        <v>1.57</v>
      </c>
      <c r="F538" s="9">
        <v>0.23787878787878791</v>
      </c>
    </row>
    <row r="539" spans="3:6" ht="1" customHeight="1">
      <c r="C539" s="9" t="s">
        <v>50</v>
      </c>
      <c r="D539" s="9">
        <v>1930</v>
      </c>
      <c r="E539" s="9">
        <v>1.55</v>
      </c>
      <c r="F539" s="9">
        <v>0.23484848484848486</v>
      </c>
    </row>
    <row r="540" spans="3:6" ht="1" customHeight="1">
      <c r="C540" s="9" t="s">
        <v>50</v>
      </c>
      <c r="D540" s="9">
        <v>1935</v>
      </c>
      <c r="E540" s="9">
        <v>1.51</v>
      </c>
      <c r="F540" s="9">
        <v>0.22878787878787879</v>
      </c>
    </row>
    <row r="541" spans="3:6" ht="1" customHeight="1">
      <c r="C541" s="9" t="s">
        <v>50</v>
      </c>
      <c r="D541" s="9">
        <v>1940</v>
      </c>
      <c r="E541" s="9">
        <v>1.52</v>
      </c>
      <c r="F541" s="9">
        <v>0.23030303030303031</v>
      </c>
    </row>
    <row r="542" spans="3:6" ht="1" customHeight="1">
      <c r="C542" s="9" t="s">
        <v>50</v>
      </c>
      <c r="D542" s="9">
        <v>1945</v>
      </c>
      <c r="E542" s="9">
        <v>1.57</v>
      </c>
      <c r="F542" s="9">
        <v>0.23787878787878791</v>
      </c>
    </row>
    <row r="543" spans="3:6" ht="1" customHeight="1">
      <c r="C543" s="9" t="s">
        <v>50</v>
      </c>
      <c r="D543" s="9">
        <v>1950</v>
      </c>
      <c r="E543" s="9">
        <v>1.65</v>
      </c>
      <c r="F543" s="9">
        <v>0.25</v>
      </c>
    </row>
    <row r="544" spans="3:6" ht="1" customHeight="1">
      <c r="C544" s="9" t="s">
        <v>50</v>
      </c>
      <c r="D544" s="9">
        <v>1955</v>
      </c>
      <c r="E544" s="9">
        <v>1.75</v>
      </c>
      <c r="F544" s="9">
        <v>0.26515151515151514</v>
      </c>
    </row>
    <row r="545" spans="3:6" ht="1" customHeight="1">
      <c r="C545" s="9" t="s">
        <v>50</v>
      </c>
      <c r="D545" s="9">
        <v>1960</v>
      </c>
      <c r="E545" s="9">
        <v>1.93</v>
      </c>
      <c r="F545" s="9">
        <v>0.29242424242424242</v>
      </c>
    </row>
    <row r="546" spans="3:6" ht="1" customHeight="1">
      <c r="C546" s="9" t="s">
        <v>50</v>
      </c>
      <c r="D546" s="9">
        <v>1965</v>
      </c>
      <c r="E546" s="9">
        <v>2.13</v>
      </c>
      <c r="F546" s="9">
        <v>0.32272727272727275</v>
      </c>
    </row>
    <row r="547" spans="3:6" ht="1" customHeight="1">
      <c r="C547" s="9" t="s">
        <v>50</v>
      </c>
      <c r="D547" s="9">
        <v>1970</v>
      </c>
      <c r="E547" s="9">
        <v>2.38</v>
      </c>
      <c r="F547" s="9">
        <v>0.3606060606060606</v>
      </c>
    </row>
    <row r="548" spans="3:6" ht="1" customHeight="1">
      <c r="C548" s="9" t="s">
        <v>50</v>
      </c>
      <c r="D548" s="9">
        <v>1975</v>
      </c>
      <c r="E548" s="9">
        <v>2.73</v>
      </c>
      <c r="F548" s="9">
        <v>0.41363636363636364</v>
      </c>
    </row>
    <row r="549" spans="3:6" ht="1" customHeight="1">
      <c r="C549" s="9" t="s">
        <v>50</v>
      </c>
      <c r="D549" s="9">
        <v>1980</v>
      </c>
      <c r="E549" s="9">
        <v>3.74</v>
      </c>
      <c r="F549" s="9">
        <v>0.56666666666666676</v>
      </c>
    </row>
    <row r="550" spans="3:6" ht="1" customHeight="1">
      <c r="C550" s="9" t="s">
        <v>50</v>
      </c>
      <c r="D550" s="9">
        <v>1985</v>
      </c>
      <c r="E550" s="9">
        <v>4.6500000000000004</v>
      </c>
      <c r="F550" s="9">
        <v>0.70454545454545459</v>
      </c>
    </row>
    <row r="551" spans="3:6" ht="1" customHeight="1">
      <c r="C551" s="9" t="s">
        <v>50</v>
      </c>
      <c r="D551" s="9">
        <v>1990</v>
      </c>
      <c r="E551" s="9">
        <v>5.07</v>
      </c>
      <c r="F551" s="9">
        <v>0.7681818181818183</v>
      </c>
    </row>
    <row r="552" spans="3:6" ht="1" customHeight="1">
      <c r="C552" s="9" t="s">
        <v>50</v>
      </c>
      <c r="D552" s="9">
        <v>1995</v>
      </c>
      <c r="E552" s="9">
        <v>5.47</v>
      </c>
      <c r="F552" s="9">
        <v>0.82878787878787874</v>
      </c>
    </row>
    <row r="553" spans="3:6" ht="1" customHeight="1">
      <c r="C553" s="9" t="s">
        <v>50</v>
      </c>
      <c r="D553" s="9">
        <v>2000</v>
      </c>
      <c r="E553" s="9">
        <v>5.87</v>
      </c>
      <c r="F553" s="9">
        <v>0.8893939393939394</v>
      </c>
    </row>
    <row r="554" spans="3:6" ht="1" customHeight="1">
      <c r="C554" s="9" t="s">
        <v>50</v>
      </c>
      <c r="D554" s="9">
        <v>2005</v>
      </c>
      <c r="E554" s="9">
        <v>6.24</v>
      </c>
      <c r="F554" s="9">
        <v>0.94545454545454555</v>
      </c>
    </row>
    <row r="555" spans="3:6" ht="1" customHeight="1">
      <c r="C555" s="9" t="s">
        <v>50</v>
      </c>
      <c r="D555" s="9">
        <v>2010</v>
      </c>
      <c r="E555" s="9">
        <v>6.6</v>
      </c>
      <c r="F555" s="9">
        <v>1</v>
      </c>
    </row>
    <row r="556" spans="3:6" ht="1" customHeight="1">
      <c r="C556" s="9" t="s">
        <v>71</v>
      </c>
      <c r="D556" s="9">
        <v>1900</v>
      </c>
      <c r="E556" s="9">
        <v>1.97</v>
      </c>
      <c r="F556" s="9">
        <v>0.19070667957405615</v>
      </c>
    </row>
    <row r="557" spans="3:6" ht="1" customHeight="1">
      <c r="C557" s="9" t="s">
        <v>71</v>
      </c>
      <c r="D557" s="9">
        <v>1905</v>
      </c>
      <c r="E557" s="9">
        <v>2.27</v>
      </c>
      <c r="F557" s="9">
        <v>0.2197483059051307</v>
      </c>
    </row>
    <row r="558" spans="3:6" ht="1" customHeight="1">
      <c r="C558" s="9" t="s">
        <v>71</v>
      </c>
      <c r="D558" s="9">
        <v>1910</v>
      </c>
      <c r="E558" s="9">
        <v>2.4700000000000002</v>
      </c>
      <c r="F558" s="9">
        <v>0.23910939012584706</v>
      </c>
    </row>
    <row r="559" spans="3:6" ht="1" customHeight="1">
      <c r="C559" s="9" t="s">
        <v>71</v>
      </c>
      <c r="D559" s="9">
        <v>1915</v>
      </c>
      <c r="E559" s="9">
        <v>2.61</v>
      </c>
      <c r="F559" s="9">
        <v>0.25266214908034851</v>
      </c>
    </row>
    <row r="560" spans="3:6" ht="1" customHeight="1">
      <c r="C560" s="9" t="s">
        <v>71</v>
      </c>
      <c r="D560" s="9">
        <v>1920</v>
      </c>
      <c r="E560" s="9">
        <v>2.76</v>
      </c>
      <c r="F560" s="9">
        <v>0.26718296224588572</v>
      </c>
    </row>
    <row r="561" spans="3:6" ht="1" customHeight="1">
      <c r="C561" s="9" t="s">
        <v>71</v>
      </c>
      <c r="D561" s="9">
        <v>1925</v>
      </c>
      <c r="E561" s="9">
        <v>2.87</v>
      </c>
      <c r="F561" s="9">
        <v>0.27783155856727976</v>
      </c>
    </row>
    <row r="562" spans="3:6" ht="1" customHeight="1">
      <c r="C562" s="9" t="s">
        <v>71</v>
      </c>
      <c r="D562" s="9">
        <v>1930</v>
      </c>
      <c r="E562" s="9">
        <v>2.98</v>
      </c>
      <c r="F562" s="9">
        <v>0.28848015488867373</v>
      </c>
    </row>
    <row r="563" spans="3:6" ht="1" customHeight="1">
      <c r="C563" s="9" t="s">
        <v>71</v>
      </c>
      <c r="D563" s="9">
        <v>1935</v>
      </c>
      <c r="E563" s="9">
        <v>3.18</v>
      </c>
      <c r="F563" s="9">
        <v>0.30784123910939015</v>
      </c>
    </row>
    <row r="564" spans="3:6" ht="1" customHeight="1">
      <c r="C564" s="9" t="s">
        <v>71</v>
      </c>
      <c r="D564" s="9">
        <v>1940</v>
      </c>
      <c r="E564" s="9">
        <v>3.36</v>
      </c>
      <c r="F564" s="9">
        <v>0.32526621490803481</v>
      </c>
    </row>
    <row r="565" spans="3:6" ht="1" customHeight="1">
      <c r="C565" s="9" t="s">
        <v>71</v>
      </c>
      <c r="D565" s="9">
        <v>1945</v>
      </c>
      <c r="E565" s="9">
        <v>3.5</v>
      </c>
      <c r="F565" s="9">
        <v>0.33881897386253629</v>
      </c>
    </row>
    <row r="566" spans="3:6" ht="1" customHeight="1">
      <c r="C566" s="9" t="s">
        <v>71</v>
      </c>
      <c r="D566" s="9">
        <v>1950</v>
      </c>
      <c r="E566" s="9">
        <v>3.64</v>
      </c>
      <c r="F566" s="9">
        <v>0.35237173281703776</v>
      </c>
    </row>
    <row r="567" spans="3:6" ht="1" customHeight="1">
      <c r="C567" s="9" t="s">
        <v>71</v>
      </c>
      <c r="D567" s="9">
        <v>1955</v>
      </c>
      <c r="E567" s="9">
        <v>3.74</v>
      </c>
      <c r="F567" s="9">
        <v>0.36205227492739595</v>
      </c>
    </row>
    <row r="568" spans="3:6" ht="1" customHeight="1">
      <c r="C568" s="9" t="s">
        <v>71</v>
      </c>
      <c r="D568" s="9">
        <v>1960</v>
      </c>
      <c r="E568" s="9">
        <v>3.93</v>
      </c>
      <c r="F568" s="9">
        <v>0.38044530493707651</v>
      </c>
    </row>
    <row r="569" spans="3:6" ht="1" customHeight="1">
      <c r="C569" s="9" t="s">
        <v>71</v>
      </c>
      <c r="D569" s="9">
        <v>1965</v>
      </c>
      <c r="E569" s="9">
        <v>4.4800000000000004</v>
      </c>
      <c r="F569" s="9">
        <v>0.43368828654404651</v>
      </c>
    </row>
    <row r="570" spans="3:6" ht="1" customHeight="1">
      <c r="C570" s="9" t="s">
        <v>71</v>
      </c>
      <c r="D570" s="9">
        <v>1970</v>
      </c>
      <c r="E570" s="9">
        <v>4.96</v>
      </c>
      <c r="F570" s="9">
        <v>0.48015488867376571</v>
      </c>
    </row>
    <row r="571" spans="3:6" ht="1" customHeight="1">
      <c r="C571" s="9" t="s">
        <v>71</v>
      </c>
      <c r="D571" s="9">
        <v>1975</v>
      </c>
      <c r="E571" s="9">
        <v>5.54</v>
      </c>
      <c r="F571" s="9">
        <v>0.53630203291384315</v>
      </c>
    </row>
    <row r="572" spans="3:6" ht="1" customHeight="1">
      <c r="C572" s="9" t="s">
        <v>71</v>
      </c>
      <c r="D572" s="9">
        <v>1980</v>
      </c>
      <c r="E572" s="9">
        <v>6.27</v>
      </c>
      <c r="F572" s="9">
        <v>0.60696999031945786</v>
      </c>
    </row>
    <row r="573" spans="3:6" ht="1" customHeight="1">
      <c r="C573" s="9" t="s">
        <v>71</v>
      </c>
      <c r="D573" s="9">
        <v>1985</v>
      </c>
      <c r="E573" s="9">
        <v>6.86</v>
      </c>
      <c r="F573" s="9">
        <v>0.66408518877057121</v>
      </c>
    </row>
    <row r="574" spans="3:6" ht="1" customHeight="1">
      <c r="C574" s="9" t="s">
        <v>71</v>
      </c>
      <c r="D574" s="9">
        <v>1990</v>
      </c>
      <c r="E574" s="9">
        <v>7.48</v>
      </c>
      <c r="F574" s="9">
        <v>0.72410454985479189</v>
      </c>
    </row>
    <row r="575" spans="3:6" ht="1" customHeight="1">
      <c r="C575" s="9" t="s">
        <v>71</v>
      </c>
      <c r="D575" s="9">
        <v>1995</v>
      </c>
      <c r="E575" s="9">
        <v>8.5500000000000007</v>
      </c>
      <c r="F575" s="9">
        <v>0.82768635043562444</v>
      </c>
    </row>
    <row r="576" spans="3:6" ht="1" customHeight="1">
      <c r="C576" s="9" t="s">
        <v>71</v>
      </c>
      <c r="D576" s="9">
        <v>2000</v>
      </c>
      <c r="E576" s="9">
        <v>9.59</v>
      </c>
      <c r="F576" s="9">
        <v>0.92836398838334944</v>
      </c>
    </row>
    <row r="577" spans="3:6" ht="1" customHeight="1">
      <c r="C577" s="9" t="s">
        <v>71</v>
      </c>
      <c r="D577" s="9">
        <v>2005</v>
      </c>
      <c r="E577" s="9">
        <v>10.09</v>
      </c>
      <c r="F577" s="9">
        <v>0.97676669893514034</v>
      </c>
    </row>
    <row r="578" spans="3:6" ht="1" customHeight="1">
      <c r="C578" s="9" t="s">
        <v>71</v>
      </c>
      <c r="D578" s="9">
        <v>2010</v>
      </c>
      <c r="E578" s="9">
        <v>10.33</v>
      </c>
      <c r="F578" s="9">
        <v>1</v>
      </c>
    </row>
    <row r="579" spans="3:6" ht="1" customHeight="1">
      <c r="C579" s="9" t="s">
        <v>52</v>
      </c>
      <c r="D579" s="9">
        <v>1900</v>
      </c>
      <c r="E579" s="9">
        <v>0.85</v>
      </c>
      <c r="F579" s="9">
        <v>9.2592592592592587E-2</v>
      </c>
    </row>
    <row r="580" spans="3:6" ht="1" customHeight="1">
      <c r="C580" s="9" t="s">
        <v>52</v>
      </c>
      <c r="D580" s="9">
        <v>1905</v>
      </c>
      <c r="E580" s="9">
        <v>1.08</v>
      </c>
      <c r="F580" s="9">
        <v>0.11764705882352942</v>
      </c>
    </row>
    <row r="581" spans="3:6" ht="1" customHeight="1">
      <c r="C581" s="9" t="s">
        <v>52</v>
      </c>
      <c r="D581" s="9">
        <v>1910</v>
      </c>
      <c r="E581" s="9">
        <v>1.33</v>
      </c>
      <c r="F581" s="9">
        <v>0.144880174291939</v>
      </c>
    </row>
    <row r="582" spans="3:6" ht="1" customHeight="1">
      <c r="C582" s="9" t="s">
        <v>52</v>
      </c>
      <c r="D582" s="9">
        <v>1915</v>
      </c>
      <c r="E582" s="9">
        <v>1.47</v>
      </c>
      <c r="F582" s="9">
        <v>0.16013071895424838</v>
      </c>
    </row>
    <row r="583" spans="3:6" ht="1" customHeight="1">
      <c r="C583" s="9" t="s">
        <v>52</v>
      </c>
      <c r="D583" s="9">
        <v>1920</v>
      </c>
      <c r="E583" s="9">
        <v>1.47</v>
      </c>
      <c r="F583" s="9">
        <v>0.16013071895424838</v>
      </c>
    </row>
    <row r="584" spans="3:6" ht="1" customHeight="1">
      <c r="C584" s="9" t="s">
        <v>52</v>
      </c>
      <c r="D584" s="9">
        <v>1925</v>
      </c>
      <c r="E584" s="9">
        <v>1.6</v>
      </c>
      <c r="F584" s="9">
        <v>0.17429193899782136</v>
      </c>
    </row>
    <row r="585" spans="3:6" ht="1" customHeight="1">
      <c r="C585" s="9" t="s">
        <v>52</v>
      </c>
      <c r="D585" s="9">
        <v>1930</v>
      </c>
      <c r="E585" s="9">
        <v>1.7</v>
      </c>
      <c r="F585" s="9">
        <v>0.18518518518518517</v>
      </c>
    </row>
    <row r="586" spans="3:6" ht="1" customHeight="1">
      <c r="C586" s="9" t="s">
        <v>52</v>
      </c>
      <c r="D586" s="9">
        <v>1935</v>
      </c>
      <c r="E586" s="9">
        <v>1.98</v>
      </c>
      <c r="F586" s="9">
        <v>0.21568627450980393</v>
      </c>
    </row>
    <row r="587" spans="3:6" ht="1" customHeight="1">
      <c r="C587" s="9" t="s">
        <v>52</v>
      </c>
      <c r="D587" s="9">
        <v>1940</v>
      </c>
      <c r="E587" s="9">
        <v>2.25</v>
      </c>
      <c r="F587" s="9">
        <v>0.24509803921568629</v>
      </c>
    </row>
    <row r="588" spans="3:6" ht="1" customHeight="1">
      <c r="C588" s="9" t="s">
        <v>52</v>
      </c>
      <c r="D588" s="9">
        <v>1945</v>
      </c>
      <c r="E588" s="9">
        <v>2.2400000000000002</v>
      </c>
      <c r="F588" s="9">
        <v>0.24400871459694992</v>
      </c>
    </row>
    <row r="589" spans="3:6" ht="1" customHeight="1">
      <c r="C589" s="9" t="s">
        <v>52</v>
      </c>
      <c r="D589" s="9">
        <v>1950</v>
      </c>
      <c r="E589" s="9">
        <v>2.2000000000000002</v>
      </c>
      <c r="F589" s="9">
        <v>0.23965141612200438</v>
      </c>
    </row>
    <row r="590" spans="3:6" ht="1" customHeight="1">
      <c r="C590" s="9" t="s">
        <v>52</v>
      </c>
      <c r="D590" s="9">
        <v>1955</v>
      </c>
      <c r="E590" s="9">
        <v>2.36</v>
      </c>
      <c r="F590" s="9">
        <v>0.2570806100217865</v>
      </c>
    </row>
    <row r="591" spans="3:6" ht="1" customHeight="1">
      <c r="C591" s="9" t="s">
        <v>52</v>
      </c>
      <c r="D591" s="9">
        <v>1960</v>
      </c>
      <c r="E591" s="9">
        <v>2.5499999999999998</v>
      </c>
      <c r="F591" s="9">
        <v>0.27777777777777779</v>
      </c>
    </row>
    <row r="592" spans="3:6" ht="1" customHeight="1">
      <c r="C592" s="9" t="s">
        <v>52</v>
      </c>
      <c r="D592" s="9">
        <v>1965</v>
      </c>
      <c r="E592" s="9">
        <v>3.02</v>
      </c>
      <c r="F592" s="9">
        <v>0.32897603485838783</v>
      </c>
    </row>
    <row r="593" spans="3:6" ht="1" customHeight="1">
      <c r="C593" s="9" t="s">
        <v>52</v>
      </c>
      <c r="D593" s="9">
        <v>1970</v>
      </c>
      <c r="E593" s="9">
        <v>3.48</v>
      </c>
      <c r="F593" s="9">
        <v>0.37908496732026142</v>
      </c>
    </row>
    <row r="594" spans="3:6" ht="1" customHeight="1">
      <c r="C594" s="9" t="s">
        <v>52</v>
      </c>
      <c r="D594" s="9">
        <v>1975</v>
      </c>
      <c r="E594" s="9">
        <v>4.1900000000000004</v>
      </c>
      <c r="F594" s="9">
        <v>0.45642701525054474</v>
      </c>
    </row>
    <row r="595" spans="3:6" ht="1" customHeight="1">
      <c r="C595" s="9" t="s">
        <v>52</v>
      </c>
      <c r="D595" s="9">
        <v>1980</v>
      </c>
      <c r="E595" s="9">
        <v>5.01</v>
      </c>
      <c r="F595" s="9">
        <v>0.54575163398692805</v>
      </c>
    </row>
    <row r="596" spans="3:6" ht="1" customHeight="1">
      <c r="C596" s="9" t="s">
        <v>52</v>
      </c>
      <c r="D596" s="9">
        <v>1985</v>
      </c>
      <c r="E596" s="9">
        <v>5.9</v>
      </c>
      <c r="F596" s="9">
        <v>0.64270152505446632</v>
      </c>
    </row>
    <row r="597" spans="3:6" ht="1" customHeight="1">
      <c r="C597" s="9" t="s">
        <v>52</v>
      </c>
      <c r="D597" s="9">
        <v>1990</v>
      </c>
      <c r="E597" s="9">
        <v>6.68</v>
      </c>
      <c r="F597" s="9">
        <v>0.72766884531590414</v>
      </c>
    </row>
    <row r="598" spans="3:6" ht="1" customHeight="1">
      <c r="C598" s="9" t="s">
        <v>52</v>
      </c>
      <c r="D598" s="9">
        <v>1995</v>
      </c>
      <c r="E598" s="9">
        <v>7.37</v>
      </c>
      <c r="F598" s="9">
        <v>0.80283224400871467</v>
      </c>
    </row>
    <row r="599" spans="3:6" ht="1" customHeight="1">
      <c r="C599" s="9" t="s">
        <v>52</v>
      </c>
      <c r="D599" s="9">
        <v>2000</v>
      </c>
      <c r="E599" s="9">
        <v>7.96</v>
      </c>
      <c r="F599" s="9">
        <v>0.86710239651416121</v>
      </c>
    </row>
    <row r="600" spans="3:6" ht="1" customHeight="1">
      <c r="C600" s="9" t="s">
        <v>52</v>
      </c>
      <c r="D600" s="9">
        <v>2005</v>
      </c>
      <c r="E600" s="9">
        <v>8.9</v>
      </c>
      <c r="F600" s="9">
        <v>0.9694989106753813</v>
      </c>
    </row>
    <row r="601" spans="3:6" ht="1" customHeight="1">
      <c r="C601" s="9" t="s">
        <v>52</v>
      </c>
      <c r="D601" s="9">
        <v>2010</v>
      </c>
      <c r="E601" s="9">
        <v>9.18</v>
      </c>
      <c r="F601" s="9">
        <v>1</v>
      </c>
    </row>
    <row r="602" spans="3:6" ht="1" customHeight="1">
      <c r="C602" s="9" t="s">
        <v>53</v>
      </c>
      <c r="D602" s="9">
        <v>1900</v>
      </c>
      <c r="E602" s="9">
        <v>0.86</v>
      </c>
      <c r="F602" s="9">
        <v>0.12609970674486803</v>
      </c>
    </row>
    <row r="603" spans="3:6" ht="1" customHeight="1">
      <c r="C603" s="9" t="s">
        <v>53</v>
      </c>
      <c r="D603" s="9">
        <v>1905</v>
      </c>
      <c r="E603" s="9">
        <v>1.01</v>
      </c>
      <c r="F603" s="9">
        <v>0.14809384164222875</v>
      </c>
    </row>
    <row r="604" spans="3:6" ht="1" customHeight="1">
      <c r="C604" s="9" t="s">
        <v>53</v>
      </c>
      <c r="D604" s="9">
        <v>1910</v>
      </c>
      <c r="E604" s="9">
        <v>1.0900000000000001</v>
      </c>
      <c r="F604" s="9">
        <v>0.15982404692082111</v>
      </c>
    </row>
    <row r="605" spans="3:6" ht="1" customHeight="1">
      <c r="C605" s="9" t="s">
        <v>53</v>
      </c>
      <c r="D605" s="9">
        <v>1915</v>
      </c>
      <c r="E605" s="9">
        <v>1.17</v>
      </c>
      <c r="F605" s="9">
        <v>0.17155425219941348</v>
      </c>
    </row>
    <row r="606" spans="3:6" ht="1" customHeight="1">
      <c r="C606" s="9" t="s">
        <v>53</v>
      </c>
      <c r="D606" s="9">
        <v>1920</v>
      </c>
      <c r="E606" s="9">
        <v>1.28</v>
      </c>
      <c r="F606" s="9">
        <v>0.18768328445747801</v>
      </c>
    </row>
    <row r="607" spans="3:6" ht="1" customHeight="1">
      <c r="C607" s="9" t="s">
        <v>53</v>
      </c>
      <c r="D607" s="9">
        <v>1925</v>
      </c>
      <c r="E607" s="9">
        <v>1.41</v>
      </c>
      <c r="F607" s="9">
        <v>0.2067448680351906</v>
      </c>
    </row>
    <row r="608" spans="3:6" ht="1" customHeight="1">
      <c r="C608" s="9" t="s">
        <v>53</v>
      </c>
      <c r="D608" s="9">
        <v>1930</v>
      </c>
      <c r="E608" s="9">
        <v>1.48</v>
      </c>
      <c r="F608" s="9">
        <v>0.21700879765395895</v>
      </c>
    </row>
    <row r="609" spans="3:6" ht="1" customHeight="1">
      <c r="C609" s="9" t="s">
        <v>53</v>
      </c>
      <c r="D609" s="9">
        <v>1935</v>
      </c>
      <c r="E609" s="9">
        <v>1.5</v>
      </c>
      <c r="F609" s="9">
        <v>0.21994134897360704</v>
      </c>
    </row>
    <row r="610" spans="3:6" ht="1" customHeight="1">
      <c r="C610" s="9" t="s">
        <v>53</v>
      </c>
      <c r="D610" s="9">
        <v>1940</v>
      </c>
      <c r="E610" s="9">
        <v>1.52</v>
      </c>
      <c r="F610" s="9">
        <v>0.22287390029325513</v>
      </c>
    </row>
    <row r="611" spans="3:6" ht="1" customHeight="1">
      <c r="C611" s="9" t="s">
        <v>53</v>
      </c>
      <c r="D611" s="9">
        <v>1945</v>
      </c>
      <c r="E611" s="9">
        <v>1.54</v>
      </c>
      <c r="F611" s="9">
        <v>0.22580645161290322</v>
      </c>
    </row>
    <row r="612" spans="3:6" ht="1" customHeight="1">
      <c r="C612" s="9" t="s">
        <v>53</v>
      </c>
      <c r="D612" s="9">
        <v>1950</v>
      </c>
      <c r="E612" s="9">
        <v>1.54</v>
      </c>
      <c r="F612" s="9">
        <v>0.22580645161290322</v>
      </c>
    </row>
    <row r="613" spans="3:6" ht="1" customHeight="1">
      <c r="C613" s="9" t="s">
        <v>53</v>
      </c>
      <c r="D613" s="9">
        <v>1955</v>
      </c>
      <c r="E613" s="9">
        <v>1.83</v>
      </c>
      <c r="F613" s="9">
        <v>0.26832844574780057</v>
      </c>
    </row>
    <row r="614" spans="3:6" ht="1" customHeight="1">
      <c r="C614" s="9" t="s">
        <v>53</v>
      </c>
      <c r="D614" s="9">
        <v>1960</v>
      </c>
      <c r="E614" s="9">
        <v>2.19</v>
      </c>
      <c r="F614" s="9">
        <v>0.32111436950146627</v>
      </c>
    </row>
    <row r="615" spans="3:6" ht="1" customHeight="1">
      <c r="C615" s="9" t="s">
        <v>53</v>
      </c>
      <c r="D615" s="9">
        <v>1965</v>
      </c>
      <c r="E615" s="9">
        <v>2.61</v>
      </c>
      <c r="F615" s="9">
        <v>0.38269794721407624</v>
      </c>
    </row>
    <row r="616" spans="3:6" ht="1" customHeight="1">
      <c r="C616" s="9" t="s">
        <v>53</v>
      </c>
      <c r="D616" s="9">
        <v>1970</v>
      </c>
      <c r="E616" s="9">
        <v>3.07</v>
      </c>
      <c r="F616" s="9">
        <v>0.45014662756598234</v>
      </c>
    </row>
    <row r="617" spans="3:6" ht="1" customHeight="1">
      <c r="C617" s="9" t="s">
        <v>53</v>
      </c>
      <c r="D617" s="9">
        <v>1975</v>
      </c>
      <c r="E617" s="9">
        <v>3.38</v>
      </c>
      <c r="F617" s="9">
        <v>0.49560117302052781</v>
      </c>
    </row>
    <row r="618" spans="3:6" ht="1" customHeight="1">
      <c r="C618" s="9" t="s">
        <v>53</v>
      </c>
      <c r="D618" s="9">
        <v>1980</v>
      </c>
      <c r="E618" s="9">
        <v>3.84</v>
      </c>
      <c r="F618" s="9">
        <v>0.56304985337243396</v>
      </c>
    </row>
    <row r="619" spans="3:6" ht="1" customHeight="1">
      <c r="C619" s="9" t="s">
        <v>53</v>
      </c>
      <c r="D619" s="9">
        <v>1985</v>
      </c>
      <c r="E619" s="9">
        <v>4.21</v>
      </c>
      <c r="F619" s="9">
        <v>0.61730205278592376</v>
      </c>
    </row>
    <row r="620" spans="3:6" ht="1" customHeight="1">
      <c r="C620" s="9" t="s">
        <v>53</v>
      </c>
      <c r="D620" s="9">
        <v>1990</v>
      </c>
      <c r="E620" s="9">
        <v>4.6399999999999997</v>
      </c>
      <c r="F620" s="9">
        <v>0.68035190615835772</v>
      </c>
    </row>
    <row r="621" spans="3:6" ht="1" customHeight="1">
      <c r="C621" s="9" t="s">
        <v>53</v>
      </c>
      <c r="D621" s="9">
        <v>1995</v>
      </c>
      <c r="E621" s="9">
        <v>5.19</v>
      </c>
      <c r="F621" s="9">
        <v>0.76099706744868034</v>
      </c>
    </row>
    <row r="622" spans="3:6" ht="1" customHeight="1">
      <c r="C622" s="9" t="s">
        <v>53</v>
      </c>
      <c r="D622" s="9">
        <v>2000</v>
      </c>
      <c r="E622" s="9">
        <v>5.7</v>
      </c>
      <c r="F622" s="9">
        <v>0.83577712609970678</v>
      </c>
    </row>
    <row r="623" spans="3:6" ht="1" customHeight="1">
      <c r="C623" s="9" t="s">
        <v>53</v>
      </c>
      <c r="D623" s="9">
        <v>2005</v>
      </c>
      <c r="E623" s="9">
        <v>6.28</v>
      </c>
      <c r="F623" s="9">
        <v>0.92082111436950143</v>
      </c>
    </row>
    <row r="624" spans="3:6" ht="1" customHeight="1">
      <c r="C624" s="9" t="s">
        <v>53</v>
      </c>
      <c r="D624" s="9">
        <v>2010</v>
      </c>
      <c r="E624" s="9">
        <v>6.82</v>
      </c>
      <c r="F624" s="9">
        <v>1</v>
      </c>
    </row>
    <row r="625" spans="3:6" ht="1" customHeight="1">
      <c r="C625" s="9" t="s">
        <v>54</v>
      </c>
      <c r="D625" s="9">
        <v>1900</v>
      </c>
      <c r="E625" s="9">
        <v>0.85</v>
      </c>
      <c r="F625" s="9">
        <v>8.7448559670781884E-2</v>
      </c>
    </row>
    <row r="626" spans="3:6" ht="1" customHeight="1">
      <c r="C626" s="9" t="s">
        <v>54</v>
      </c>
      <c r="D626" s="9">
        <v>1905</v>
      </c>
      <c r="E626" s="9">
        <v>1.06</v>
      </c>
      <c r="F626" s="9">
        <v>0.10905349794238683</v>
      </c>
    </row>
    <row r="627" spans="3:6" ht="1" customHeight="1">
      <c r="C627" s="9" t="s">
        <v>54</v>
      </c>
      <c r="D627" s="9">
        <v>1910</v>
      </c>
      <c r="E627" s="9">
        <v>1.49</v>
      </c>
      <c r="F627" s="9">
        <v>0.15329218106995884</v>
      </c>
    </row>
    <row r="628" spans="3:6" ht="1" customHeight="1">
      <c r="C628" s="9" t="s">
        <v>54</v>
      </c>
      <c r="D628" s="9">
        <v>1915</v>
      </c>
      <c r="E628" s="9">
        <v>1.74</v>
      </c>
      <c r="F628" s="9">
        <v>0.17901234567901234</v>
      </c>
    </row>
    <row r="629" spans="3:6" ht="1" customHeight="1">
      <c r="C629" s="9" t="s">
        <v>54</v>
      </c>
      <c r="D629" s="9">
        <v>1920</v>
      </c>
      <c r="E629" s="9">
        <v>1.95</v>
      </c>
      <c r="F629" s="9">
        <v>0.20061728395061726</v>
      </c>
    </row>
    <row r="630" spans="3:6" ht="1" customHeight="1">
      <c r="C630" s="9" t="s">
        <v>54</v>
      </c>
      <c r="D630" s="9">
        <v>1925</v>
      </c>
      <c r="E630" s="9">
        <v>2.16</v>
      </c>
      <c r="F630" s="9">
        <v>0.22222222222222221</v>
      </c>
    </row>
    <row r="631" spans="3:6" ht="1" customHeight="1">
      <c r="C631" s="9" t="s">
        <v>54</v>
      </c>
      <c r="D631" s="9">
        <v>1930</v>
      </c>
      <c r="E631" s="9">
        <v>2.48</v>
      </c>
      <c r="F631" s="9">
        <v>0.2551440329218107</v>
      </c>
    </row>
    <row r="632" spans="3:6" ht="1" customHeight="1">
      <c r="C632" s="9" t="s">
        <v>54</v>
      </c>
      <c r="D632" s="9">
        <v>1935</v>
      </c>
      <c r="E632" s="9">
        <v>2.91</v>
      </c>
      <c r="F632" s="9">
        <v>0.29938271604938271</v>
      </c>
    </row>
    <row r="633" spans="3:6" ht="1" customHeight="1">
      <c r="C633" s="9" t="s">
        <v>54</v>
      </c>
      <c r="D633" s="9">
        <v>1940</v>
      </c>
      <c r="E633" s="9">
        <v>3.17</v>
      </c>
      <c r="F633" s="9">
        <v>0.32613168724279834</v>
      </c>
    </row>
    <row r="634" spans="3:6" ht="1" customHeight="1">
      <c r="C634" s="9" t="s">
        <v>54</v>
      </c>
      <c r="D634" s="9">
        <v>1945</v>
      </c>
      <c r="E634" s="9">
        <v>3.43</v>
      </c>
      <c r="F634" s="9">
        <v>0.35288065843621397</v>
      </c>
    </row>
    <row r="635" spans="3:6" ht="1" customHeight="1">
      <c r="C635" s="9" t="s">
        <v>54</v>
      </c>
      <c r="D635" s="9">
        <v>1950</v>
      </c>
      <c r="E635" s="9">
        <v>3.87</v>
      </c>
      <c r="F635" s="9">
        <v>0.39814814814814814</v>
      </c>
    </row>
    <row r="636" spans="3:6" ht="1" customHeight="1">
      <c r="C636" s="9" t="s">
        <v>54</v>
      </c>
      <c r="D636" s="9">
        <v>1955</v>
      </c>
      <c r="E636" s="9">
        <v>4.26</v>
      </c>
      <c r="F636" s="9">
        <v>0.43827160493827155</v>
      </c>
    </row>
    <row r="637" spans="3:6" ht="1" customHeight="1">
      <c r="C637" s="9" t="s">
        <v>54</v>
      </c>
      <c r="D637" s="9">
        <v>1960</v>
      </c>
      <c r="E637" s="9">
        <v>4.75</v>
      </c>
      <c r="F637" s="9">
        <v>0.48868312757201643</v>
      </c>
    </row>
    <row r="638" spans="3:6" ht="1" customHeight="1">
      <c r="C638" s="9" t="s">
        <v>54</v>
      </c>
      <c r="D638" s="9">
        <v>1965</v>
      </c>
      <c r="E638" s="9">
        <v>5.01</v>
      </c>
      <c r="F638" s="9">
        <v>0.51543209876543206</v>
      </c>
    </row>
    <row r="639" spans="3:6" ht="1" customHeight="1">
      <c r="C639" s="9" t="s">
        <v>54</v>
      </c>
      <c r="D639" s="9">
        <v>1970</v>
      </c>
      <c r="E639" s="9">
        <v>5.39</v>
      </c>
      <c r="F639" s="9">
        <v>0.55452674897119336</v>
      </c>
    </row>
    <row r="640" spans="3:6" ht="1" customHeight="1">
      <c r="C640" s="9" t="s">
        <v>54</v>
      </c>
      <c r="D640" s="9">
        <v>1975</v>
      </c>
      <c r="E640" s="9">
        <v>6.1</v>
      </c>
      <c r="F640" s="9">
        <v>0.62757201646090532</v>
      </c>
    </row>
    <row r="641" spans="3:6" ht="1" customHeight="1">
      <c r="C641" s="9" t="s">
        <v>54</v>
      </c>
      <c r="D641" s="9">
        <v>1980</v>
      </c>
      <c r="E641" s="9">
        <v>6.89</v>
      </c>
      <c r="F641" s="9">
        <v>0.70884773662551437</v>
      </c>
    </row>
    <row r="642" spans="3:6" ht="1" customHeight="1">
      <c r="C642" s="9" t="s">
        <v>54</v>
      </c>
      <c r="D642" s="9">
        <v>1985</v>
      </c>
      <c r="E642" s="9">
        <v>7.59</v>
      </c>
      <c r="F642" s="9">
        <v>0.78086419753086411</v>
      </c>
    </row>
    <row r="643" spans="3:6" ht="1" customHeight="1">
      <c r="C643" s="9" t="s">
        <v>54</v>
      </c>
      <c r="D643" s="9">
        <v>1990</v>
      </c>
      <c r="E643" s="9">
        <v>8.08</v>
      </c>
      <c r="F643" s="9">
        <v>0.83127572016460904</v>
      </c>
    </row>
    <row r="644" spans="3:6" ht="1" customHeight="1">
      <c r="C644" s="9" t="s">
        <v>54</v>
      </c>
      <c r="D644" s="9">
        <v>1995</v>
      </c>
      <c r="E644" s="9">
        <v>8.7100000000000009</v>
      </c>
      <c r="F644" s="9">
        <v>0.89609053497942392</v>
      </c>
    </row>
    <row r="645" spans="3:6" ht="1" customHeight="1">
      <c r="C645" s="9" t="s">
        <v>54</v>
      </c>
      <c r="D645" s="9">
        <v>2000</v>
      </c>
      <c r="E645" s="9">
        <v>9.24</v>
      </c>
      <c r="F645" s="9">
        <v>0.95061728395061729</v>
      </c>
    </row>
    <row r="646" spans="3:6" ht="1" customHeight="1">
      <c r="C646" s="9" t="s">
        <v>54</v>
      </c>
      <c r="D646" s="9">
        <v>2005</v>
      </c>
      <c r="E646" s="9">
        <v>9.51</v>
      </c>
      <c r="F646" s="9">
        <v>0.97839506172839497</v>
      </c>
    </row>
    <row r="647" spans="3:6" ht="1" customHeight="1">
      <c r="C647" s="9" t="s">
        <v>54</v>
      </c>
      <c r="D647" s="9">
        <v>2010</v>
      </c>
      <c r="E647" s="9">
        <v>9.7200000000000006</v>
      </c>
      <c r="F647" s="9">
        <v>1</v>
      </c>
    </row>
    <row r="648" spans="3:6" ht="1" customHeight="1">
      <c r="C648" s="9" t="s">
        <v>55</v>
      </c>
      <c r="D648" s="9">
        <v>1900</v>
      </c>
      <c r="E648" s="9">
        <v>0.77</v>
      </c>
      <c r="F648" s="9">
        <v>9.6370463078848556E-2</v>
      </c>
    </row>
    <row r="649" spans="3:6" ht="1" customHeight="1">
      <c r="C649" s="9" t="s">
        <v>55</v>
      </c>
      <c r="D649" s="9">
        <v>1905</v>
      </c>
      <c r="E649" s="9">
        <v>0.95</v>
      </c>
      <c r="F649" s="9">
        <v>0.11889862327909886</v>
      </c>
    </row>
    <row r="650" spans="3:6" ht="1" customHeight="1">
      <c r="C650" s="9" t="s">
        <v>55</v>
      </c>
      <c r="D650" s="9">
        <v>1910</v>
      </c>
      <c r="E650" s="9">
        <v>1.38</v>
      </c>
      <c r="F650" s="9">
        <v>0.17271589486858571</v>
      </c>
    </row>
    <row r="651" spans="3:6" ht="1" customHeight="1">
      <c r="C651" s="9" t="s">
        <v>55</v>
      </c>
      <c r="D651" s="9">
        <v>1915</v>
      </c>
      <c r="E651" s="9">
        <v>1.58</v>
      </c>
      <c r="F651" s="9">
        <v>0.19774718397997498</v>
      </c>
    </row>
    <row r="652" spans="3:6" ht="1" customHeight="1">
      <c r="C652" s="9" t="s">
        <v>55</v>
      </c>
      <c r="D652" s="9">
        <v>1920</v>
      </c>
      <c r="E652" s="9">
        <v>1.82</v>
      </c>
      <c r="F652" s="9">
        <v>0.22778473091364204</v>
      </c>
    </row>
    <row r="653" spans="3:6" ht="1" customHeight="1">
      <c r="C653" s="9" t="s">
        <v>55</v>
      </c>
      <c r="D653" s="9">
        <v>1925</v>
      </c>
      <c r="E653" s="9">
        <v>2.17</v>
      </c>
      <c r="F653" s="9">
        <v>0.2715894868585732</v>
      </c>
    </row>
    <row r="654" spans="3:6" ht="1" customHeight="1">
      <c r="C654" s="9" t="s">
        <v>55</v>
      </c>
      <c r="D654" s="9">
        <v>1930</v>
      </c>
      <c r="E654" s="9">
        <v>2.34</v>
      </c>
      <c r="F654" s="9">
        <v>0.29286608260325403</v>
      </c>
    </row>
    <row r="655" spans="3:6" ht="1" customHeight="1">
      <c r="C655" s="9" t="s">
        <v>55</v>
      </c>
      <c r="D655" s="9">
        <v>1935</v>
      </c>
      <c r="E655" s="9">
        <v>2.54</v>
      </c>
      <c r="F655" s="9">
        <v>0.31789737171464327</v>
      </c>
    </row>
    <row r="656" spans="3:6" ht="1" customHeight="1">
      <c r="C656" s="9" t="s">
        <v>55</v>
      </c>
      <c r="D656" s="9">
        <v>1940</v>
      </c>
      <c r="E656" s="9">
        <v>2.71</v>
      </c>
      <c r="F656" s="9">
        <v>0.33917396745932415</v>
      </c>
    </row>
    <row r="657" spans="3:6" ht="1" customHeight="1">
      <c r="C657" s="9" t="s">
        <v>55</v>
      </c>
      <c r="D657" s="9">
        <v>1945</v>
      </c>
      <c r="E657" s="9">
        <v>2.94</v>
      </c>
      <c r="F657" s="9">
        <v>0.36795994993742176</v>
      </c>
    </row>
    <row r="658" spans="3:6" ht="1" customHeight="1">
      <c r="C658" s="9" t="s">
        <v>55</v>
      </c>
      <c r="D658" s="9">
        <v>1950</v>
      </c>
      <c r="E658" s="9">
        <v>2.81</v>
      </c>
      <c r="F658" s="9">
        <v>0.35168961201501875</v>
      </c>
    </row>
    <row r="659" spans="3:6" ht="1" customHeight="1">
      <c r="C659" s="9" t="s">
        <v>55</v>
      </c>
      <c r="D659" s="9">
        <v>1955</v>
      </c>
      <c r="E659" s="9">
        <v>3.08</v>
      </c>
      <c r="F659" s="9">
        <v>0.38548185231539422</v>
      </c>
    </row>
    <row r="660" spans="3:6" ht="1" customHeight="1">
      <c r="C660" s="9" t="s">
        <v>55</v>
      </c>
      <c r="D660" s="9">
        <v>1960</v>
      </c>
      <c r="E660" s="9">
        <v>3.47</v>
      </c>
      <c r="F660" s="9">
        <v>0.43429286608260326</v>
      </c>
    </row>
    <row r="661" spans="3:6" ht="1" customHeight="1">
      <c r="C661" s="9" t="s">
        <v>55</v>
      </c>
      <c r="D661" s="9">
        <v>1965</v>
      </c>
      <c r="E661" s="9">
        <v>3.79</v>
      </c>
      <c r="F661" s="9">
        <v>0.474342928660826</v>
      </c>
    </row>
    <row r="662" spans="3:6" ht="1" customHeight="1">
      <c r="C662" s="9" t="s">
        <v>55</v>
      </c>
      <c r="D662" s="9">
        <v>1970</v>
      </c>
      <c r="E662" s="9">
        <v>4.32</v>
      </c>
      <c r="F662" s="9">
        <v>0.5406758448060075</v>
      </c>
    </row>
    <row r="663" spans="3:6" ht="1" customHeight="1">
      <c r="C663" s="9" t="s">
        <v>55</v>
      </c>
      <c r="D663" s="9">
        <v>1975</v>
      </c>
      <c r="E663" s="9">
        <v>4.8499999999999996</v>
      </c>
      <c r="F663" s="9">
        <v>0.60700876095118894</v>
      </c>
    </row>
    <row r="664" spans="3:6" ht="1" customHeight="1">
      <c r="C664" s="9" t="s">
        <v>55</v>
      </c>
      <c r="D664" s="9">
        <v>1980</v>
      </c>
      <c r="E664" s="9">
        <v>5.37</v>
      </c>
      <c r="F664" s="9">
        <v>0.67209011264080099</v>
      </c>
    </row>
    <row r="665" spans="3:6" ht="1" customHeight="1">
      <c r="C665" s="9" t="s">
        <v>55</v>
      </c>
      <c r="D665" s="9">
        <v>1985</v>
      </c>
      <c r="E665" s="9">
        <v>5.96</v>
      </c>
      <c r="F665" s="9">
        <v>0.74593241551939926</v>
      </c>
    </row>
    <row r="666" spans="3:6" ht="1" customHeight="1">
      <c r="C666" s="9" t="s">
        <v>55</v>
      </c>
      <c r="D666" s="9">
        <v>1990</v>
      </c>
      <c r="E666" s="9">
        <v>6.43</v>
      </c>
      <c r="F666" s="9">
        <v>0.80475594493116387</v>
      </c>
    </row>
    <row r="667" spans="3:6" ht="1" customHeight="1">
      <c r="C667" s="9" t="s">
        <v>55</v>
      </c>
      <c r="D667" s="9">
        <v>1995</v>
      </c>
      <c r="E667" s="9">
        <v>6.4</v>
      </c>
      <c r="F667" s="9">
        <v>0.80100125156445556</v>
      </c>
    </row>
    <row r="668" spans="3:6" ht="1" customHeight="1">
      <c r="C668" s="9" t="s">
        <v>55</v>
      </c>
      <c r="D668" s="9">
        <v>2000</v>
      </c>
      <c r="E668" s="9">
        <v>6.55</v>
      </c>
      <c r="F668" s="9">
        <v>0.81977471839799743</v>
      </c>
    </row>
    <row r="669" spans="3:6" ht="1" customHeight="1">
      <c r="C669" s="9" t="s">
        <v>55</v>
      </c>
      <c r="D669" s="9">
        <v>2005</v>
      </c>
      <c r="E669" s="9">
        <v>8.0299999999999994</v>
      </c>
      <c r="F669" s="9">
        <v>1.0050062578222778</v>
      </c>
    </row>
    <row r="670" spans="3:6" ht="1" customHeight="1">
      <c r="C670" s="9" t="s">
        <v>55</v>
      </c>
      <c r="D670" s="9">
        <v>2010</v>
      </c>
      <c r="E670" s="9">
        <v>7.99</v>
      </c>
      <c r="F670" s="9">
        <v>1</v>
      </c>
    </row>
    <row r="671" spans="3:6" ht="1" customHeight="1">
      <c r="C671" s="9" t="s">
        <v>56</v>
      </c>
      <c r="D671" s="9">
        <v>1900</v>
      </c>
      <c r="E671" s="9">
        <v>0.22</v>
      </c>
      <c r="F671" s="9">
        <v>2.370689655172414E-2</v>
      </c>
    </row>
    <row r="672" spans="3:6" ht="1" customHeight="1">
      <c r="C672" s="9" t="s">
        <v>56</v>
      </c>
      <c r="D672" s="9">
        <v>1905</v>
      </c>
      <c r="E672" s="9">
        <v>0.47</v>
      </c>
      <c r="F672" s="9">
        <v>5.0646551724137935E-2</v>
      </c>
    </row>
    <row r="673" spans="3:6" ht="1" customHeight="1">
      <c r="C673" s="9" t="s">
        <v>56</v>
      </c>
      <c r="D673" s="9">
        <v>1910</v>
      </c>
      <c r="E673" s="9">
        <v>0.71</v>
      </c>
      <c r="F673" s="9">
        <v>7.650862068965518E-2</v>
      </c>
    </row>
    <row r="674" spans="3:6" ht="1" customHeight="1">
      <c r="C674" s="9" t="s">
        <v>56</v>
      </c>
      <c r="D674" s="9">
        <v>1915</v>
      </c>
      <c r="E674" s="9">
        <v>0.9</v>
      </c>
      <c r="F674" s="9">
        <v>9.6982758620689669E-2</v>
      </c>
    </row>
    <row r="675" spans="3:6" ht="1" customHeight="1">
      <c r="C675" s="9" t="s">
        <v>56</v>
      </c>
      <c r="D675" s="9">
        <v>1920</v>
      </c>
      <c r="E675" s="9">
        <v>1.44</v>
      </c>
      <c r="F675" s="9">
        <v>0.15517241379310345</v>
      </c>
    </row>
    <row r="676" spans="3:6" ht="1" customHeight="1">
      <c r="C676" s="9" t="s">
        <v>56</v>
      </c>
      <c r="D676" s="9">
        <v>1925</v>
      </c>
      <c r="E676" s="9">
        <v>1.68</v>
      </c>
      <c r="F676" s="9">
        <v>0.18103448275862069</v>
      </c>
    </row>
    <row r="677" spans="3:6" ht="1" customHeight="1">
      <c r="C677" s="9" t="s">
        <v>56</v>
      </c>
      <c r="D677" s="9">
        <v>1930</v>
      </c>
      <c r="E677" s="9">
        <v>1.89</v>
      </c>
      <c r="F677" s="9">
        <v>0.20366379310344829</v>
      </c>
    </row>
    <row r="678" spans="3:6" ht="1" customHeight="1">
      <c r="C678" s="9" t="s">
        <v>56</v>
      </c>
      <c r="D678" s="9">
        <v>1935</v>
      </c>
      <c r="E678" s="9">
        <v>2.15</v>
      </c>
      <c r="F678" s="9">
        <v>0.23168103448275862</v>
      </c>
    </row>
    <row r="679" spans="3:6" ht="1" customHeight="1">
      <c r="C679" s="9" t="s">
        <v>56</v>
      </c>
      <c r="D679" s="9">
        <v>1940</v>
      </c>
      <c r="E679" s="9">
        <v>2.4</v>
      </c>
      <c r="F679" s="9">
        <v>0.25862068965517243</v>
      </c>
    </row>
    <row r="680" spans="3:6" ht="1" customHeight="1">
      <c r="C680" s="9" t="s">
        <v>56</v>
      </c>
      <c r="D680" s="9">
        <v>1945</v>
      </c>
      <c r="E680" s="9">
        <v>2.72</v>
      </c>
      <c r="F680" s="9">
        <v>0.2931034482758621</v>
      </c>
    </row>
    <row r="681" spans="3:6" ht="1" customHeight="1">
      <c r="C681" s="9" t="s">
        <v>56</v>
      </c>
      <c r="D681" s="9">
        <v>1950</v>
      </c>
      <c r="E681" s="9">
        <v>2.91</v>
      </c>
      <c r="F681" s="9">
        <v>0.31357758620689657</v>
      </c>
    </row>
    <row r="682" spans="3:6" ht="1" customHeight="1">
      <c r="C682" s="9" t="s">
        <v>56</v>
      </c>
      <c r="D682" s="9">
        <v>1955</v>
      </c>
      <c r="E682" s="9">
        <v>3.1</v>
      </c>
      <c r="F682" s="9">
        <v>0.33405172413793105</v>
      </c>
    </row>
    <row r="683" spans="3:6" ht="1" customHeight="1">
      <c r="C683" s="9" t="s">
        <v>56</v>
      </c>
      <c r="D683" s="9">
        <v>1960</v>
      </c>
      <c r="E683" s="9">
        <v>3.32</v>
      </c>
      <c r="F683" s="9">
        <v>0.35775862068965519</v>
      </c>
    </row>
    <row r="684" spans="3:6" ht="1" customHeight="1">
      <c r="C684" s="9" t="s">
        <v>56</v>
      </c>
      <c r="D684" s="9">
        <v>1965</v>
      </c>
      <c r="E684" s="9">
        <v>3.79</v>
      </c>
      <c r="F684" s="9">
        <v>0.40840517241379315</v>
      </c>
    </row>
    <row r="685" spans="3:6" ht="1" customHeight="1">
      <c r="C685" s="9" t="s">
        <v>56</v>
      </c>
      <c r="D685" s="9">
        <v>1970</v>
      </c>
      <c r="E685" s="9">
        <v>4.47</v>
      </c>
      <c r="F685" s="9">
        <v>0.48168103448275862</v>
      </c>
    </row>
    <row r="686" spans="3:6" ht="1" customHeight="1">
      <c r="C686" s="9" t="s">
        <v>56</v>
      </c>
      <c r="D686" s="9">
        <v>1975</v>
      </c>
      <c r="E686" s="9">
        <v>5.43</v>
      </c>
      <c r="F686" s="9">
        <v>0.58512931034482762</v>
      </c>
    </row>
    <row r="687" spans="3:6" ht="1" customHeight="1">
      <c r="C687" s="9" t="s">
        <v>56</v>
      </c>
      <c r="D687" s="9">
        <v>1980</v>
      </c>
      <c r="E687" s="9">
        <v>6.2</v>
      </c>
      <c r="F687" s="9">
        <v>0.6681034482758621</v>
      </c>
    </row>
    <row r="688" spans="3:6" ht="1" customHeight="1">
      <c r="C688" s="9" t="s">
        <v>56</v>
      </c>
      <c r="D688" s="9">
        <v>1985</v>
      </c>
      <c r="E688" s="9">
        <v>6.75</v>
      </c>
      <c r="F688" s="9">
        <v>0.72737068965517249</v>
      </c>
    </row>
    <row r="689" spans="3:6" ht="1" customHeight="1">
      <c r="C689" s="9" t="s">
        <v>56</v>
      </c>
      <c r="D689" s="9">
        <v>1990</v>
      </c>
      <c r="E689" s="9">
        <v>7.39</v>
      </c>
      <c r="F689" s="9">
        <v>0.79633620689655171</v>
      </c>
    </row>
    <row r="690" spans="3:6" ht="1" customHeight="1">
      <c r="C690" s="9" t="s">
        <v>56</v>
      </c>
      <c r="D690" s="9">
        <v>1995</v>
      </c>
      <c r="E690" s="9">
        <v>8.09</v>
      </c>
      <c r="F690" s="9">
        <v>0.87176724137931039</v>
      </c>
    </row>
    <row r="691" spans="3:6" ht="1" customHeight="1">
      <c r="C691" s="9" t="s">
        <v>56</v>
      </c>
      <c r="D691" s="9">
        <v>2000</v>
      </c>
      <c r="E691" s="9">
        <v>9.0500000000000007</v>
      </c>
      <c r="F691" s="9">
        <v>0.97521551724137945</v>
      </c>
    </row>
    <row r="692" spans="3:6" ht="1" customHeight="1">
      <c r="C692" s="9" t="s">
        <v>56</v>
      </c>
      <c r="D692" s="9">
        <v>2005</v>
      </c>
      <c r="E692" s="9">
        <v>9.8800000000000008</v>
      </c>
      <c r="F692" s="9">
        <v>1.0646551724137934</v>
      </c>
    </row>
    <row r="693" spans="3:6" ht="1" customHeight="1">
      <c r="C693" s="9" t="s">
        <v>56</v>
      </c>
      <c r="D693" s="9">
        <v>2010</v>
      </c>
      <c r="E693" s="9">
        <v>9.2799999999999994</v>
      </c>
      <c r="F693" s="9">
        <v>1</v>
      </c>
    </row>
    <row r="694" spans="3:6" ht="1" customHeight="1">
      <c r="C694" s="9" t="s">
        <v>72</v>
      </c>
      <c r="D694" s="9">
        <v>1900</v>
      </c>
      <c r="E694" s="9">
        <v>1.66</v>
      </c>
      <c r="F694" s="9">
        <v>0.15145985401459852</v>
      </c>
    </row>
    <row r="695" spans="3:6" ht="1" customHeight="1">
      <c r="C695" s="9" t="s">
        <v>72</v>
      </c>
      <c r="D695" s="9">
        <v>1905</v>
      </c>
      <c r="E695" s="9">
        <v>2</v>
      </c>
      <c r="F695" s="9">
        <v>0.18248175182481752</v>
      </c>
    </row>
    <row r="696" spans="3:6" ht="1" customHeight="1">
      <c r="C696" s="9" t="s">
        <v>72</v>
      </c>
      <c r="D696" s="9">
        <v>1910</v>
      </c>
      <c r="E696" s="9">
        <v>2.41</v>
      </c>
      <c r="F696" s="9">
        <v>0.2198905109489051</v>
      </c>
    </row>
    <row r="697" spans="3:6" ht="1" customHeight="1">
      <c r="C697" s="9" t="s">
        <v>72</v>
      </c>
      <c r="D697" s="9">
        <v>1915</v>
      </c>
      <c r="E697" s="9">
        <v>2.92</v>
      </c>
      <c r="F697" s="9">
        <v>0.26642335766423353</v>
      </c>
    </row>
    <row r="698" spans="3:6" ht="1" customHeight="1">
      <c r="C698" s="9" t="s">
        <v>72</v>
      </c>
      <c r="D698" s="9">
        <v>1920</v>
      </c>
      <c r="E698" s="9">
        <v>3.28</v>
      </c>
      <c r="F698" s="9">
        <v>0.2992700729927007</v>
      </c>
    </row>
    <row r="699" spans="3:6" ht="1" customHeight="1">
      <c r="C699" s="9" t="s">
        <v>72</v>
      </c>
      <c r="D699" s="9">
        <v>1925</v>
      </c>
      <c r="E699" s="9">
        <v>3.55</v>
      </c>
      <c r="F699" s="9">
        <v>0.32390510948905105</v>
      </c>
    </row>
    <row r="700" spans="3:6" ht="1" customHeight="1">
      <c r="C700" s="9" t="s">
        <v>72</v>
      </c>
      <c r="D700" s="9">
        <v>1930</v>
      </c>
      <c r="E700" s="9">
        <v>3.93</v>
      </c>
      <c r="F700" s="9">
        <v>0.35857664233576642</v>
      </c>
    </row>
    <row r="701" spans="3:6" ht="1" customHeight="1">
      <c r="C701" s="9" t="s">
        <v>72</v>
      </c>
      <c r="D701" s="9">
        <v>1935</v>
      </c>
      <c r="E701" s="9">
        <v>4.3</v>
      </c>
      <c r="F701" s="9">
        <v>0.3923357664233576</v>
      </c>
    </row>
    <row r="702" spans="3:6" ht="1" customHeight="1">
      <c r="C702" s="9" t="s">
        <v>72</v>
      </c>
      <c r="D702" s="9">
        <v>1940</v>
      </c>
      <c r="E702" s="9">
        <v>4.6100000000000003</v>
      </c>
      <c r="F702" s="9">
        <v>0.42062043795620435</v>
      </c>
    </row>
    <row r="703" spans="3:6" ht="1" customHeight="1">
      <c r="C703" s="9" t="s">
        <v>72</v>
      </c>
      <c r="D703" s="9">
        <v>1945</v>
      </c>
      <c r="E703" s="9">
        <v>4.92</v>
      </c>
      <c r="F703" s="9">
        <v>0.44890510948905105</v>
      </c>
    </row>
    <row r="704" spans="3:6" ht="1" customHeight="1">
      <c r="C704" s="9" t="s">
        <v>72</v>
      </c>
      <c r="D704" s="9">
        <v>1950</v>
      </c>
      <c r="E704" s="9">
        <v>5.16</v>
      </c>
      <c r="F704" s="9">
        <v>0.47080291970802918</v>
      </c>
    </row>
    <row r="705" spans="3:6" ht="1" customHeight="1">
      <c r="C705" s="9" t="s">
        <v>72</v>
      </c>
      <c r="D705" s="9">
        <v>1955</v>
      </c>
      <c r="E705" s="9">
        <v>5.37</v>
      </c>
      <c r="F705" s="9">
        <v>0.48996350364963503</v>
      </c>
    </row>
    <row r="706" spans="3:6" ht="1" customHeight="1">
      <c r="C706" s="9" t="s">
        <v>72</v>
      </c>
      <c r="D706" s="9">
        <v>1960</v>
      </c>
      <c r="E706" s="9">
        <v>5.73</v>
      </c>
      <c r="F706" s="9">
        <v>0.5228102189781022</v>
      </c>
    </row>
    <row r="707" spans="3:6" ht="1" customHeight="1">
      <c r="C707" s="9" t="s">
        <v>72</v>
      </c>
      <c r="D707" s="9">
        <v>1965</v>
      </c>
      <c r="E707" s="9">
        <v>6.05</v>
      </c>
      <c r="F707" s="9">
        <v>0.55200729927007297</v>
      </c>
    </row>
    <row r="708" spans="3:6" ht="1" customHeight="1">
      <c r="C708" s="9" t="s">
        <v>72</v>
      </c>
      <c r="D708" s="9">
        <v>1970</v>
      </c>
      <c r="E708" s="9">
        <v>6.51</v>
      </c>
      <c r="F708" s="9">
        <v>0.59397810218978098</v>
      </c>
    </row>
    <row r="709" spans="3:6" ht="1" customHeight="1">
      <c r="C709" s="9" t="s">
        <v>72</v>
      </c>
      <c r="D709" s="9">
        <v>1975</v>
      </c>
      <c r="E709" s="9">
        <v>7.03</v>
      </c>
      <c r="F709" s="9">
        <v>0.64142335766423353</v>
      </c>
    </row>
    <row r="710" spans="3:6" ht="1" customHeight="1">
      <c r="C710" s="9" t="s">
        <v>72</v>
      </c>
      <c r="D710" s="9">
        <v>1980</v>
      </c>
      <c r="E710" s="9">
        <v>7.57</v>
      </c>
      <c r="F710" s="9">
        <v>0.69069343065693423</v>
      </c>
    </row>
    <row r="711" spans="3:6" ht="1" customHeight="1">
      <c r="C711" s="9" t="s">
        <v>72</v>
      </c>
      <c r="D711" s="9">
        <v>1985</v>
      </c>
      <c r="E711" s="9">
        <v>8.1300000000000008</v>
      </c>
      <c r="F711" s="9">
        <v>0.74178832116788318</v>
      </c>
    </row>
    <row r="712" spans="3:6" ht="1" customHeight="1">
      <c r="C712" s="9" t="s">
        <v>72</v>
      </c>
      <c r="D712" s="9">
        <v>1990</v>
      </c>
      <c r="E712" s="9">
        <v>8.7100000000000009</v>
      </c>
      <c r="F712" s="9">
        <v>0.79470802919708028</v>
      </c>
    </row>
    <row r="713" spans="3:6" ht="1" customHeight="1">
      <c r="C713" s="9" t="s">
        <v>72</v>
      </c>
      <c r="D713" s="9">
        <v>1995</v>
      </c>
      <c r="E713" s="9">
        <v>9.2200000000000006</v>
      </c>
      <c r="F713" s="9">
        <v>0.8412408759124087</v>
      </c>
    </row>
    <row r="714" spans="3:6" ht="1" customHeight="1">
      <c r="C714" s="9" t="s">
        <v>72</v>
      </c>
      <c r="D714" s="9">
        <v>2000</v>
      </c>
      <c r="E714" s="9">
        <v>9.7200000000000006</v>
      </c>
      <c r="F714" s="9">
        <v>0.88686131386861311</v>
      </c>
    </row>
    <row r="715" spans="3:6" ht="1" customHeight="1">
      <c r="C715" s="9" t="s">
        <v>72</v>
      </c>
      <c r="D715" s="9">
        <v>2005</v>
      </c>
      <c r="E715" s="9">
        <v>10.27</v>
      </c>
      <c r="F715" s="9">
        <v>0.93704379562043782</v>
      </c>
    </row>
    <row r="716" spans="3:6" ht="1" customHeight="1">
      <c r="C716" s="9" t="s">
        <v>72</v>
      </c>
      <c r="D716" s="9">
        <v>2010</v>
      </c>
      <c r="E716" s="9">
        <v>10.96</v>
      </c>
      <c r="F716" s="9">
        <v>1</v>
      </c>
    </row>
    <row r="717" spans="3:6" ht="1" customHeight="1">
      <c r="C717" s="9" t="s">
        <v>58</v>
      </c>
      <c r="D717" s="9">
        <v>1900</v>
      </c>
      <c r="E717" s="9">
        <v>0.94</v>
      </c>
      <c r="F717" s="9">
        <v>0.1091753774680604</v>
      </c>
    </row>
    <row r="718" spans="3:6" ht="1" customHeight="1">
      <c r="C718" s="9" t="s">
        <v>58</v>
      </c>
      <c r="D718" s="9">
        <v>1905</v>
      </c>
      <c r="E718" s="9">
        <v>1.03</v>
      </c>
      <c r="F718" s="9">
        <v>0.11962833914053428</v>
      </c>
    </row>
    <row r="719" spans="3:6" ht="1" customHeight="1">
      <c r="C719" s="9" t="s">
        <v>58</v>
      </c>
      <c r="D719" s="9">
        <v>1910</v>
      </c>
      <c r="E719" s="9">
        <v>1.44</v>
      </c>
      <c r="F719" s="9">
        <v>0.1672473867595819</v>
      </c>
    </row>
    <row r="720" spans="3:6" ht="1" customHeight="1">
      <c r="C720" s="9" t="s">
        <v>58</v>
      </c>
      <c r="D720" s="9">
        <v>1915</v>
      </c>
      <c r="E720" s="9">
        <v>1.85</v>
      </c>
      <c r="F720" s="9">
        <v>0.21486643437862951</v>
      </c>
    </row>
    <row r="721" spans="3:6" ht="1" customHeight="1">
      <c r="C721" s="9" t="s">
        <v>58</v>
      </c>
      <c r="D721" s="9">
        <v>1920</v>
      </c>
      <c r="E721" s="9">
        <v>2.16</v>
      </c>
      <c r="F721" s="9">
        <v>0.25087108013937287</v>
      </c>
    </row>
    <row r="722" spans="3:6" ht="1" customHeight="1">
      <c r="C722" s="9" t="s">
        <v>58</v>
      </c>
      <c r="D722" s="9">
        <v>1925</v>
      </c>
      <c r="E722" s="9">
        <v>2.84</v>
      </c>
      <c r="F722" s="9">
        <v>0.32984901277584205</v>
      </c>
    </row>
    <row r="723" spans="3:6" ht="1" customHeight="1">
      <c r="C723" s="9" t="s">
        <v>58</v>
      </c>
      <c r="D723" s="9">
        <v>1930</v>
      </c>
      <c r="E723" s="9">
        <v>3.11</v>
      </c>
      <c r="F723" s="9">
        <v>0.36120789779326368</v>
      </c>
    </row>
    <row r="724" spans="3:6" ht="1" customHeight="1">
      <c r="C724" s="9" t="s">
        <v>58</v>
      </c>
      <c r="D724" s="9">
        <v>1935</v>
      </c>
      <c r="E724" s="9">
        <v>3.38</v>
      </c>
      <c r="F724" s="9">
        <v>0.39256678281068524</v>
      </c>
    </row>
    <row r="725" spans="3:6" ht="1" customHeight="1">
      <c r="C725" s="9" t="s">
        <v>58</v>
      </c>
      <c r="D725" s="9">
        <v>1940</v>
      </c>
      <c r="E725" s="9">
        <v>3.72</v>
      </c>
      <c r="F725" s="9">
        <v>0.43205574912891992</v>
      </c>
    </row>
    <row r="726" spans="3:6" ht="1" customHeight="1">
      <c r="C726" s="9" t="s">
        <v>58</v>
      </c>
      <c r="D726" s="9">
        <v>1945</v>
      </c>
      <c r="E726" s="9">
        <v>4.0599999999999996</v>
      </c>
      <c r="F726" s="9">
        <v>0.47154471544715448</v>
      </c>
    </row>
    <row r="727" spans="3:6" ht="1" customHeight="1">
      <c r="C727" s="9" t="s">
        <v>58</v>
      </c>
      <c r="D727" s="9">
        <v>1950</v>
      </c>
      <c r="E727" s="9">
        <v>4.47</v>
      </c>
      <c r="F727" s="9">
        <v>0.51916376306620204</v>
      </c>
    </row>
    <row r="728" spans="3:6" ht="1" customHeight="1">
      <c r="C728" s="9" t="s">
        <v>58</v>
      </c>
      <c r="D728" s="9">
        <v>1955</v>
      </c>
      <c r="E728" s="9">
        <v>4.7699999999999996</v>
      </c>
      <c r="F728" s="9">
        <v>0.55400696864111498</v>
      </c>
    </row>
    <row r="729" spans="3:6" ht="1" customHeight="1">
      <c r="C729" s="9" t="s">
        <v>58</v>
      </c>
      <c r="D729" s="9">
        <v>1960</v>
      </c>
      <c r="E729" s="9">
        <v>5.0599999999999996</v>
      </c>
      <c r="F729" s="9">
        <v>0.58768873403019739</v>
      </c>
    </row>
    <row r="730" spans="3:6" ht="1" customHeight="1">
      <c r="C730" s="9" t="s">
        <v>58</v>
      </c>
      <c r="D730" s="9">
        <v>1965</v>
      </c>
      <c r="E730" s="9">
        <v>5.43</v>
      </c>
      <c r="F730" s="9">
        <v>0.63066202090592338</v>
      </c>
    </row>
    <row r="731" spans="3:6" ht="1" customHeight="1">
      <c r="C731" s="9" t="s">
        <v>58</v>
      </c>
      <c r="D731" s="9">
        <v>1970</v>
      </c>
      <c r="E731" s="9">
        <v>5.94</v>
      </c>
      <c r="F731" s="9">
        <v>0.68989547038327537</v>
      </c>
    </row>
    <row r="732" spans="3:6" ht="1" customHeight="1">
      <c r="C732" s="9" t="s">
        <v>58</v>
      </c>
      <c r="D732" s="9">
        <v>1975</v>
      </c>
      <c r="E732" s="9">
        <v>6.45</v>
      </c>
      <c r="F732" s="9">
        <v>0.74912891986062724</v>
      </c>
    </row>
    <row r="733" spans="3:6" ht="1" customHeight="1">
      <c r="C733" s="9" t="s">
        <v>58</v>
      </c>
      <c r="D733" s="9">
        <v>1980</v>
      </c>
      <c r="E733" s="9">
        <v>6.94</v>
      </c>
      <c r="F733" s="9">
        <v>0.80603948896631838</v>
      </c>
    </row>
    <row r="734" spans="3:6" ht="1" customHeight="1">
      <c r="C734" s="9" t="s">
        <v>58</v>
      </c>
      <c r="D734" s="9">
        <v>1985</v>
      </c>
      <c r="E734" s="9">
        <v>7.4</v>
      </c>
      <c r="F734" s="9">
        <v>0.85946573751451805</v>
      </c>
    </row>
    <row r="735" spans="3:6" ht="1" customHeight="1">
      <c r="C735" s="9" t="s">
        <v>58</v>
      </c>
      <c r="D735" s="9">
        <v>1990</v>
      </c>
      <c r="E735" s="9">
        <v>7.71</v>
      </c>
      <c r="F735" s="9">
        <v>0.89547038327526141</v>
      </c>
    </row>
    <row r="736" spans="3:6" ht="1" customHeight="1">
      <c r="C736" s="9" t="s">
        <v>58</v>
      </c>
      <c r="D736" s="9">
        <v>1995</v>
      </c>
      <c r="E736" s="9">
        <v>8.08</v>
      </c>
      <c r="F736" s="9">
        <v>0.93844367015098729</v>
      </c>
    </row>
    <row r="737" spans="3:6" ht="1" customHeight="1">
      <c r="C737" s="9" t="s">
        <v>58</v>
      </c>
      <c r="D737" s="9">
        <v>2000</v>
      </c>
      <c r="E737" s="9">
        <v>8.36</v>
      </c>
      <c r="F737" s="9">
        <v>0.97096399535423927</v>
      </c>
    </row>
    <row r="738" spans="3:6" ht="1" customHeight="1">
      <c r="C738" s="9" t="s">
        <v>58</v>
      </c>
      <c r="D738" s="9">
        <v>2005</v>
      </c>
      <c r="E738" s="9">
        <v>8.5</v>
      </c>
      <c r="F738" s="9">
        <v>0.98722415795586538</v>
      </c>
    </row>
    <row r="739" spans="3:6" ht="1" customHeight="1">
      <c r="C739" s="9" t="s">
        <v>58</v>
      </c>
      <c r="D739" s="9">
        <v>2010</v>
      </c>
      <c r="E739" s="9">
        <v>8.61</v>
      </c>
      <c r="F739" s="9">
        <v>1</v>
      </c>
    </row>
    <row r="740" spans="3:6" ht="1" customHeight="1">
      <c r="C740" s="9" t="s">
        <v>59</v>
      </c>
      <c r="D740" s="9">
        <v>1900</v>
      </c>
      <c r="E740" s="9">
        <v>0.44</v>
      </c>
      <c r="F740" s="9">
        <v>5.0113895216400917E-2</v>
      </c>
    </row>
    <row r="741" spans="3:6" ht="1" customHeight="1">
      <c r="C741" s="9" t="s">
        <v>59</v>
      </c>
      <c r="D741" s="9">
        <v>1905</v>
      </c>
      <c r="E741" s="9">
        <v>0.56999999999999995</v>
      </c>
      <c r="F741" s="9">
        <v>6.4920273348519367E-2</v>
      </c>
    </row>
    <row r="742" spans="3:6" ht="1" customHeight="1">
      <c r="C742" s="9" t="s">
        <v>59</v>
      </c>
      <c r="D742" s="9">
        <v>1910</v>
      </c>
      <c r="E742" s="9">
        <v>0.63</v>
      </c>
      <c r="F742" s="9">
        <v>7.1753986332574043E-2</v>
      </c>
    </row>
    <row r="743" spans="3:6" ht="1" customHeight="1">
      <c r="C743" s="9" t="s">
        <v>59</v>
      </c>
      <c r="D743" s="9">
        <v>1915</v>
      </c>
      <c r="E743" s="9">
        <v>0.74</v>
      </c>
      <c r="F743" s="9">
        <v>8.4282460136674259E-2</v>
      </c>
    </row>
    <row r="744" spans="3:6" ht="1" customHeight="1">
      <c r="C744" s="9" t="s">
        <v>59</v>
      </c>
      <c r="D744" s="9">
        <v>1920</v>
      </c>
      <c r="E744" s="9">
        <v>0.84</v>
      </c>
      <c r="F744" s="9">
        <v>9.5671981776765377E-2</v>
      </c>
    </row>
    <row r="745" spans="3:6" ht="1" customHeight="1">
      <c r="C745" s="9" t="s">
        <v>59</v>
      </c>
      <c r="D745" s="9">
        <v>1925</v>
      </c>
      <c r="E745" s="9">
        <v>0.93</v>
      </c>
      <c r="F745" s="9">
        <v>0.1059225512528474</v>
      </c>
    </row>
    <row r="746" spans="3:6" ht="1" customHeight="1">
      <c r="C746" s="9" t="s">
        <v>59</v>
      </c>
      <c r="D746" s="9">
        <v>1930</v>
      </c>
      <c r="E746" s="9">
        <v>0.98</v>
      </c>
      <c r="F746" s="9">
        <v>0.11161731207289294</v>
      </c>
    </row>
    <row r="747" spans="3:6" ht="1" customHeight="1">
      <c r="C747" s="9" t="s">
        <v>59</v>
      </c>
      <c r="D747" s="9">
        <v>1935</v>
      </c>
      <c r="E747" s="9">
        <v>1.1499999999999999</v>
      </c>
      <c r="F747" s="9">
        <v>0.13097949886104784</v>
      </c>
    </row>
    <row r="748" spans="3:6" ht="1" customHeight="1">
      <c r="C748" s="9" t="s">
        <v>59</v>
      </c>
      <c r="D748" s="9">
        <v>1940</v>
      </c>
      <c r="E748" s="9">
        <v>1.32</v>
      </c>
      <c r="F748" s="9">
        <v>0.15034168564920275</v>
      </c>
    </row>
    <row r="749" spans="3:6" ht="1" customHeight="1">
      <c r="C749" s="9" t="s">
        <v>59</v>
      </c>
      <c r="D749" s="9">
        <v>1945</v>
      </c>
      <c r="E749" s="9">
        <v>1.59</v>
      </c>
      <c r="F749" s="9">
        <v>0.18109339407744876</v>
      </c>
    </row>
    <row r="750" spans="3:6" ht="1" customHeight="1">
      <c r="C750" s="9" t="s">
        <v>59</v>
      </c>
      <c r="D750" s="9">
        <v>1950</v>
      </c>
      <c r="E750" s="9">
        <v>1.65</v>
      </c>
      <c r="F750" s="9">
        <v>0.18792710706150342</v>
      </c>
    </row>
    <row r="751" spans="3:6" ht="1" customHeight="1">
      <c r="C751" s="9" t="s">
        <v>59</v>
      </c>
      <c r="D751" s="9">
        <v>1955</v>
      </c>
      <c r="E751" s="9">
        <v>2.0099999999999998</v>
      </c>
      <c r="F751" s="9">
        <v>0.22892938496583143</v>
      </c>
    </row>
    <row r="752" spans="3:6" ht="1" customHeight="1">
      <c r="C752" s="9" t="s">
        <v>59</v>
      </c>
      <c r="D752" s="9">
        <v>1960</v>
      </c>
      <c r="E752" s="9">
        <v>2.44</v>
      </c>
      <c r="F752" s="9">
        <v>0.27790432801822323</v>
      </c>
    </row>
    <row r="753" spans="3:6" ht="1" customHeight="1">
      <c r="C753" s="9" t="s">
        <v>59</v>
      </c>
      <c r="D753" s="9">
        <v>1965</v>
      </c>
      <c r="E753" s="9">
        <v>2.75</v>
      </c>
      <c r="F753" s="9">
        <v>0.31321184510250571</v>
      </c>
    </row>
    <row r="754" spans="3:6" ht="1" customHeight="1">
      <c r="C754" s="9" t="s">
        <v>59</v>
      </c>
      <c r="D754" s="9">
        <v>1970</v>
      </c>
      <c r="E754" s="9">
        <v>3.49</v>
      </c>
      <c r="F754" s="9">
        <v>0.39749430523918</v>
      </c>
    </row>
    <row r="755" spans="3:6" ht="1" customHeight="1">
      <c r="C755" s="9" t="s">
        <v>59</v>
      </c>
      <c r="D755" s="9">
        <v>1975</v>
      </c>
      <c r="E755" s="9">
        <v>4.51</v>
      </c>
      <c r="F755" s="9">
        <v>0.51366742596810933</v>
      </c>
    </row>
    <row r="756" spans="3:6" ht="1" customHeight="1">
      <c r="C756" s="9" t="s">
        <v>59</v>
      </c>
      <c r="D756" s="9">
        <v>1980</v>
      </c>
      <c r="E756" s="9">
        <v>5.47</v>
      </c>
      <c r="F756" s="9">
        <v>0.62300683371298404</v>
      </c>
    </row>
    <row r="757" spans="3:6" ht="1" customHeight="1">
      <c r="C757" s="9" t="s">
        <v>59</v>
      </c>
      <c r="D757" s="9">
        <v>1985</v>
      </c>
      <c r="E757" s="9">
        <v>5.33</v>
      </c>
      <c r="F757" s="9">
        <v>0.6070615034168565</v>
      </c>
    </row>
    <row r="758" spans="3:6" ht="1" customHeight="1">
      <c r="C758" s="9" t="s">
        <v>59</v>
      </c>
      <c r="D758" s="9">
        <v>1990</v>
      </c>
      <c r="E758" s="9">
        <v>5.26</v>
      </c>
      <c r="F758" s="9">
        <v>0.59908883826879278</v>
      </c>
    </row>
    <row r="759" spans="3:6" ht="1" customHeight="1">
      <c r="C759" s="9" t="s">
        <v>59</v>
      </c>
      <c r="D759" s="9">
        <v>1995</v>
      </c>
      <c r="E759" s="9">
        <v>6.11</v>
      </c>
      <c r="F759" s="9">
        <v>0.69589977220956734</v>
      </c>
    </row>
    <row r="760" spans="3:6" ht="1" customHeight="1">
      <c r="C760" s="9" t="s">
        <v>59</v>
      </c>
      <c r="D760" s="9">
        <v>2000</v>
      </c>
      <c r="E760" s="9">
        <v>7.01</v>
      </c>
      <c r="F760" s="9">
        <v>0.79840546697038728</v>
      </c>
    </row>
    <row r="761" spans="3:6" ht="1" customHeight="1">
      <c r="C761" s="9" t="s">
        <v>59</v>
      </c>
      <c r="D761" s="9">
        <v>2005</v>
      </c>
      <c r="E761" s="9">
        <v>7.8</v>
      </c>
      <c r="F761" s="9">
        <v>0.88838268792710706</v>
      </c>
    </row>
    <row r="762" spans="3:6" ht="1" customHeight="1">
      <c r="C762" s="9" t="s">
        <v>59</v>
      </c>
      <c r="D762" s="9">
        <v>2010</v>
      </c>
      <c r="E762" s="9">
        <v>8.7799999999999994</v>
      </c>
      <c r="F762" s="9">
        <v>1</v>
      </c>
    </row>
  </sheetData>
  <mergeCells count="16">
    <mergeCell ref="B63:P63"/>
    <mergeCell ref="B77:N77"/>
    <mergeCell ref="P77:T77"/>
    <mergeCell ref="C78:F78"/>
    <mergeCell ref="G78:J78"/>
    <mergeCell ref="K78:N78"/>
    <mergeCell ref="D65:F65"/>
    <mergeCell ref="G65:I65"/>
    <mergeCell ref="J65:L65"/>
    <mergeCell ref="M65:O65"/>
    <mergeCell ref="P123:AA123"/>
    <mergeCell ref="F120:J120"/>
    <mergeCell ref="B99:J99"/>
    <mergeCell ref="D123:G123"/>
    <mergeCell ref="H123:K123"/>
    <mergeCell ref="L123:O123"/>
  </mergeCells>
  <pageMargins left="0.7" right="0.7" top="0.75" bottom="0.75" header="0.3" footer="0.3"/>
  <pageSetup scale="4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6"/>
  <sheetViews>
    <sheetView zoomScale="90" zoomScaleNormal="90" zoomScaleSheetLayoutView="80" zoomScalePageLayoutView="60" workbookViewId="0">
      <selection sqref="A1:XFD1"/>
    </sheetView>
  </sheetViews>
  <sheetFormatPr defaultColWidth="8.81640625" defaultRowHeight="14.5"/>
  <cols>
    <col min="1" max="1" width="2.81640625" style="9" customWidth="1"/>
    <col min="2" max="16" width="8.81640625" style="9"/>
    <col min="17" max="17" width="4.453125" style="9" customWidth="1"/>
    <col min="18" max="16384" width="8.81640625" style="9"/>
  </cols>
  <sheetData>
    <row r="1" spans="1:17">
      <c r="A1" s="1"/>
      <c r="B1" s="1"/>
      <c r="C1" s="1"/>
      <c r="D1" s="1"/>
      <c r="E1" s="1"/>
      <c r="F1" s="1"/>
      <c r="G1" s="1"/>
      <c r="H1" s="1"/>
      <c r="I1" s="1"/>
      <c r="J1" s="1"/>
      <c r="K1" s="1"/>
      <c r="L1" s="1"/>
      <c r="M1" s="1"/>
      <c r="N1" s="1"/>
      <c r="O1" s="1"/>
      <c r="P1" s="1"/>
      <c r="Q1" s="1"/>
    </row>
    <row r="2" spans="1:17" ht="17.5">
      <c r="A2" s="1"/>
      <c r="B2" s="3" t="s">
        <v>75</v>
      </c>
      <c r="C2" s="1"/>
      <c r="D2" s="1"/>
      <c r="E2" s="1"/>
      <c r="F2" s="1"/>
      <c r="G2" s="1"/>
      <c r="H2" s="1"/>
      <c r="I2" s="1"/>
      <c r="J2" s="1"/>
      <c r="K2" s="1"/>
      <c r="L2" s="1"/>
      <c r="M2" s="1"/>
      <c r="N2" s="1"/>
      <c r="O2" s="1"/>
      <c r="P2" s="1"/>
      <c r="Q2" s="1"/>
    </row>
    <row r="3" spans="1:17">
      <c r="A3" s="1"/>
      <c r="B3" s="1"/>
      <c r="C3" s="1"/>
      <c r="D3" s="1"/>
      <c r="E3" s="1"/>
      <c r="F3" s="1"/>
      <c r="G3" s="1"/>
      <c r="H3" s="1"/>
      <c r="I3" s="1"/>
      <c r="J3" s="1"/>
      <c r="K3" s="1"/>
      <c r="L3" s="1"/>
      <c r="M3" s="1"/>
      <c r="N3" s="1"/>
      <c r="O3" s="1"/>
      <c r="P3" s="1"/>
      <c r="Q3" s="1"/>
    </row>
    <row r="4" spans="1:17">
      <c r="A4" s="1"/>
      <c r="B4" s="1"/>
      <c r="C4" s="1"/>
      <c r="D4" s="1"/>
      <c r="E4" s="1"/>
      <c r="F4" s="1"/>
      <c r="G4" s="1"/>
      <c r="H4" s="1"/>
      <c r="I4" s="1"/>
      <c r="J4" s="1"/>
      <c r="K4" s="1"/>
      <c r="L4" s="1"/>
      <c r="M4" s="1"/>
      <c r="N4" s="1"/>
      <c r="O4" s="1"/>
      <c r="P4" s="1"/>
      <c r="Q4" s="1"/>
    </row>
    <row r="5" spans="1:17">
      <c r="A5" s="1"/>
      <c r="B5" s="1"/>
      <c r="C5" s="1"/>
      <c r="D5" s="1"/>
      <c r="E5" s="1"/>
      <c r="F5" s="1"/>
      <c r="G5" s="1"/>
      <c r="H5" s="1"/>
      <c r="I5" s="1"/>
      <c r="J5" s="1"/>
      <c r="K5" s="1"/>
      <c r="L5" s="1"/>
      <c r="M5" s="1"/>
      <c r="N5" s="1"/>
      <c r="O5" s="1"/>
      <c r="P5" s="1"/>
      <c r="Q5" s="1"/>
    </row>
    <row r="6" spans="1:17">
      <c r="A6" s="1"/>
      <c r="B6" s="1"/>
      <c r="C6" s="1"/>
      <c r="D6" s="1"/>
      <c r="E6" s="1"/>
      <c r="F6" s="1"/>
      <c r="G6" s="1"/>
      <c r="H6" s="1"/>
      <c r="I6" s="1"/>
      <c r="J6" s="1"/>
      <c r="K6" s="1"/>
      <c r="L6" s="1"/>
      <c r="M6" s="1"/>
      <c r="N6" s="1"/>
      <c r="O6" s="1"/>
      <c r="P6" s="1"/>
      <c r="Q6" s="1"/>
    </row>
    <row r="7" spans="1:17">
      <c r="A7" s="1"/>
      <c r="B7" s="1"/>
      <c r="C7" s="1"/>
      <c r="D7" s="1"/>
      <c r="E7" s="1"/>
      <c r="F7" s="1"/>
      <c r="G7" s="1"/>
      <c r="H7" s="1"/>
      <c r="I7" s="1"/>
      <c r="J7" s="1"/>
      <c r="K7" s="1"/>
      <c r="L7" s="1"/>
      <c r="M7" s="1"/>
      <c r="N7" s="1"/>
      <c r="O7" s="1"/>
      <c r="P7" s="1"/>
      <c r="Q7" s="1"/>
    </row>
    <row r="8" spans="1:17">
      <c r="A8" s="1"/>
      <c r="B8" s="1"/>
      <c r="C8" s="1"/>
      <c r="D8" s="1"/>
      <c r="E8" s="1"/>
      <c r="F8" s="1"/>
      <c r="G8" s="1"/>
      <c r="H8" s="1"/>
      <c r="I8" s="1"/>
      <c r="J8" s="1"/>
      <c r="K8" s="1"/>
      <c r="L8" s="1"/>
      <c r="M8" s="1"/>
      <c r="N8" s="1"/>
      <c r="O8" s="1"/>
      <c r="P8" s="1"/>
      <c r="Q8" s="1"/>
    </row>
    <row r="9" spans="1:17">
      <c r="A9" s="1"/>
      <c r="B9" s="1"/>
      <c r="C9" s="1"/>
      <c r="D9" s="1"/>
      <c r="E9" s="1"/>
      <c r="F9" s="1"/>
      <c r="G9" s="1"/>
      <c r="H9" s="1"/>
      <c r="I9" s="1"/>
      <c r="J9" s="1"/>
      <c r="K9" s="1"/>
      <c r="L9" s="1"/>
      <c r="M9" s="1"/>
      <c r="N9" s="1"/>
      <c r="O9" s="1"/>
      <c r="P9" s="1"/>
      <c r="Q9" s="1"/>
    </row>
    <row r="10" spans="1:17">
      <c r="A10" s="1"/>
      <c r="B10" s="1"/>
      <c r="C10" s="1"/>
      <c r="D10" s="1"/>
      <c r="E10" s="1"/>
      <c r="F10" s="1"/>
      <c r="G10" s="1"/>
      <c r="H10" s="1"/>
      <c r="I10" s="1"/>
      <c r="J10" s="1"/>
      <c r="K10" s="1"/>
      <c r="L10" s="1"/>
      <c r="M10" s="1"/>
      <c r="N10" s="1"/>
      <c r="O10" s="1"/>
      <c r="P10" s="1"/>
      <c r="Q10" s="1"/>
    </row>
    <row r="11" spans="1:17">
      <c r="A11" s="1"/>
      <c r="B11" s="1"/>
      <c r="C11" s="1"/>
      <c r="D11" s="1"/>
      <c r="E11" s="1"/>
      <c r="F11" s="1"/>
      <c r="G11" s="1"/>
      <c r="H11" s="1"/>
      <c r="I11" s="1"/>
      <c r="J11" s="1"/>
      <c r="K11" s="1"/>
      <c r="L11" s="1"/>
      <c r="M11" s="1"/>
      <c r="N11" s="1"/>
      <c r="O11" s="1"/>
      <c r="P11" s="1"/>
      <c r="Q11" s="1"/>
    </row>
    <row r="12" spans="1:17">
      <c r="A12" s="1"/>
      <c r="B12" s="1"/>
      <c r="C12" s="1"/>
      <c r="D12" s="1"/>
      <c r="E12" s="1"/>
      <c r="F12" s="1"/>
      <c r="G12" s="1"/>
      <c r="H12" s="1"/>
      <c r="I12" s="1"/>
      <c r="J12" s="1"/>
      <c r="K12" s="1"/>
      <c r="L12" s="1"/>
      <c r="M12" s="1"/>
      <c r="N12" s="1"/>
      <c r="O12" s="1"/>
      <c r="P12" s="1"/>
      <c r="Q12" s="1"/>
    </row>
    <row r="13" spans="1:17">
      <c r="A13" s="1"/>
      <c r="B13" s="1"/>
      <c r="C13" s="1"/>
      <c r="D13" s="1"/>
      <c r="E13" s="1"/>
      <c r="F13" s="1"/>
      <c r="G13" s="1"/>
      <c r="H13" s="1"/>
      <c r="I13" s="1"/>
      <c r="J13" s="1"/>
      <c r="K13" s="1"/>
      <c r="L13" s="1"/>
      <c r="M13" s="1"/>
      <c r="N13" s="1"/>
      <c r="O13" s="1"/>
      <c r="P13" s="1"/>
      <c r="Q13" s="1"/>
    </row>
    <row r="14" spans="1:17">
      <c r="A14" s="1"/>
      <c r="B14" s="1"/>
      <c r="C14" s="1"/>
      <c r="D14" s="1"/>
      <c r="E14" s="1"/>
      <c r="F14" s="1"/>
      <c r="G14" s="1"/>
      <c r="H14" s="1"/>
      <c r="I14" s="1"/>
      <c r="J14" s="1"/>
      <c r="K14" s="1"/>
      <c r="L14" s="1"/>
      <c r="M14" s="1"/>
      <c r="N14" s="1"/>
      <c r="O14" s="1"/>
      <c r="P14" s="1"/>
      <c r="Q14" s="1"/>
    </row>
    <row r="15" spans="1:17">
      <c r="A15" s="1"/>
      <c r="B15" s="1"/>
      <c r="C15" s="1"/>
      <c r="D15" s="1"/>
      <c r="E15" s="1"/>
      <c r="F15" s="1"/>
      <c r="G15" s="1"/>
      <c r="H15" s="1"/>
      <c r="I15" s="1"/>
      <c r="J15" s="1"/>
      <c r="K15" s="1"/>
      <c r="L15" s="1"/>
      <c r="M15" s="1"/>
      <c r="N15" s="1"/>
      <c r="O15" s="1"/>
      <c r="P15" s="1"/>
      <c r="Q15" s="1"/>
    </row>
    <row r="16" spans="1:17">
      <c r="A16" s="1"/>
      <c r="B16" s="1"/>
      <c r="C16" s="1"/>
      <c r="D16" s="1"/>
      <c r="E16" s="1"/>
      <c r="F16" s="1"/>
      <c r="G16" s="1"/>
      <c r="H16" s="1"/>
      <c r="I16" s="1"/>
      <c r="J16" s="1"/>
      <c r="K16" s="1"/>
      <c r="L16" s="1"/>
      <c r="M16" s="1"/>
      <c r="N16" s="1"/>
      <c r="O16" s="1"/>
      <c r="P16" s="1"/>
      <c r="Q16" s="1"/>
    </row>
    <row r="17" spans="1:17">
      <c r="A17" s="1"/>
      <c r="B17" s="1"/>
      <c r="C17" s="1"/>
      <c r="D17" s="1"/>
      <c r="E17" s="1"/>
      <c r="F17" s="1"/>
      <c r="G17" s="1"/>
      <c r="H17" s="1"/>
      <c r="I17" s="1"/>
      <c r="J17" s="1"/>
      <c r="K17" s="1"/>
      <c r="L17" s="1"/>
      <c r="M17" s="1"/>
      <c r="N17" s="1"/>
      <c r="O17" s="1"/>
      <c r="P17" s="1"/>
      <c r="Q17" s="1"/>
    </row>
    <row r="18" spans="1:17">
      <c r="A18" s="1"/>
      <c r="B18" s="1"/>
      <c r="C18" s="1"/>
      <c r="D18" s="1"/>
      <c r="E18" s="1"/>
      <c r="F18" s="1"/>
      <c r="G18" s="1"/>
      <c r="H18" s="1"/>
      <c r="I18" s="1"/>
      <c r="J18" s="1"/>
      <c r="K18" s="1"/>
      <c r="L18" s="1"/>
      <c r="M18" s="1"/>
      <c r="N18" s="1"/>
      <c r="O18" s="1"/>
      <c r="P18" s="1"/>
      <c r="Q18" s="1"/>
    </row>
    <row r="19" spans="1:17">
      <c r="A19" s="1"/>
      <c r="B19" s="1"/>
      <c r="C19" s="1"/>
      <c r="D19" s="1"/>
      <c r="E19" s="1"/>
      <c r="F19" s="1"/>
      <c r="G19" s="1"/>
      <c r="H19" s="1"/>
      <c r="I19" s="1"/>
      <c r="J19" s="1"/>
      <c r="K19" s="1"/>
      <c r="L19" s="1"/>
      <c r="M19" s="1"/>
      <c r="N19" s="1"/>
      <c r="O19" s="1"/>
      <c r="P19" s="1"/>
      <c r="Q19" s="1"/>
    </row>
    <row r="20" spans="1:17">
      <c r="A20" s="1"/>
      <c r="B20" s="1"/>
      <c r="C20" s="1"/>
      <c r="D20" s="1"/>
      <c r="E20" s="1"/>
      <c r="F20" s="1"/>
      <c r="G20" s="1"/>
      <c r="H20" s="1"/>
      <c r="I20" s="1"/>
      <c r="J20" s="1"/>
      <c r="K20" s="1"/>
      <c r="L20" s="1"/>
      <c r="M20" s="1"/>
      <c r="N20" s="1"/>
      <c r="O20" s="1"/>
      <c r="P20" s="1"/>
      <c r="Q20" s="1"/>
    </row>
    <row r="21" spans="1:17">
      <c r="A21" s="1"/>
      <c r="B21" s="1"/>
      <c r="C21" s="1"/>
      <c r="D21" s="1"/>
      <c r="E21" s="1"/>
      <c r="F21" s="1"/>
      <c r="G21" s="1"/>
      <c r="H21" s="1"/>
      <c r="I21" s="1"/>
      <c r="J21" s="1"/>
      <c r="K21" s="1"/>
      <c r="L21" s="1"/>
      <c r="M21" s="1"/>
      <c r="N21" s="1"/>
      <c r="O21" s="1"/>
      <c r="P21" s="1"/>
      <c r="Q21" s="1"/>
    </row>
    <row r="22" spans="1:17">
      <c r="A22" s="1"/>
      <c r="B22" s="1"/>
      <c r="C22" s="1"/>
      <c r="D22" s="1"/>
      <c r="E22" s="1"/>
      <c r="F22" s="1"/>
      <c r="G22" s="1"/>
      <c r="H22" s="1"/>
      <c r="I22" s="1"/>
      <c r="J22" s="1"/>
      <c r="K22" s="1"/>
      <c r="L22" s="1"/>
      <c r="M22" s="1"/>
      <c r="N22" s="1"/>
      <c r="O22" s="1"/>
      <c r="P22" s="1"/>
      <c r="Q22" s="1"/>
    </row>
    <row r="23" spans="1:17">
      <c r="A23" s="1"/>
      <c r="B23" s="1"/>
      <c r="C23" s="1"/>
      <c r="D23" s="1"/>
      <c r="E23" s="1"/>
      <c r="F23" s="1"/>
      <c r="G23" s="1"/>
      <c r="H23" s="1"/>
      <c r="I23" s="1"/>
      <c r="J23" s="1"/>
      <c r="K23" s="1"/>
      <c r="L23" s="1"/>
      <c r="M23" s="1"/>
      <c r="N23" s="1"/>
      <c r="O23" s="1"/>
      <c r="P23" s="1"/>
      <c r="Q23" s="1"/>
    </row>
    <row r="24" spans="1:17">
      <c r="A24" s="1"/>
      <c r="B24" s="1"/>
      <c r="C24" s="1"/>
      <c r="D24" s="1"/>
      <c r="E24" s="1"/>
      <c r="F24" s="1"/>
      <c r="G24" s="1"/>
      <c r="H24" s="1"/>
      <c r="I24" s="1"/>
      <c r="J24" s="1"/>
      <c r="K24" s="1"/>
      <c r="L24" s="1"/>
      <c r="M24" s="1"/>
      <c r="N24" s="1"/>
      <c r="O24" s="1"/>
      <c r="P24" s="1"/>
      <c r="Q24" s="1"/>
    </row>
    <row r="25" spans="1:17">
      <c r="A25" s="1"/>
      <c r="B25" s="1"/>
      <c r="C25" s="1"/>
      <c r="D25" s="1"/>
      <c r="E25" s="1"/>
      <c r="F25" s="1"/>
      <c r="G25" s="1"/>
      <c r="H25" s="1"/>
      <c r="I25" s="1"/>
      <c r="J25" s="1"/>
      <c r="K25" s="1"/>
      <c r="L25" s="1"/>
      <c r="M25" s="1"/>
      <c r="N25" s="1"/>
      <c r="O25" s="1"/>
      <c r="P25" s="1"/>
      <c r="Q25" s="1"/>
    </row>
    <row r="26" spans="1:17">
      <c r="A26" s="1"/>
      <c r="B26" s="1"/>
      <c r="C26" s="1"/>
      <c r="D26" s="1"/>
      <c r="E26" s="1"/>
      <c r="F26" s="1"/>
      <c r="G26" s="1"/>
      <c r="H26" s="1"/>
      <c r="I26" s="1"/>
      <c r="J26" s="1"/>
      <c r="K26" s="1"/>
      <c r="L26" s="1"/>
      <c r="M26" s="1"/>
      <c r="N26" s="1"/>
      <c r="O26" s="1"/>
      <c r="P26" s="1"/>
      <c r="Q26" s="1"/>
    </row>
    <row r="27" spans="1:17">
      <c r="A27" s="1"/>
      <c r="B27" s="1"/>
      <c r="C27" s="1"/>
      <c r="D27" s="1"/>
      <c r="E27" s="1"/>
      <c r="F27" s="1"/>
      <c r="G27" s="1"/>
      <c r="H27" s="1"/>
      <c r="I27" s="1"/>
      <c r="J27" s="1"/>
      <c r="K27" s="1"/>
      <c r="L27" s="1"/>
      <c r="M27" s="1"/>
      <c r="N27" s="1"/>
      <c r="O27" s="1"/>
      <c r="P27" s="1"/>
      <c r="Q27" s="1"/>
    </row>
    <row r="28" spans="1:17">
      <c r="A28" s="1"/>
      <c r="B28" s="1"/>
      <c r="C28" s="1"/>
      <c r="D28" s="1"/>
      <c r="E28" s="1"/>
      <c r="F28" s="1"/>
      <c r="G28" s="1"/>
      <c r="H28" s="1"/>
      <c r="I28" s="1"/>
      <c r="J28" s="1"/>
      <c r="K28" s="1"/>
      <c r="L28" s="1"/>
      <c r="M28" s="1"/>
      <c r="N28" s="1"/>
      <c r="O28" s="1"/>
      <c r="P28" s="1"/>
      <c r="Q28" s="1"/>
    </row>
    <row r="29" spans="1:17">
      <c r="A29" s="1"/>
      <c r="B29" s="1"/>
      <c r="C29" s="1"/>
      <c r="D29" s="1"/>
      <c r="E29" s="1"/>
      <c r="F29" s="1"/>
      <c r="G29" s="1"/>
      <c r="H29" s="1"/>
      <c r="I29" s="1"/>
      <c r="J29" s="1"/>
      <c r="K29" s="1"/>
      <c r="L29" s="1"/>
      <c r="M29" s="1"/>
      <c r="N29" s="1"/>
      <c r="O29" s="1"/>
      <c r="P29" s="1"/>
      <c r="Q29" s="1"/>
    </row>
    <row r="30" spans="1:17">
      <c r="A30" s="1"/>
      <c r="B30" s="1"/>
      <c r="C30" s="1"/>
      <c r="D30" s="1"/>
      <c r="E30" s="1"/>
      <c r="F30" s="1"/>
      <c r="G30" s="1"/>
      <c r="H30" s="1"/>
      <c r="I30" s="1"/>
      <c r="J30" s="1"/>
      <c r="K30" s="1"/>
      <c r="L30" s="1"/>
      <c r="M30" s="1"/>
      <c r="N30" s="1"/>
      <c r="O30" s="1"/>
      <c r="P30" s="1"/>
      <c r="Q30" s="1"/>
    </row>
    <row r="31" spans="1:17">
      <c r="A31" s="1"/>
      <c r="B31" s="1"/>
      <c r="C31" s="1"/>
      <c r="D31" s="1"/>
      <c r="E31" s="1"/>
      <c r="F31" s="1"/>
      <c r="G31" s="1"/>
      <c r="H31" s="1"/>
      <c r="I31" s="1"/>
      <c r="J31" s="1"/>
      <c r="K31" s="1"/>
      <c r="L31" s="1"/>
      <c r="M31" s="1"/>
      <c r="N31" s="1"/>
      <c r="O31" s="1"/>
      <c r="P31" s="1"/>
      <c r="Q31" s="1"/>
    </row>
    <row r="32" spans="1:17">
      <c r="A32" s="1"/>
      <c r="B32" s="1"/>
      <c r="C32" s="1"/>
      <c r="D32" s="1"/>
      <c r="E32" s="1"/>
      <c r="F32" s="1"/>
      <c r="G32" s="1"/>
      <c r="H32" s="1"/>
      <c r="I32" s="1"/>
      <c r="J32" s="1"/>
      <c r="K32" s="1"/>
      <c r="L32" s="1"/>
      <c r="M32" s="1"/>
      <c r="N32" s="1"/>
      <c r="O32" s="1"/>
      <c r="P32" s="1"/>
      <c r="Q32" s="1"/>
    </row>
    <row r="33" spans="1:17">
      <c r="A33" s="1"/>
      <c r="B33" s="1"/>
      <c r="C33" s="1"/>
      <c r="D33" s="1"/>
      <c r="E33" s="1"/>
      <c r="F33" s="1"/>
      <c r="G33" s="1"/>
      <c r="H33" s="1"/>
      <c r="I33" s="1"/>
      <c r="J33" s="1"/>
      <c r="K33" s="1"/>
      <c r="L33" s="1"/>
      <c r="M33" s="1"/>
      <c r="N33" s="1"/>
      <c r="O33" s="1"/>
      <c r="P33" s="1"/>
      <c r="Q33" s="1"/>
    </row>
    <row r="34" spans="1:17">
      <c r="A34" s="1"/>
      <c r="B34" s="1"/>
      <c r="C34" s="1"/>
      <c r="D34" s="1"/>
      <c r="E34" s="1"/>
      <c r="F34" s="1"/>
      <c r="G34" s="1"/>
      <c r="H34" s="1"/>
      <c r="I34" s="1"/>
      <c r="J34" s="1"/>
      <c r="K34" s="1"/>
      <c r="L34" s="1"/>
      <c r="M34" s="1"/>
      <c r="N34" s="1"/>
      <c r="O34" s="1"/>
      <c r="P34" s="1"/>
      <c r="Q34" s="1"/>
    </row>
    <row r="35" spans="1:17">
      <c r="A35" s="1"/>
      <c r="B35" s="1"/>
      <c r="C35" s="1"/>
      <c r="D35" s="1"/>
      <c r="E35" s="1"/>
      <c r="F35" s="1"/>
      <c r="G35" s="1"/>
      <c r="H35" s="1"/>
      <c r="I35" s="1"/>
      <c r="J35" s="1"/>
      <c r="K35" s="1"/>
      <c r="L35" s="1"/>
      <c r="M35" s="1"/>
      <c r="N35" s="1"/>
      <c r="O35" s="1"/>
      <c r="P35" s="1"/>
      <c r="Q35" s="1"/>
    </row>
    <row r="36" spans="1:17" ht="132" customHeight="1">
      <c r="A36" s="16"/>
      <c r="B36" s="423" t="s">
        <v>76</v>
      </c>
      <c r="C36" s="423"/>
      <c r="D36" s="423"/>
      <c r="E36" s="423"/>
      <c r="F36" s="423"/>
      <c r="G36" s="423"/>
      <c r="H36" s="423"/>
      <c r="I36" s="423"/>
      <c r="J36" s="423"/>
      <c r="K36" s="423"/>
      <c r="L36" s="423"/>
      <c r="M36" s="423"/>
      <c r="N36" s="423"/>
      <c r="O36" s="423"/>
      <c r="P36" s="423"/>
      <c r="Q36" s="16"/>
    </row>
    <row r="37" spans="1:17" ht="19.5" customHeight="1">
      <c r="A37" s="83"/>
      <c r="B37" s="113"/>
      <c r="C37" s="113"/>
      <c r="D37" s="113"/>
      <c r="E37" s="113"/>
      <c r="F37" s="113"/>
      <c r="G37" s="113"/>
      <c r="H37" s="113"/>
      <c r="I37" s="113"/>
      <c r="J37" s="113"/>
      <c r="K37" s="113"/>
      <c r="L37" s="113"/>
      <c r="M37" s="113"/>
      <c r="N37" s="113"/>
      <c r="O37" s="113"/>
      <c r="P37" s="113"/>
      <c r="Q37" s="83"/>
    </row>
    <row r="38" spans="1:17" ht="18.75" customHeight="1">
      <c r="A38" s="1"/>
      <c r="B38" s="77"/>
      <c r="C38" s="1"/>
      <c r="D38" s="1"/>
      <c r="E38" s="1"/>
      <c r="F38" s="117" t="s">
        <v>238</v>
      </c>
      <c r="G38" s="106"/>
      <c r="H38" s="106"/>
      <c r="I38" s="114" t="s">
        <v>77</v>
      </c>
      <c r="J38" s="114" t="s">
        <v>114</v>
      </c>
      <c r="K38" s="1"/>
      <c r="L38" s="1"/>
      <c r="M38" s="77"/>
      <c r="N38" s="77"/>
      <c r="O38" s="77"/>
      <c r="P38" s="77"/>
      <c r="Q38" s="1"/>
    </row>
    <row r="39" spans="1:17" ht="18" customHeight="1">
      <c r="A39" s="1"/>
      <c r="B39" s="77"/>
      <c r="C39" s="1"/>
      <c r="D39" s="1"/>
      <c r="E39" s="1"/>
      <c r="F39" s="102" t="s">
        <v>19</v>
      </c>
      <c r="G39" s="103"/>
      <c r="H39" s="103"/>
      <c r="I39" s="115">
        <f t="shared" ref="I39:J40" si="0">Q53</f>
        <v>0.95</v>
      </c>
      <c r="J39" s="115">
        <f t="shared" si="0"/>
        <v>0.70621176414530906</v>
      </c>
      <c r="K39" s="1"/>
      <c r="L39" s="1"/>
      <c r="M39" s="77"/>
      <c r="N39" s="77"/>
      <c r="O39" s="77"/>
      <c r="P39" s="77"/>
      <c r="Q39" s="1"/>
    </row>
    <row r="40" spans="1:17" ht="18" customHeight="1">
      <c r="A40" s="1"/>
      <c r="B40" s="77"/>
      <c r="C40" s="1"/>
      <c r="D40" s="1"/>
      <c r="E40" s="1"/>
      <c r="F40" s="102" t="s">
        <v>78</v>
      </c>
      <c r="G40" s="103"/>
      <c r="H40" s="103"/>
      <c r="I40" s="115">
        <f t="shared" si="0"/>
        <v>0.93200000000000005</v>
      </c>
      <c r="J40" s="115">
        <f t="shared" si="0"/>
        <v>0.80241948271594044</v>
      </c>
      <c r="K40" s="1"/>
      <c r="L40" s="1"/>
      <c r="M40" s="77"/>
      <c r="N40" s="77"/>
      <c r="O40" s="77"/>
      <c r="P40" s="77"/>
      <c r="Q40" s="1"/>
    </row>
    <row r="41" spans="1:17" ht="18" customHeight="1">
      <c r="A41" s="1"/>
      <c r="B41" s="77"/>
      <c r="C41" s="1"/>
      <c r="D41" s="1"/>
      <c r="E41" s="1"/>
      <c r="F41" s="102" t="s">
        <v>21</v>
      </c>
      <c r="G41" s="103"/>
      <c r="H41" s="103"/>
      <c r="I41" s="115">
        <f>Q56</f>
        <v>0.66125</v>
      </c>
      <c r="J41" s="115">
        <f>R56</f>
        <v>0.50485482102270218</v>
      </c>
      <c r="K41" s="1"/>
      <c r="L41" s="1"/>
      <c r="M41" s="77"/>
      <c r="N41" s="77"/>
      <c r="O41" s="77"/>
      <c r="P41" s="77"/>
      <c r="Q41" s="1"/>
    </row>
    <row r="42" spans="1:17" ht="18" customHeight="1">
      <c r="A42" s="1"/>
      <c r="B42" s="77"/>
      <c r="C42" s="1"/>
      <c r="D42" s="1"/>
      <c r="E42" s="1"/>
      <c r="F42" s="102" t="s">
        <v>60</v>
      </c>
      <c r="G42" s="103"/>
      <c r="H42" s="103"/>
      <c r="I42" s="115">
        <f>Q74</f>
        <v>0.29565558000000003</v>
      </c>
      <c r="J42" s="115">
        <f>R74</f>
        <v>0.35475769291764253</v>
      </c>
      <c r="K42" s="1"/>
      <c r="L42" s="1"/>
      <c r="M42" s="77"/>
      <c r="N42" s="77"/>
      <c r="O42" s="41"/>
      <c r="P42" s="41"/>
      <c r="Q42" s="1"/>
    </row>
    <row r="43" spans="1:17" ht="18" customHeight="1">
      <c r="A43" s="1"/>
      <c r="B43" s="77"/>
      <c r="C43" s="1"/>
      <c r="D43" s="1"/>
      <c r="E43" s="1"/>
      <c r="F43" s="117" t="str">
        <f>E47</f>
        <v>Panama</v>
      </c>
      <c r="G43" s="106"/>
      <c r="H43" s="106"/>
      <c r="I43" s="116">
        <f>Q52</f>
        <v>0.15835260000000001</v>
      </c>
      <c r="J43" s="116" t="str">
        <f>R52</f>
        <v>NA</v>
      </c>
      <c r="K43" s="1"/>
      <c r="L43" s="1"/>
      <c r="M43" s="77"/>
      <c r="N43" s="77"/>
      <c r="O43" s="77"/>
      <c r="P43" s="77"/>
      <c r="Q43" s="1"/>
    </row>
    <row r="44" spans="1:17" ht="18" customHeight="1">
      <c r="A44" s="1"/>
      <c r="B44" s="77"/>
      <c r="C44" s="77"/>
      <c r="D44" s="77"/>
      <c r="E44" s="77"/>
      <c r="F44" s="77"/>
      <c r="G44" s="77"/>
      <c r="H44" s="77"/>
      <c r="I44" s="77"/>
      <c r="J44" s="77"/>
      <c r="K44" s="77"/>
      <c r="L44" s="77"/>
      <c r="M44" s="77"/>
      <c r="N44" s="77"/>
      <c r="O44" s="77"/>
      <c r="P44" s="77"/>
      <c r="Q44" s="1"/>
    </row>
    <row r="47" spans="1:17" ht="1" customHeight="1">
      <c r="B47" s="413" t="s">
        <v>73</v>
      </c>
      <c r="C47" s="413"/>
      <c r="D47" s="413"/>
      <c r="E47" s="413" t="str">
        <f>'Country Selection'!C5</f>
        <v>Panama</v>
      </c>
      <c r="F47" s="413"/>
      <c r="G47" s="413"/>
      <c r="H47" s="413"/>
    </row>
    <row r="48" spans="1:17" ht="1" customHeight="1"/>
    <row r="49" spans="2:18" ht="1" customHeight="1"/>
    <row r="50" spans="2:18" ht="1" customHeight="1">
      <c r="B50" s="418" t="s">
        <v>77</v>
      </c>
      <c r="C50" s="418"/>
      <c r="D50" s="418"/>
      <c r="E50" s="418"/>
      <c r="F50" s="418"/>
      <c r="G50" s="418"/>
      <c r="I50" s="10"/>
      <c r="J50" s="10"/>
      <c r="K50" s="10" t="s">
        <v>114</v>
      </c>
      <c r="L50" s="10"/>
      <c r="M50" s="10"/>
      <c r="N50" s="10"/>
    </row>
    <row r="51" spans="2:18" ht="1" customHeight="1">
      <c r="B51" s="10"/>
      <c r="C51" s="10"/>
      <c r="D51" s="10" t="s">
        <v>60</v>
      </c>
      <c r="E51" s="10" t="s">
        <v>78</v>
      </c>
      <c r="F51" s="10" t="s">
        <v>21</v>
      </c>
      <c r="G51" s="10" t="s">
        <v>19</v>
      </c>
      <c r="I51" s="10" t="s">
        <v>115</v>
      </c>
      <c r="J51" s="10" t="s">
        <v>116</v>
      </c>
      <c r="K51" s="10" t="s">
        <v>60</v>
      </c>
      <c r="L51" s="10" t="s">
        <v>117</v>
      </c>
      <c r="M51" s="10" t="s">
        <v>21</v>
      </c>
      <c r="N51" s="10" t="s">
        <v>22</v>
      </c>
      <c r="P51" s="10"/>
      <c r="Q51" s="10" t="s">
        <v>160</v>
      </c>
      <c r="R51" s="10" t="s">
        <v>161</v>
      </c>
    </row>
    <row r="52" spans="2:18" ht="1" customHeight="1">
      <c r="B52" s="10" t="s">
        <v>79</v>
      </c>
      <c r="C52" s="10">
        <v>100</v>
      </c>
      <c r="D52" s="10"/>
      <c r="E52" s="10">
        <v>1</v>
      </c>
      <c r="F52" s="10"/>
      <c r="G52" s="10"/>
      <c r="I52" s="10" t="s">
        <v>89</v>
      </c>
      <c r="J52" s="52">
        <v>21.974472346336015</v>
      </c>
      <c r="K52" s="10"/>
      <c r="L52" s="10">
        <v>1</v>
      </c>
      <c r="M52" s="10"/>
      <c r="N52" s="10"/>
      <c r="P52" s="10" t="str">
        <f>E47</f>
        <v>Panama</v>
      </c>
      <c r="Q52" s="47">
        <f>VLOOKUP(P52,P58:R74,2,FALSE)</f>
        <v>0.15835260000000001</v>
      </c>
      <c r="R52" s="47" t="str">
        <f>VLOOKUP(P52,P58:R74,3,FALSE)</f>
        <v>NA</v>
      </c>
    </row>
    <row r="53" spans="2:18" ht="1" customHeight="1">
      <c r="B53" s="10" t="s">
        <v>80</v>
      </c>
      <c r="C53" s="10">
        <v>92</v>
      </c>
      <c r="D53" s="10"/>
      <c r="E53" s="10"/>
      <c r="F53" s="10"/>
      <c r="G53" s="10"/>
      <c r="I53" s="10" t="s">
        <v>94</v>
      </c>
      <c r="J53" s="52">
        <v>21.751384951554932</v>
      </c>
      <c r="K53" s="10"/>
      <c r="L53" s="10">
        <v>1</v>
      </c>
      <c r="M53" s="10"/>
      <c r="N53" s="10"/>
      <c r="P53" s="10" t="s">
        <v>19</v>
      </c>
      <c r="Q53" s="47">
        <f>G101</f>
        <v>0.95</v>
      </c>
      <c r="R53" s="47">
        <f>N126</f>
        <v>0.70621176414530906</v>
      </c>
    </row>
    <row r="54" spans="2:18" ht="1" customHeight="1">
      <c r="B54" s="10" t="s">
        <v>81</v>
      </c>
      <c r="C54" s="10">
        <v>94</v>
      </c>
      <c r="D54" s="10"/>
      <c r="E54" s="10"/>
      <c r="F54" s="10"/>
      <c r="G54" s="10"/>
      <c r="I54" s="10" t="s">
        <v>118</v>
      </c>
      <c r="J54" s="52">
        <v>20.062661193175785</v>
      </c>
      <c r="K54" s="10"/>
      <c r="L54" s="10">
        <v>1</v>
      </c>
      <c r="M54" s="10"/>
      <c r="N54" s="10"/>
      <c r="P54" s="10" t="s">
        <v>78</v>
      </c>
      <c r="Q54" s="47">
        <f>E101</f>
        <v>0.93200000000000005</v>
      </c>
      <c r="R54" s="47">
        <f>L126</f>
        <v>0.80241948271594044</v>
      </c>
    </row>
    <row r="55" spans="2:18" ht="1" customHeight="1">
      <c r="B55" s="10" t="s">
        <v>82</v>
      </c>
      <c r="C55" s="10">
        <v>95</v>
      </c>
      <c r="D55" s="10"/>
      <c r="E55" s="10">
        <v>1</v>
      </c>
      <c r="F55" s="10"/>
      <c r="G55" s="10"/>
      <c r="I55" s="10" t="s">
        <v>119</v>
      </c>
      <c r="J55" s="52">
        <v>14.362717621246585</v>
      </c>
      <c r="K55" s="10"/>
      <c r="L55" s="10">
        <v>1</v>
      </c>
      <c r="M55" s="10"/>
      <c r="N55" s="10"/>
      <c r="P55" s="10" t="s">
        <v>471</v>
      </c>
      <c r="Q55" s="47">
        <v>0.29565557999999997</v>
      </c>
      <c r="R55" s="47">
        <v>0.35475769291764248</v>
      </c>
    </row>
    <row r="56" spans="2:18" ht="1" customHeight="1">
      <c r="B56" s="10" t="s">
        <v>83</v>
      </c>
      <c r="C56" s="10">
        <v>88</v>
      </c>
      <c r="D56" s="10"/>
      <c r="E56" s="10">
        <v>1</v>
      </c>
      <c r="F56" s="10"/>
      <c r="G56" s="10"/>
      <c r="I56" s="10" t="s">
        <v>41</v>
      </c>
      <c r="J56" s="52">
        <v>49.352970483299345</v>
      </c>
      <c r="K56" s="10">
        <v>1</v>
      </c>
      <c r="L56" s="10"/>
      <c r="M56" s="10"/>
      <c r="N56" s="10"/>
      <c r="P56" s="10" t="s">
        <v>21</v>
      </c>
      <c r="Q56" s="47">
        <f>F101</f>
        <v>0.66125</v>
      </c>
      <c r="R56" s="47">
        <f>M126</f>
        <v>0.50485482102270218</v>
      </c>
    </row>
    <row r="57" spans="2:18" ht="1" customHeight="1">
      <c r="B57" s="10" t="s">
        <v>84</v>
      </c>
      <c r="C57" s="10">
        <v>94</v>
      </c>
      <c r="D57" s="10"/>
      <c r="E57" s="10">
        <v>1</v>
      </c>
      <c r="F57" s="10"/>
      <c r="G57" s="10"/>
      <c r="I57" s="10" t="s">
        <v>93</v>
      </c>
      <c r="J57" s="52">
        <v>21.691031460523217</v>
      </c>
      <c r="K57" s="10"/>
      <c r="L57" s="10"/>
      <c r="M57" s="10"/>
      <c r="N57" s="10"/>
      <c r="P57" s="10"/>
      <c r="Q57" s="10"/>
      <c r="R57" s="10"/>
    </row>
    <row r="58" spans="2:18" ht="1" customHeight="1">
      <c r="B58" s="10" t="s">
        <v>85</v>
      </c>
      <c r="C58" s="10">
        <v>98</v>
      </c>
      <c r="D58" s="10"/>
      <c r="E58" s="10">
        <v>1</v>
      </c>
      <c r="F58" s="10"/>
      <c r="G58" s="10"/>
      <c r="I58" s="10" t="s">
        <v>82</v>
      </c>
      <c r="J58" s="52">
        <v>13.571963073120713</v>
      </c>
      <c r="K58" s="10"/>
      <c r="L58" s="10">
        <v>1</v>
      </c>
      <c r="M58" s="10"/>
      <c r="N58" s="10"/>
      <c r="P58" s="10"/>
      <c r="Q58" s="10" t="s">
        <v>77</v>
      </c>
      <c r="R58" s="10" t="s">
        <v>114</v>
      </c>
    </row>
    <row r="59" spans="2:18" ht="1" customHeight="1">
      <c r="B59" s="10" t="s">
        <v>86</v>
      </c>
      <c r="C59" s="10">
        <v>98</v>
      </c>
      <c r="D59" s="10"/>
      <c r="E59" s="10">
        <v>1</v>
      </c>
      <c r="F59" s="10"/>
      <c r="G59" s="10"/>
      <c r="I59" s="10" t="s">
        <v>120</v>
      </c>
      <c r="J59" s="52">
        <v>11.217654843070903</v>
      </c>
      <c r="K59" s="10"/>
      <c r="L59" s="10"/>
      <c r="M59" s="10"/>
      <c r="N59" s="10"/>
      <c r="P59" s="42" t="s">
        <v>36</v>
      </c>
      <c r="Q59" s="48">
        <v>0.36982799999999999</v>
      </c>
      <c r="R59" s="49" t="s">
        <v>162</v>
      </c>
    </row>
    <row r="60" spans="2:18" ht="1" customHeight="1">
      <c r="B60" s="10" t="s">
        <v>87</v>
      </c>
      <c r="C60" s="10">
        <v>91</v>
      </c>
      <c r="D60" s="10"/>
      <c r="E60" s="10">
        <v>1</v>
      </c>
      <c r="F60" s="10"/>
      <c r="G60" s="10"/>
      <c r="I60" s="10" t="s">
        <v>121</v>
      </c>
      <c r="J60" s="52">
        <v>13.563980566356129</v>
      </c>
      <c r="K60" s="10"/>
      <c r="L60" s="10">
        <v>1</v>
      </c>
      <c r="M60" s="10"/>
      <c r="N60" s="10"/>
      <c r="P60" s="42" t="s">
        <v>40</v>
      </c>
      <c r="Q60" s="48">
        <v>0.36599599999999993</v>
      </c>
      <c r="R60" s="49">
        <v>0.29748631510745893</v>
      </c>
    </row>
    <row r="61" spans="2:18" ht="1" customHeight="1">
      <c r="B61" s="10" t="s">
        <v>88</v>
      </c>
      <c r="C61" s="10">
        <v>93</v>
      </c>
      <c r="D61" s="10"/>
      <c r="E61" s="10">
        <v>1</v>
      </c>
      <c r="F61" s="10"/>
      <c r="G61" s="10"/>
      <c r="I61" s="10" t="s">
        <v>122</v>
      </c>
      <c r="J61" s="52">
        <v>23.477941633041496</v>
      </c>
      <c r="K61" s="10"/>
      <c r="L61" s="10">
        <v>1</v>
      </c>
      <c r="M61" s="10"/>
      <c r="N61" s="10"/>
      <c r="P61" s="42" t="s">
        <v>41</v>
      </c>
      <c r="Q61" s="48">
        <v>0.46505249999999998</v>
      </c>
      <c r="R61" s="49">
        <v>0.50647029516700703</v>
      </c>
    </row>
    <row r="62" spans="2:18" ht="1" customHeight="1">
      <c r="B62" s="10" t="s">
        <v>89</v>
      </c>
      <c r="C62" s="10">
        <v>91</v>
      </c>
      <c r="D62" s="10"/>
      <c r="E62" s="10">
        <v>1</v>
      </c>
      <c r="F62" s="10"/>
      <c r="G62" s="10"/>
      <c r="I62" s="10" t="s">
        <v>102</v>
      </c>
      <c r="J62" s="52">
        <v>17.190971950778888</v>
      </c>
      <c r="K62" s="10"/>
      <c r="L62" s="10">
        <v>1</v>
      </c>
      <c r="M62" s="10"/>
      <c r="N62" s="10"/>
      <c r="P62" s="10" t="s">
        <v>42</v>
      </c>
      <c r="Q62" s="49">
        <v>0.31</v>
      </c>
      <c r="R62" s="49">
        <v>0.33713265529282394</v>
      </c>
    </row>
    <row r="63" spans="2:18" ht="1" customHeight="1">
      <c r="B63" s="10" t="s">
        <v>90</v>
      </c>
      <c r="C63" s="10">
        <v>95</v>
      </c>
      <c r="D63" s="10"/>
      <c r="E63" s="10">
        <v>1</v>
      </c>
      <c r="F63" s="10"/>
      <c r="G63" s="10">
        <v>1</v>
      </c>
      <c r="I63" s="10" t="s">
        <v>123</v>
      </c>
      <c r="J63" s="52">
        <v>35.756530289692222</v>
      </c>
      <c r="K63" s="10"/>
      <c r="L63" s="10">
        <v>1</v>
      </c>
      <c r="M63" s="10"/>
      <c r="N63" s="10"/>
      <c r="P63" s="42" t="s">
        <v>43</v>
      </c>
      <c r="Q63" s="48">
        <v>0.50761529999999999</v>
      </c>
      <c r="R63" s="49" t="s">
        <v>162</v>
      </c>
    </row>
    <row r="64" spans="2:18" ht="1" customHeight="1">
      <c r="B64" s="10" t="s">
        <v>91</v>
      </c>
      <c r="C64" s="10">
        <v>88</v>
      </c>
      <c r="D64" s="10"/>
      <c r="E64" s="10"/>
      <c r="F64" s="10"/>
      <c r="G64" s="10"/>
      <c r="I64" s="10" t="s">
        <v>96</v>
      </c>
      <c r="J64" s="52">
        <v>27.957265502857439</v>
      </c>
      <c r="K64" s="10"/>
      <c r="L64" s="10"/>
      <c r="M64" s="10">
        <v>1</v>
      </c>
      <c r="N64" s="10"/>
      <c r="P64" s="42" t="s">
        <v>113</v>
      </c>
      <c r="Q64" s="48">
        <v>2.5371000000000001E-2</v>
      </c>
      <c r="R64" s="49">
        <v>9.4518252335062988E-2</v>
      </c>
    </row>
    <row r="65" spans="2:20" ht="1" customHeight="1">
      <c r="B65" s="10" t="s">
        <v>92</v>
      </c>
      <c r="C65" s="10">
        <v>83</v>
      </c>
      <c r="D65" s="10"/>
      <c r="E65" s="10">
        <v>1</v>
      </c>
      <c r="F65" s="10"/>
      <c r="G65" s="10"/>
      <c r="I65" s="10" t="s">
        <v>124</v>
      </c>
      <c r="J65" s="52">
        <v>23.615069653777674</v>
      </c>
      <c r="K65" s="10"/>
      <c r="L65" s="10">
        <v>1</v>
      </c>
      <c r="M65" s="10"/>
      <c r="N65" s="10"/>
      <c r="P65" s="42" t="s">
        <v>45</v>
      </c>
      <c r="Q65" s="48">
        <v>0.20604110000000003</v>
      </c>
      <c r="R65" s="49" t="s">
        <v>162</v>
      </c>
    </row>
    <row r="66" spans="2:20" ht="1" customHeight="1">
      <c r="B66" s="10" t="s">
        <v>93</v>
      </c>
      <c r="C66" s="10">
        <v>88</v>
      </c>
      <c r="D66" s="10"/>
      <c r="E66" s="10"/>
      <c r="F66" s="10"/>
      <c r="G66" s="10"/>
      <c r="I66" s="10" t="s">
        <v>125</v>
      </c>
      <c r="J66" s="52">
        <v>14.977268768412321</v>
      </c>
      <c r="K66" s="10"/>
      <c r="L66" s="10">
        <v>1</v>
      </c>
      <c r="M66" s="10"/>
      <c r="N66" s="10"/>
      <c r="P66" s="10" t="s">
        <v>46</v>
      </c>
      <c r="Q66" s="49">
        <v>0.22</v>
      </c>
      <c r="R66" s="49" t="s">
        <v>162</v>
      </c>
    </row>
    <row r="67" spans="2:20" ht="1" customHeight="1">
      <c r="B67" s="10" t="s">
        <v>94</v>
      </c>
      <c r="C67" s="10">
        <v>93</v>
      </c>
      <c r="D67" s="10"/>
      <c r="E67" s="10">
        <v>1</v>
      </c>
      <c r="F67" s="10"/>
      <c r="G67" s="10"/>
      <c r="I67" s="10" t="s">
        <v>126</v>
      </c>
      <c r="J67" s="52">
        <v>32.127196378031371</v>
      </c>
      <c r="K67" s="10"/>
      <c r="L67" s="10">
        <v>1</v>
      </c>
      <c r="M67" s="10"/>
      <c r="N67" s="10"/>
      <c r="P67" s="42" t="s">
        <v>47</v>
      </c>
      <c r="Q67" s="48">
        <v>0.14528279999999999</v>
      </c>
      <c r="R67" s="49" t="s">
        <v>162</v>
      </c>
    </row>
    <row r="68" spans="2:20" ht="1" customHeight="1">
      <c r="B68" s="10" t="s">
        <v>95</v>
      </c>
      <c r="C68" s="10">
        <v>99</v>
      </c>
      <c r="D68" s="10"/>
      <c r="E68" s="10"/>
      <c r="F68" s="10"/>
      <c r="G68" s="10"/>
      <c r="I68" s="10" t="s">
        <v>87</v>
      </c>
      <c r="J68" s="52">
        <v>23.251623920097941</v>
      </c>
      <c r="K68" s="10"/>
      <c r="L68" s="10">
        <v>1</v>
      </c>
      <c r="M68" s="10"/>
      <c r="N68" s="10"/>
      <c r="P68" s="42" t="s">
        <v>52</v>
      </c>
      <c r="Q68" s="48">
        <v>0.46619250000000001</v>
      </c>
      <c r="R68" s="49">
        <v>0.433586243876732</v>
      </c>
    </row>
    <row r="69" spans="2:20" ht="1" customHeight="1">
      <c r="B69" s="10" t="s">
        <v>96</v>
      </c>
      <c r="C69" s="10">
        <v>88</v>
      </c>
      <c r="D69" s="10"/>
      <c r="E69" s="10"/>
      <c r="F69" s="10">
        <v>1</v>
      </c>
      <c r="G69" s="10"/>
      <c r="I69" s="10" t="s">
        <v>86</v>
      </c>
      <c r="J69" s="52">
        <v>10.692154779027074</v>
      </c>
      <c r="K69" s="10"/>
      <c r="L69" s="10">
        <v>1</v>
      </c>
      <c r="M69" s="10"/>
      <c r="N69" s="10"/>
      <c r="P69" s="42" t="s">
        <v>53</v>
      </c>
      <c r="Q69" s="48">
        <v>0.19268199999999999</v>
      </c>
      <c r="R69" s="49" t="s">
        <v>162</v>
      </c>
    </row>
    <row r="70" spans="2:20" ht="1" customHeight="1">
      <c r="B70" s="10" t="s">
        <v>97</v>
      </c>
      <c r="C70" s="10">
        <v>97</v>
      </c>
      <c r="D70" s="10"/>
      <c r="E70" s="10"/>
      <c r="F70" s="10">
        <v>1</v>
      </c>
      <c r="G70" s="10"/>
      <c r="I70" s="10" t="s">
        <v>127</v>
      </c>
      <c r="J70" s="52">
        <v>15.462885583081221</v>
      </c>
      <c r="K70" s="10"/>
      <c r="L70" s="10">
        <v>1</v>
      </c>
      <c r="M70" s="10"/>
      <c r="N70" s="10"/>
      <c r="P70" s="42" t="s">
        <v>54</v>
      </c>
      <c r="Q70" s="48">
        <v>0.15835260000000001</v>
      </c>
      <c r="R70" s="49" t="s">
        <v>162</v>
      </c>
    </row>
    <row r="71" spans="2:20" ht="1" customHeight="1">
      <c r="B71" s="10" t="s">
        <v>98</v>
      </c>
      <c r="C71" s="10">
        <v>95</v>
      </c>
      <c r="D71" s="10"/>
      <c r="E71" s="10"/>
      <c r="F71" s="10"/>
      <c r="G71" s="10"/>
      <c r="I71" s="10" t="s">
        <v>97</v>
      </c>
      <c r="J71" s="52">
        <v>21.432929787142776</v>
      </c>
      <c r="K71" s="10"/>
      <c r="L71" s="10"/>
      <c r="M71" s="10">
        <v>1</v>
      </c>
      <c r="N71" s="10"/>
      <c r="P71" s="42" t="s">
        <v>55</v>
      </c>
      <c r="Q71" s="48">
        <v>0.28848869999999999</v>
      </c>
      <c r="R71" s="49" t="s">
        <v>162</v>
      </c>
    </row>
    <row r="72" spans="2:20" ht="1" customHeight="1">
      <c r="B72" s="10" t="s">
        <v>99</v>
      </c>
      <c r="C72" s="10">
        <v>85</v>
      </c>
      <c r="D72" s="10"/>
      <c r="E72" s="10">
        <v>1</v>
      </c>
      <c r="F72" s="10"/>
      <c r="G72" s="10"/>
      <c r="I72" s="10" t="s">
        <v>128</v>
      </c>
      <c r="J72" s="52">
        <v>25.819453815121278</v>
      </c>
      <c r="K72" s="10"/>
      <c r="L72" s="10">
        <v>1</v>
      </c>
      <c r="M72" s="10"/>
      <c r="N72" s="10"/>
      <c r="P72" s="42" t="s">
        <v>56</v>
      </c>
      <c r="Q72" s="48">
        <v>0.21880230000000001</v>
      </c>
      <c r="R72" s="49">
        <v>0.33839486621560794</v>
      </c>
    </row>
    <row r="73" spans="2:20" ht="1" customHeight="1">
      <c r="B73" s="10" t="s">
        <v>100</v>
      </c>
      <c r="C73" s="10">
        <v>98</v>
      </c>
      <c r="D73" s="10"/>
      <c r="E73" s="10">
        <v>1</v>
      </c>
      <c r="F73" s="10"/>
      <c r="G73" s="10"/>
      <c r="I73" s="10" t="s">
        <v>52</v>
      </c>
      <c r="J73" s="52">
        <v>56.641375612326762</v>
      </c>
      <c r="K73" s="10">
        <v>1</v>
      </c>
      <c r="L73" s="10"/>
      <c r="M73" s="10"/>
      <c r="N73" s="10"/>
      <c r="P73" s="42" t="s">
        <v>58</v>
      </c>
      <c r="Q73" s="48">
        <v>0.49512889999999998</v>
      </c>
      <c r="R73" s="49">
        <v>0.47571522242880498</v>
      </c>
    </row>
    <row r="74" spans="2:20" ht="1" customHeight="1">
      <c r="B74" s="10" t="s">
        <v>101</v>
      </c>
      <c r="C74" s="10">
        <v>95</v>
      </c>
      <c r="D74" s="10"/>
      <c r="E74" s="10"/>
      <c r="F74" s="10">
        <v>1</v>
      </c>
      <c r="G74" s="10"/>
      <c r="I74" s="10" t="s">
        <v>100</v>
      </c>
      <c r="J74" s="52">
        <v>16.731969483434852</v>
      </c>
      <c r="K74" s="10"/>
      <c r="L74" s="10">
        <v>1</v>
      </c>
      <c r="M74" s="10"/>
      <c r="N74" s="10"/>
      <c r="P74" s="50" t="s">
        <v>20</v>
      </c>
      <c r="Q74" s="51">
        <f>AVERAGE(Q59:Q73)</f>
        <v>0.29565558000000003</v>
      </c>
      <c r="R74" s="51">
        <f>AVERAGE(R59:R73)</f>
        <v>0.35475769291764253</v>
      </c>
    </row>
    <row r="75" spans="2:20" ht="1" customHeight="1">
      <c r="B75" s="10" t="s">
        <v>102</v>
      </c>
      <c r="C75" s="10">
        <v>96</v>
      </c>
      <c r="D75" s="10"/>
      <c r="E75" s="10">
        <v>1</v>
      </c>
      <c r="F75" s="10"/>
      <c r="G75" s="10"/>
      <c r="I75" s="10" t="s">
        <v>99</v>
      </c>
      <c r="J75" s="52">
        <v>21.632800369298167</v>
      </c>
      <c r="K75" s="10"/>
      <c r="L75" s="10">
        <v>1</v>
      </c>
      <c r="M75" s="10"/>
      <c r="N75" s="10"/>
    </row>
    <row r="76" spans="2:20" ht="1" customHeight="1">
      <c r="B76" s="10" t="s">
        <v>103</v>
      </c>
      <c r="C76" s="10">
        <v>87</v>
      </c>
      <c r="D76" s="10"/>
      <c r="E76" s="10"/>
      <c r="F76" s="10">
        <v>1</v>
      </c>
      <c r="G76" s="10"/>
      <c r="I76" s="10" t="s">
        <v>92</v>
      </c>
      <c r="J76" s="52">
        <v>17.076524942315082</v>
      </c>
      <c r="K76" s="10"/>
      <c r="L76" s="10">
        <v>1</v>
      </c>
      <c r="M76" s="10"/>
      <c r="N76" s="10"/>
      <c r="S76" s="40"/>
      <c r="T76" s="40"/>
    </row>
    <row r="77" spans="2:20" ht="1" customHeight="1">
      <c r="B77" s="10" t="s">
        <v>104</v>
      </c>
      <c r="C77" s="10">
        <v>79</v>
      </c>
      <c r="D77" s="10"/>
      <c r="E77" s="10"/>
      <c r="F77" s="10"/>
      <c r="G77" s="10"/>
      <c r="I77" s="10" t="s">
        <v>129</v>
      </c>
      <c r="J77" s="52">
        <v>17.193980799154119</v>
      </c>
      <c r="K77" s="10"/>
      <c r="L77" s="10"/>
      <c r="M77" s="10">
        <v>1</v>
      </c>
      <c r="N77" s="10"/>
      <c r="P77" s="9" t="s">
        <v>107</v>
      </c>
      <c r="Q77" s="36">
        <v>41</v>
      </c>
      <c r="R77" s="36"/>
      <c r="S77" s="40"/>
      <c r="T77" s="40"/>
    </row>
    <row r="78" spans="2:20" ht="1" customHeight="1">
      <c r="B78" s="10" t="s">
        <v>42</v>
      </c>
      <c r="C78" s="10">
        <v>31</v>
      </c>
      <c r="D78" s="10">
        <v>1</v>
      </c>
      <c r="E78" s="10"/>
      <c r="F78" s="10"/>
      <c r="G78" s="10"/>
      <c r="I78" s="10" t="s">
        <v>130</v>
      </c>
      <c r="J78" s="52">
        <v>23.764720405181194</v>
      </c>
      <c r="K78" s="10"/>
      <c r="L78" s="10">
        <v>1</v>
      </c>
      <c r="M78" s="10"/>
      <c r="N78" s="10"/>
      <c r="P78" s="9" t="s">
        <v>103</v>
      </c>
      <c r="Q78" s="36">
        <v>87</v>
      </c>
      <c r="R78" s="36"/>
      <c r="S78" s="40"/>
      <c r="T78" s="40"/>
    </row>
    <row r="79" spans="2:20" ht="1" customHeight="1">
      <c r="B79" s="10" t="s">
        <v>105</v>
      </c>
      <c r="C79" s="10">
        <v>67</v>
      </c>
      <c r="D79" s="10"/>
      <c r="E79" s="10"/>
      <c r="F79" s="10">
        <v>1</v>
      </c>
      <c r="G79" s="10"/>
      <c r="I79" s="10" t="s">
        <v>91</v>
      </c>
      <c r="J79" s="52">
        <v>27.713555059291451</v>
      </c>
      <c r="K79" s="10"/>
      <c r="L79" s="10"/>
      <c r="M79" s="10"/>
      <c r="N79" s="10"/>
      <c r="P79" s="9" t="s">
        <v>105</v>
      </c>
      <c r="Q79" s="36">
        <v>67</v>
      </c>
      <c r="R79" s="36"/>
      <c r="S79" s="40"/>
      <c r="T79" s="40"/>
    </row>
    <row r="80" spans="2:20" ht="1" customHeight="1">
      <c r="B80" s="10" t="s">
        <v>106</v>
      </c>
      <c r="C80" s="10">
        <v>53</v>
      </c>
      <c r="D80" s="10"/>
      <c r="E80" s="10"/>
      <c r="F80" s="10"/>
      <c r="G80" s="10"/>
      <c r="I80" s="10" t="s">
        <v>80</v>
      </c>
      <c r="J80" s="52">
        <v>16.113777655414601</v>
      </c>
      <c r="K80" s="10"/>
      <c r="L80" s="10"/>
      <c r="M80" s="10"/>
      <c r="N80" s="10"/>
      <c r="P80" s="9" t="s">
        <v>96</v>
      </c>
      <c r="Q80" s="36">
        <v>88</v>
      </c>
      <c r="S80" s="40"/>
      <c r="T80" s="40"/>
    </row>
    <row r="81" spans="2:20" ht="1" customHeight="1">
      <c r="B81" s="10" t="s">
        <v>46</v>
      </c>
      <c r="C81" s="10">
        <v>22</v>
      </c>
      <c r="D81" s="10">
        <v>1</v>
      </c>
      <c r="E81" s="10"/>
      <c r="F81" s="10"/>
      <c r="G81" s="10"/>
      <c r="I81" s="10" t="s">
        <v>131</v>
      </c>
      <c r="J81" s="52">
        <v>22.195365912246224</v>
      </c>
      <c r="K81" s="10"/>
      <c r="L81" s="10">
        <v>1</v>
      </c>
      <c r="M81" s="10"/>
      <c r="N81" s="10"/>
      <c r="P81" s="9" t="s">
        <v>101</v>
      </c>
      <c r="Q81" s="36">
        <v>95</v>
      </c>
      <c r="R81" s="36"/>
      <c r="S81" s="40"/>
      <c r="T81" s="40"/>
    </row>
    <row r="82" spans="2:20" ht="1" customHeight="1">
      <c r="B82" s="10" t="s">
        <v>107</v>
      </c>
      <c r="C82" s="10">
        <v>41</v>
      </c>
      <c r="D82" s="10"/>
      <c r="E82" s="10"/>
      <c r="F82" s="10">
        <v>1</v>
      </c>
      <c r="G82" s="10"/>
      <c r="I82" s="10" t="s">
        <v>88</v>
      </c>
      <c r="J82" s="52">
        <v>20.837454282155122</v>
      </c>
      <c r="K82" s="10"/>
      <c r="L82" s="10">
        <v>1</v>
      </c>
      <c r="M82" s="10"/>
      <c r="N82" s="10"/>
      <c r="P82" s="9" t="s">
        <v>97</v>
      </c>
      <c r="Q82" s="36">
        <v>97</v>
      </c>
      <c r="R82" s="36"/>
      <c r="S82" s="40"/>
      <c r="T82" s="40"/>
    </row>
    <row r="83" spans="2:20" ht="1" customHeight="1">
      <c r="B83" s="10" t="s">
        <v>108</v>
      </c>
      <c r="C83" s="10">
        <v>21</v>
      </c>
      <c r="D83" s="10"/>
      <c r="E83" s="10"/>
      <c r="F83" s="10"/>
      <c r="G83" s="10"/>
      <c r="I83" s="10" t="s">
        <v>132</v>
      </c>
      <c r="J83" s="52">
        <v>15.780087010658384</v>
      </c>
      <c r="K83" s="10"/>
      <c r="L83" s="10">
        <v>1</v>
      </c>
      <c r="M83" s="10"/>
      <c r="N83" s="10"/>
      <c r="P83" s="9" t="s">
        <v>109</v>
      </c>
      <c r="Q83" s="36">
        <v>26</v>
      </c>
      <c r="R83" s="36"/>
      <c r="S83" s="40"/>
      <c r="T83" s="40"/>
    </row>
    <row r="84" spans="2:20" ht="1" customHeight="1">
      <c r="B84" s="10" t="s">
        <v>109</v>
      </c>
      <c r="C84" s="10">
        <v>26</v>
      </c>
      <c r="D84" s="10"/>
      <c r="E84" s="10"/>
      <c r="F84" s="10">
        <v>1</v>
      </c>
      <c r="G84" s="10"/>
      <c r="I84" s="10" t="s">
        <v>133</v>
      </c>
      <c r="J84" s="52">
        <v>51.382508286832532</v>
      </c>
      <c r="K84" s="10"/>
      <c r="L84" s="10"/>
      <c r="M84" s="10">
        <v>1</v>
      </c>
      <c r="N84" s="10"/>
      <c r="P84" s="9" t="s">
        <v>110</v>
      </c>
      <c r="Q84" s="36">
        <v>28</v>
      </c>
      <c r="S84" s="40"/>
      <c r="T84" s="40"/>
    </row>
    <row r="85" spans="2:20" ht="1" customHeight="1">
      <c r="B85" s="10" t="s">
        <v>110</v>
      </c>
      <c r="C85" s="10">
        <v>28</v>
      </c>
      <c r="D85" s="10"/>
      <c r="E85" s="10"/>
      <c r="F85" s="10">
        <v>1</v>
      </c>
      <c r="G85" s="10"/>
      <c r="I85" s="10" t="s">
        <v>134</v>
      </c>
      <c r="J85" s="52">
        <v>21.867057282335729</v>
      </c>
      <c r="K85" s="10"/>
      <c r="L85" s="10">
        <v>1</v>
      </c>
      <c r="M85" s="10"/>
      <c r="N85" s="10"/>
      <c r="R85" s="36"/>
      <c r="S85" s="40"/>
      <c r="T85" s="40"/>
    </row>
    <row r="86" spans="2:20" ht="1" customHeight="1">
      <c r="B86" s="10" t="s">
        <v>111</v>
      </c>
      <c r="C86" s="10">
        <v>13</v>
      </c>
      <c r="D86" s="10"/>
      <c r="E86" s="10"/>
      <c r="F86" s="10"/>
      <c r="G86" s="10"/>
      <c r="I86" s="10" t="s">
        <v>90</v>
      </c>
      <c r="J86" s="52">
        <v>29.378823585469096</v>
      </c>
      <c r="K86" s="10"/>
      <c r="L86" s="10">
        <v>1</v>
      </c>
      <c r="M86" s="10"/>
      <c r="N86" s="10">
        <v>1</v>
      </c>
      <c r="R86" s="36"/>
      <c r="S86" s="40"/>
      <c r="T86" s="40"/>
    </row>
    <row r="87" spans="2:20" ht="1" customHeight="1">
      <c r="B87" s="10" t="s">
        <v>112</v>
      </c>
      <c r="C87" s="10">
        <v>6</v>
      </c>
      <c r="D87" s="10"/>
      <c r="E87" s="10"/>
      <c r="F87" s="10"/>
      <c r="G87" s="10"/>
      <c r="I87" s="10" t="s">
        <v>135</v>
      </c>
      <c r="J87" s="52">
        <v>22.107077924480702</v>
      </c>
      <c r="K87" s="10"/>
      <c r="L87" s="10"/>
      <c r="M87" s="10"/>
      <c r="N87" s="10"/>
      <c r="R87" s="36"/>
      <c r="S87" s="40"/>
      <c r="T87" s="40"/>
    </row>
    <row r="88" spans="2:20" ht="1" customHeight="1">
      <c r="B88" s="42" t="s">
        <v>43</v>
      </c>
      <c r="C88" s="43">
        <v>50.76153</v>
      </c>
      <c r="D88" s="10">
        <v>1</v>
      </c>
      <c r="E88" s="10"/>
      <c r="F88" s="10"/>
      <c r="G88" s="10"/>
      <c r="I88" s="10" t="s">
        <v>136</v>
      </c>
      <c r="J88" s="52">
        <v>28.408692216870953</v>
      </c>
      <c r="K88" s="10"/>
      <c r="L88" s="10"/>
      <c r="M88" s="10"/>
      <c r="N88" s="10"/>
      <c r="R88" s="36"/>
      <c r="S88" s="40"/>
      <c r="T88" s="40"/>
    </row>
    <row r="89" spans="2:20" ht="1" customHeight="1">
      <c r="B89" s="42" t="s">
        <v>58</v>
      </c>
      <c r="C89" s="43">
        <v>49.512889999999999</v>
      </c>
      <c r="D89" s="10">
        <v>1</v>
      </c>
      <c r="E89" s="10"/>
      <c r="F89" s="10"/>
      <c r="G89" s="10"/>
      <c r="I89" s="10" t="s">
        <v>137</v>
      </c>
      <c r="J89" s="52">
        <v>23.183567814717343</v>
      </c>
      <c r="K89" s="10"/>
      <c r="L89" s="10"/>
      <c r="M89" s="10"/>
      <c r="N89" s="10"/>
      <c r="R89" s="36"/>
      <c r="S89" s="40"/>
      <c r="T89" s="40"/>
    </row>
    <row r="90" spans="2:20" ht="1" customHeight="1">
      <c r="B90" s="42" t="s">
        <v>52</v>
      </c>
      <c r="C90" s="43">
        <v>46.619250000000001</v>
      </c>
      <c r="D90" s="10">
        <v>1</v>
      </c>
      <c r="E90" s="10"/>
      <c r="F90" s="10"/>
      <c r="G90" s="10"/>
      <c r="I90" s="10" t="s">
        <v>138</v>
      </c>
      <c r="J90" s="52"/>
      <c r="K90" s="10"/>
      <c r="L90" s="10"/>
      <c r="M90" s="10"/>
      <c r="N90" s="10"/>
      <c r="R90" s="36"/>
      <c r="S90" s="40"/>
      <c r="T90" s="40"/>
    </row>
    <row r="91" spans="2:20" ht="1" customHeight="1">
      <c r="B91" s="42" t="s">
        <v>41</v>
      </c>
      <c r="C91" s="43">
        <v>46.505249999999997</v>
      </c>
      <c r="D91" s="10">
        <v>1</v>
      </c>
      <c r="E91" s="10"/>
      <c r="F91" s="10"/>
      <c r="G91" s="10"/>
      <c r="I91" s="10" t="s">
        <v>139</v>
      </c>
      <c r="J91" s="52">
        <v>53.282973540305079</v>
      </c>
      <c r="K91" s="10"/>
      <c r="L91" s="10"/>
      <c r="M91" s="10">
        <v>1</v>
      </c>
      <c r="N91" s="10"/>
      <c r="R91" s="36"/>
    </row>
    <row r="92" spans="2:20" ht="1" customHeight="1">
      <c r="B92" s="42" t="s">
        <v>36</v>
      </c>
      <c r="C92" s="43">
        <v>36.982799999999997</v>
      </c>
      <c r="D92" s="10">
        <v>1</v>
      </c>
      <c r="E92" s="10"/>
      <c r="F92" s="10"/>
      <c r="G92" s="10"/>
      <c r="I92" s="10" t="s">
        <v>107</v>
      </c>
      <c r="J92" s="52">
        <v>80.956764289819247</v>
      </c>
      <c r="K92" s="10"/>
      <c r="L92" s="10"/>
      <c r="M92" s="10">
        <v>1</v>
      </c>
      <c r="N92" s="10"/>
    </row>
    <row r="93" spans="2:20" ht="1" customHeight="1">
      <c r="B93" s="42" t="s">
        <v>40</v>
      </c>
      <c r="C93" s="43">
        <v>36.599599999999995</v>
      </c>
      <c r="D93" s="10">
        <v>1</v>
      </c>
      <c r="E93" s="10"/>
      <c r="F93" s="10"/>
      <c r="G93" s="10"/>
      <c r="I93" s="10" t="s">
        <v>40</v>
      </c>
      <c r="J93" s="52">
        <v>70.251368489254062</v>
      </c>
      <c r="K93" s="10">
        <v>1</v>
      </c>
      <c r="L93" s="10"/>
      <c r="M93" s="10"/>
      <c r="N93" s="10"/>
    </row>
    <row r="94" spans="2:20" ht="1" customHeight="1">
      <c r="B94" s="42" t="s">
        <v>55</v>
      </c>
      <c r="C94" s="43">
        <v>28.848869999999998</v>
      </c>
      <c r="D94" s="10">
        <v>1</v>
      </c>
      <c r="E94" s="10"/>
      <c r="F94" s="10"/>
      <c r="G94" s="10"/>
      <c r="I94" s="10" t="s">
        <v>140</v>
      </c>
      <c r="J94" s="52">
        <v>15.820100408195895</v>
      </c>
      <c r="K94" s="10"/>
      <c r="L94" s="10"/>
      <c r="M94" s="10"/>
      <c r="N94" s="10"/>
    </row>
    <row r="95" spans="2:20" ht="1" customHeight="1">
      <c r="B95" s="42" t="s">
        <v>56</v>
      </c>
      <c r="C95" s="43">
        <v>21.880230000000001</v>
      </c>
      <c r="D95" s="10">
        <v>1</v>
      </c>
      <c r="E95" s="10"/>
      <c r="F95" s="10"/>
      <c r="G95" s="10"/>
      <c r="I95" s="10" t="s">
        <v>141</v>
      </c>
      <c r="J95" s="52">
        <v>42.073460083440182</v>
      </c>
      <c r="K95" s="10"/>
      <c r="L95" s="10"/>
      <c r="M95" s="10">
        <v>1</v>
      </c>
      <c r="N95" s="10"/>
    </row>
    <row r="96" spans="2:20" ht="1" customHeight="1">
      <c r="B96" s="42" t="s">
        <v>45</v>
      </c>
      <c r="C96" s="43">
        <v>20.604110000000002</v>
      </c>
      <c r="D96" s="10">
        <v>1</v>
      </c>
      <c r="E96" s="10"/>
      <c r="F96" s="10"/>
      <c r="G96" s="10"/>
      <c r="I96" s="10" t="s">
        <v>142</v>
      </c>
      <c r="J96" s="52">
        <v>34.071105836508217</v>
      </c>
      <c r="K96" s="10"/>
      <c r="L96" s="10"/>
      <c r="M96" s="10"/>
      <c r="N96" s="10"/>
    </row>
    <row r="97" spans="2:14" ht="1" customHeight="1">
      <c r="B97" s="42" t="s">
        <v>53</v>
      </c>
      <c r="C97" s="43">
        <v>19.2682</v>
      </c>
      <c r="D97" s="10">
        <v>1</v>
      </c>
      <c r="E97" s="10"/>
      <c r="F97" s="10"/>
      <c r="G97" s="10"/>
      <c r="I97" s="10" t="s">
        <v>42</v>
      </c>
      <c r="J97" s="52">
        <v>66.28673447071759</v>
      </c>
      <c r="K97" s="10">
        <v>1</v>
      </c>
      <c r="L97" s="10"/>
      <c r="M97" s="10"/>
      <c r="N97" s="10"/>
    </row>
    <row r="98" spans="2:14" ht="1" customHeight="1">
      <c r="B98" s="42" t="s">
        <v>54</v>
      </c>
      <c r="C98" s="43">
        <v>15.835260000000002</v>
      </c>
      <c r="D98" s="10">
        <v>1</v>
      </c>
      <c r="E98" s="10"/>
      <c r="F98" s="10"/>
      <c r="G98" s="10"/>
      <c r="I98" s="10" t="s">
        <v>43</v>
      </c>
      <c r="J98" s="52">
        <v>62.496802781017202</v>
      </c>
      <c r="K98" s="10"/>
      <c r="L98" s="10"/>
      <c r="M98" s="10"/>
      <c r="N98" s="10"/>
    </row>
    <row r="99" spans="2:14" ht="1" customHeight="1">
      <c r="B99" s="42" t="s">
        <v>47</v>
      </c>
      <c r="C99" s="43">
        <v>14.528279999999999</v>
      </c>
      <c r="D99" s="10">
        <v>1</v>
      </c>
      <c r="E99" s="10"/>
      <c r="F99" s="10"/>
      <c r="G99" s="10"/>
      <c r="I99" s="10" t="s">
        <v>143</v>
      </c>
      <c r="J99" s="52">
        <v>32.038989654553575</v>
      </c>
      <c r="K99" s="10"/>
      <c r="L99" s="10"/>
      <c r="M99" s="10">
        <v>1</v>
      </c>
      <c r="N99" s="10"/>
    </row>
    <row r="100" spans="2:14" ht="1" customHeight="1" thickBot="1">
      <c r="B100" s="44" t="s">
        <v>113</v>
      </c>
      <c r="C100" s="45">
        <v>2.5371000000000001</v>
      </c>
      <c r="D100" s="10">
        <v>1</v>
      </c>
      <c r="E100" s="10"/>
      <c r="F100" s="10"/>
      <c r="G100" s="10"/>
      <c r="I100" s="10" t="s">
        <v>144</v>
      </c>
      <c r="J100" s="52">
        <v>42.594554834395943</v>
      </c>
      <c r="K100" s="10"/>
      <c r="L100" s="10"/>
      <c r="M100" s="10"/>
      <c r="N100" s="10"/>
    </row>
    <row r="101" spans="2:14" ht="1" customHeight="1">
      <c r="B101" s="10"/>
      <c r="C101" s="10"/>
      <c r="D101" s="46">
        <f>AVERAGEIF(D52:D100,1,$C52:$C100)/100</f>
        <v>0.29565557999999997</v>
      </c>
      <c r="E101" s="46">
        <f>AVERAGEIF(E52:E88,1,$C52:$C100)/100</f>
        <v>0.93200000000000005</v>
      </c>
      <c r="F101" s="46">
        <f>AVERAGEIF(F52:F88,1,$C52:$C100)/100</f>
        <v>0.66125</v>
      </c>
      <c r="G101" s="46">
        <f>AVERAGEIF(G52:G88,1,$C52:$C100)/100</f>
        <v>0.95</v>
      </c>
      <c r="I101" s="10" t="s">
        <v>113</v>
      </c>
      <c r="J101" s="52">
        <v>90.548174766493716</v>
      </c>
      <c r="K101" s="10">
        <v>1</v>
      </c>
      <c r="L101" s="10"/>
      <c r="M101" s="10"/>
      <c r="N101" s="10"/>
    </row>
    <row r="102" spans="2:14" ht="1" customHeight="1">
      <c r="I102" s="10" t="s">
        <v>145</v>
      </c>
      <c r="J102" s="52">
        <v>70.226462772231059</v>
      </c>
      <c r="K102" s="10"/>
      <c r="L102" s="10"/>
      <c r="M102" s="10">
        <v>1</v>
      </c>
      <c r="N102" s="10"/>
    </row>
    <row r="103" spans="2:14" ht="1" customHeight="1">
      <c r="I103" s="10" t="s">
        <v>105</v>
      </c>
      <c r="J103" s="52">
        <v>57.096049289082742</v>
      </c>
      <c r="K103" s="10"/>
      <c r="L103" s="10"/>
      <c r="M103" s="10">
        <v>1</v>
      </c>
      <c r="N103" s="10"/>
    </row>
    <row r="104" spans="2:14" ht="1" customHeight="1">
      <c r="I104" s="10" t="s">
        <v>146</v>
      </c>
      <c r="J104" s="52">
        <v>8.9861094747268826</v>
      </c>
      <c r="K104" s="10"/>
      <c r="L104" s="10">
        <v>1</v>
      </c>
      <c r="M104" s="10"/>
      <c r="N104" s="10"/>
    </row>
    <row r="105" spans="2:14" ht="1" customHeight="1">
      <c r="I105" s="10" t="s">
        <v>147</v>
      </c>
      <c r="J105" s="52">
        <v>68.64977887645658</v>
      </c>
      <c r="K105" s="10"/>
      <c r="L105" s="10"/>
      <c r="M105" s="10">
        <v>1</v>
      </c>
      <c r="N105" s="10"/>
    </row>
    <row r="106" spans="2:14" ht="1" customHeight="1">
      <c r="I106" s="10" t="s">
        <v>148</v>
      </c>
      <c r="J106" s="52">
        <v>67.529234397627732</v>
      </c>
      <c r="K106" s="10"/>
      <c r="L106" s="10"/>
      <c r="M106" s="10"/>
      <c r="N106" s="10"/>
    </row>
    <row r="107" spans="2:14" ht="1" customHeight="1">
      <c r="I107" s="10" t="s">
        <v>149</v>
      </c>
      <c r="J107" s="52">
        <v>77.677156955404641</v>
      </c>
      <c r="K107" s="10"/>
      <c r="L107" s="10"/>
      <c r="M107" s="10"/>
      <c r="N107" s="10"/>
    </row>
    <row r="108" spans="2:14" ht="1" customHeight="1">
      <c r="I108" s="10" t="s">
        <v>150</v>
      </c>
      <c r="J108" s="52">
        <v>60.243644277104863</v>
      </c>
      <c r="K108" s="10"/>
      <c r="L108" s="10"/>
      <c r="M108" s="10"/>
      <c r="N108" s="10"/>
    </row>
    <row r="109" spans="2:14" ht="1" customHeight="1">
      <c r="I109" s="10" t="s">
        <v>81</v>
      </c>
      <c r="J109" s="52">
        <v>25.409033052394911</v>
      </c>
      <c r="K109" s="10"/>
      <c r="L109" s="10"/>
      <c r="M109" s="10"/>
      <c r="N109" s="10"/>
    </row>
    <row r="110" spans="2:14" ht="1" customHeight="1">
      <c r="I110" s="10" t="s">
        <v>151</v>
      </c>
      <c r="J110" s="52">
        <v>6.6461205264145509</v>
      </c>
      <c r="K110" s="10"/>
      <c r="L110" s="10"/>
      <c r="M110" s="10"/>
      <c r="N110" s="10"/>
    </row>
    <row r="111" spans="2:14" ht="1" customHeight="1">
      <c r="I111" s="10" t="s">
        <v>152</v>
      </c>
      <c r="J111" s="52">
        <v>29.137014025658495</v>
      </c>
      <c r="K111" s="10"/>
      <c r="L111" s="10"/>
      <c r="M111" s="10"/>
      <c r="N111" s="10"/>
    </row>
    <row r="112" spans="2:14" ht="1" customHeight="1">
      <c r="I112" s="10" t="s">
        <v>153</v>
      </c>
      <c r="J112" s="52">
        <v>50.26142873631602</v>
      </c>
      <c r="K112" s="10"/>
      <c r="L112" s="10"/>
      <c r="M112" s="10"/>
      <c r="N112" s="10"/>
    </row>
    <row r="113" spans="9:14" ht="1" customHeight="1">
      <c r="I113" s="10" t="s">
        <v>154</v>
      </c>
      <c r="J113" s="52">
        <v>51.894359651000464</v>
      </c>
      <c r="K113" s="10"/>
      <c r="L113" s="10"/>
      <c r="M113" s="10">
        <v>1</v>
      </c>
      <c r="N113" s="10"/>
    </row>
    <row r="114" spans="9:14" ht="1" customHeight="1">
      <c r="I114" s="10" t="s">
        <v>56</v>
      </c>
      <c r="J114" s="52">
        <v>66.160513378439191</v>
      </c>
      <c r="K114" s="10">
        <v>1</v>
      </c>
      <c r="L114" s="10"/>
      <c r="M114" s="10"/>
      <c r="N114" s="10"/>
    </row>
    <row r="115" spans="9:14" ht="1" customHeight="1">
      <c r="I115" s="10" t="s">
        <v>111</v>
      </c>
      <c r="J115" s="52">
        <v>58.662033767861118</v>
      </c>
      <c r="K115" s="10"/>
      <c r="L115" s="10"/>
      <c r="M115" s="10"/>
      <c r="N115" s="10"/>
    </row>
    <row r="116" spans="9:14" ht="1" customHeight="1">
      <c r="I116" s="10" t="s">
        <v>155</v>
      </c>
      <c r="J116" s="52">
        <v>39.946429521070129</v>
      </c>
      <c r="K116" s="10"/>
      <c r="L116" s="10"/>
      <c r="M116" s="10">
        <v>1</v>
      </c>
      <c r="N116" s="10"/>
    </row>
    <row r="117" spans="9:14" ht="1" customHeight="1">
      <c r="I117" s="10" t="s">
        <v>156</v>
      </c>
      <c r="J117" s="52">
        <v>18.931329915152347</v>
      </c>
      <c r="K117" s="10"/>
      <c r="L117" s="10"/>
      <c r="M117" s="10"/>
      <c r="N117" s="10"/>
    </row>
    <row r="118" spans="9:14" ht="1" customHeight="1">
      <c r="I118" s="10" t="s">
        <v>85</v>
      </c>
      <c r="J118" s="52">
        <v>7.5582073962883172</v>
      </c>
      <c r="K118" s="10"/>
      <c r="L118" s="10">
        <v>1</v>
      </c>
      <c r="M118" s="10"/>
      <c r="N118" s="10"/>
    </row>
    <row r="119" spans="9:14" ht="1" customHeight="1">
      <c r="I119" s="10" t="s">
        <v>95</v>
      </c>
      <c r="J119" s="52">
        <v>12.725216201948058</v>
      </c>
      <c r="K119" s="10"/>
      <c r="L119" s="10"/>
      <c r="M119" s="10"/>
      <c r="N119" s="10"/>
    </row>
    <row r="120" spans="9:14" ht="1" customHeight="1">
      <c r="I120" s="10" t="s">
        <v>157</v>
      </c>
      <c r="J120" s="52">
        <v>53.780119933811065</v>
      </c>
      <c r="K120" s="10"/>
      <c r="L120" s="10"/>
      <c r="M120" s="10">
        <v>1</v>
      </c>
      <c r="N120" s="10"/>
    </row>
    <row r="121" spans="9:14" ht="1" customHeight="1">
      <c r="I121" s="10" t="s">
        <v>72</v>
      </c>
      <c r="J121" s="52">
        <v>52.252984098541276</v>
      </c>
      <c r="K121" s="10"/>
      <c r="L121" s="10"/>
      <c r="M121" s="10"/>
      <c r="N121" s="10"/>
    </row>
    <row r="122" spans="9:14" ht="1" customHeight="1">
      <c r="I122" s="10" t="s">
        <v>110</v>
      </c>
      <c r="J122" s="52">
        <v>74.80569647818956</v>
      </c>
      <c r="K122" s="10"/>
      <c r="L122" s="10"/>
      <c r="M122" s="10">
        <v>1</v>
      </c>
      <c r="N122" s="10"/>
    </row>
    <row r="123" spans="9:14" ht="1" customHeight="1">
      <c r="I123" s="10" t="s">
        <v>158</v>
      </c>
      <c r="J123" s="52">
        <v>48.729985592646521</v>
      </c>
      <c r="K123" s="10"/>
      <c r="L123" s="10"/>
      <c r="M123" s="10"/>
      <c r="N123" s="10"/>
    </row>
    <row r="124" spans="9:14" ht="1" customHeight="1">
      <c r="I124" s="10" t="s">
        <v>58</v>
      </c>
      <c r="J124" s="52">
        <v>52.428477757119538</v>
      </c>
      <c r="K124" s="10">
        <v>1</v>
      </c>
      <c r="L124" s="10"/>
      <c r="M124" s="10"/>
      <c r="N124" s="10"/>
    </row>
    <row r="125" spans="9:14" ht="1" customHeight="1">
      <c r="I125" s="10" t="s">
        <v>159</v>
      </c>
      <c r="J125" s="52">
        <v>19.102984592539656</v>
      </c>
      <c r="K125" s="10"/>
      <c r="L125" s="10"/>
      <c r="M125" s="10"/>
      <c r="N125" s="10"/>
    </row>
    <row r="126" spans="9:14" ht="1" customHeight="1">
      <c r="I126" s="10"/>
      <c r="J126" s="10"/>
      <c r="K126" s="49">
        <f>1-AVERAGEIF(K52:K125,1,$J52:$J125)/100</f>
        <v>0.35475769291764248</v>
      </c>
      <c r="L126" s="49">
        <f>1-AVERAGEIF(L52:L125,1,$J52:$J125)/100</f>
        <v>0.80241948271594044</v>
      </c>
      <c r="M126" s="49">
        <f>1-AVERAGEIF(M52:M125,1,$J52:$J125)/100</f>
        <v>0.50485482102270218</v>
      </c>
      <c r="N126" s="49">
        <f>1-AVERAGEIF(N52:N125,1,$J52:$J125)/100</f>
        <v>0.70621176414530906</v>
      </c>
    </row>
  </sheetData>
  <sortState ref="P47:Q62">
    <sortCondition ref="P47:P62"/>
  </sortState>
  <mergeCells count="4">
    <mergeCell ref="B36:P36"/>
    <mergeCell ref="B50:G50"/>
    <mergeCell ref="B47:D47"/>
    <mergeCell ref="E47:H47"/>
  </mergeCells>
  <pageMargins left="0.7" right="0.7" top="0.75" bottom="0.75" header="0.3" footer="0.3"/>
  <pageSetup scale="6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8"/>
  <sheetViews>
    <sheetView zoomScaleNormal="100" zoomScaleSheetLayoutView="100" zoomScalePageLayoutView="80" workbookViewId="0"/>
  </sheetViews>
  <sheetFormatPr defaultColWidth="8.81640625" defaultRowHeight="14.5"/>
  <cols>
    <col min="1" max="1" width="2.7265625" style="9" customWidth="1"/>
    <col min="2" max="16" width="8.81640625" style="9"/>
    <col min="17" max="17" width="3.81640625" style="9" customWidth="1"/>
    <col min="18" max="16384" width="8.81640625" style="9"/>
  </cols>
  <sheetData>
    <row r="1" spans="1:17">
      <c r="A1" s="1"/>
      <c r="B1" s="1"/>
      <c r="C1" s="1"/>
      <c r="D1" s="1"/>
      <c r="E1" s="1"/>
      <c r="F1" s="1"/>
      <c r="G1" s="1"/>
      <c r="H1" s="1"/>
      <c r="I1" s="1"/>
      <c r="J1" s="1"/>
      <c r="K1" s="1"/>
      <c r="L1" s="1"/>
      <c r="M1" s="1"/>
      <c r="N1" s="1"/>
      <c r="O1" s="1"/>
      <c r="P1" s="1"/>
      <c r="Q1" s="1"/>
    </row>
    <row r="2" spans="1:17" s="54" customFormat="1" ht="22.5" customHeight="1">
      <c r="A2" s="53"/>
      <c r="B2" s="3" t="s">
        <v>163</v>
      </c>
      <c r="C2" s="53"/>
      <c r="D2" s="53"/>
      <c r="E2" s="53"/>
      <c r="F2" s="53"/>
      <c r="G2" s="53"/>
      <c r="H2" s="53"/>
      <c r="I2" s="127" t="str">
        <f>E51</f>
        <v>Panama</v>
      </c>
      <c r="J2" s="53"/>
      <c r="K2" s="53"/>
      <c r="L2" s="53"/>
      <c r="M2" s="53"/>
      <c r="N2" s="53"/>
      <c r="O2" s="53"/>
      <c r="P2" s="53"/>
      <c r="Q2" s="53"/>
    </row>
    <row r="3" spans="1:17" s="54" customFormat="1" ht="15.75" customHeight="1">
      <c r="A3" s="53"/>
      <c r="B3" s="3"/>
      <c r="C3" s="53"/>
      <c r="D3" s="53"/>
      <c r="E3" s="53"/>
      <c r="F3" s="53"/>
      <c r="G3" s="53"/>
      <c r="H3" s="53"/>
      <c r="I3" s="53"/>
      <c r="J3" s="53"/>
      <c r="K3" s="53"/>
      <c r="L3" s="53"/>
      <c r="M3" s="53"/>
      <c r="N3" s="53"/>
      <c r="O3" s="53"/>
      <c r="P3" s="53"/>
      <c r="Q3" s="53"/>
    </row>
    <row r="4" spans="1:17" ht="18">
      <c r="A4" s="1"/>
      <c r="B4" s="1"/>
      <c r="C4" s="1"/>
      <c r="D4" s="55"/>
      <c r="E4" s="1"/>
      <c r="F4" s="1"/>
      <c r="G4" s="1"/>
      <c r="H4" s="1"/>
      <c r="I4" s="1"/>
      <c r="J4" s="1"/>
      <c r="K4" s="1"/>
      <c r="L4" s="1"/>
      <c r="M4" s="1"/>
      <c r="N4" s="1"/>
      <c r="O4" s="55"/>
      <c r="P4" s="1"/>
      <c r="Q4" s="1"/>
    </row>
    <row r="5" spans="1:17">
      <c r="A5" s="1"/>
      <c r="B5" s="1"/>
      <c r="C5" s="1"/>
      <c r="D5" s="1"/>
      <c r="E5" s="1"/>
      <c r="F5" s="1"/>
      <c r="G5" s="1"/>
      <c r="H5" s="1"/>
      <c r="I5" s="1"/>
      <c r="J5" s="1"/>
      <c r="K5" s="1"/>
      <c r="L5" s="1"/>
      <c r="M5" s="1"/>
      <c r="N5" s="1"/>
      <c r="O5" s="1"/>
      <c r="P5" s="1"/>
      <c r="Q5" s="1"/>
    </row>
    <row r="6" spans="1:17">
      <c r="A6" s="1"/>
      <c r="B6" s="1"/>
      <c r="C6" s="1"/>
      <c r="D6" s="1"/>
      <c r="E6" s="1"/>
      <c r="F6" s="1"/>
      <c r="G6" s="1"/>
      <c r="H6" s="1"/>
      <c r="I6" s="1"/>
      <c r="J6" s="1"/>
      <c r="K6" s="1"/>
      <c r="L6" s="1"/>
      <c r="M6" s="1"/>
      <c r="N6" s="1"/>
      <c r="O6" s="1"/>
      <c r="P6" s="1"/>
      <c r="Q6" s="1"/>
    </row>
    <row r="7" spans="1:17">
      <c r="A7" s="1"/>
      <c r="B7" s="1"/>
      <c r="C7" s="1"/>
      <c r="D7" s="1"/>
      <c r="E7" s="1"/>
      <c r="F7" s="1"/>
      <c r="G7" s="1"/>
      <c r="H7" s="1"/>
      <c r="I7" s="1"/>
      <c r="J7" s="1"/>
      <c r="K7" s="1"/>
      <c r="L7" s="1"/>
      <c r="M7" s="1"/>
      <c r="N7" s="1"/>
      <c r="O7" s="1"/>
      <c r="P7" s="1"/>
      <c r="Q7" s="1"/>
    </row>
    <row r="8" spans="1:17">
      <c r="A8" s="1"/>
      <c r="B8" s="1"/>
      <c r="C8" s="1"/>
      <c r="D8" s="1"/>
      <c r="E8" s="1"/>
      <c r="F8" s="1"/>
      <c r="G8" s="1"/>
      <c r="H8" s="1"/>
      <c r="I8" s="1"/>
      <c r="J8" s="1"/>
      <c r="K8" s="1"/>
      <c r="L8" s="1"/>
      <c r="M8" s="1"/>
      <c r="N8" s="1"/>
      <c r="O8" s="1"/>
      <c r="P8" s="1"/>
      <c r="Q8" s="1"/>
    </row>
    <row r="9" spans="1:17">
      <c r="A9" s="1"/>
      <c r="B9" s="1"/>
      <c r="C9" s="1"/>
      <c r="D9" s="1"/>
      <c r="E9" s="1"/>
      <c r="F9" s="1"/>
      <c r="G9" s="1"/>
      <c r="H9" s="1"/>
      <c r="I9" s="1"/>
      <c r="J9" s="1"/>
      <c r="K9" s="1"/>
      <c r="L9" s="1"/>
      <c r="M9" s="1"/>
      <c r="N9" s="1"/>
      <c r="O9" s="1"/>
      <c r="P9" s="1"/>
      <c r="Q9" s="1"/>
    </row>
    <row r="10" spans="1:17">
      <c r="A10" s="1"/>
      <c r="B10" s="1"/>
      <c r="C10" s="1"/>
      <c r="D10" s="1"/>
      <c r="E10" s="1"/>
      <c r="F10" s="1"/>
      <c r="G10" s="1"/>
      <c r="H10" s="1"/>
      <c r="I10" s="1"/>
      <c r="J10" s="1"/>
      <c r="K10" s="1"/>
      <c r="L10" s="1"/>
      <c r="M10" s="1"/>
      <c r="N10" s="1"/>
      <c r="O10" s="1"/>
      <c r="P10" s="1"/>
      <c r="Q10" s="1"/>
    </row>
    <row r="11" spans="1:17">
      <c r="A11" s="1"/>
      <c r="B11" s="1"/>
      <c r="C11" s="1"/>
      <c r="D11" s="1"/>
      <c r="E11" s="1"/>
      <c r="F11" s="1"/>
      <c r="G11" s="1"/>
      <c r="H11" s="1"/>
      <c r="I11" s="1"/>
      <c r="J11" s="1"/>
      <c r="K11" s="1"/>
      <c r="L11" s="1"/>
      <c r="M11" s="1"/>
      <c r="N11" s="1"/>
      <c r="O11" s="1"/>
      <c r="P11" s="1"/>
      <c r="Q11" s="1"/>
    </row>
    <row r="12" spans="1:17">
      <c r="A12" s="1"/>
      <c r="B12" s="1"/>
      <c r="C12" s="1"/>
      <c r="D12" s="1"/>
      <c r="E12" s="1"/>
      <c r="F12" s="1"/>
      <c r="G12" s="1"/>
      <c r="H12" s="1"/>
      <c r="I12" s="1"/>
      <c r="J12" s="1"/>
      <c r="K12" s="1"/>
      <c r="L12" s="1"/>
      <c r="M12" s="1"/>
      <c r="N12" s="1"/>
      <c r="O12" s="1"/>
      <c r="P12" s="1"/>
      <c r="Q12" s="1"/>
    </row>
    <row r="13" spans="1:17">
      <c r="A13" s="1"/>
      <c r="B13" s="1"/>
      <c r="C13" s="1"/>
      <c r="D13" s="1"/>
      <c r="E13" s="1"/>
      <c r="F13" s="1"/>
      <c r="G13" s="1"/>
      <c r="H13" s="1"/>
      <c r="I13" s="1"/>
      <c r="J13" s="1"/>
      <c r="K13" s="1"/>
      <c r="L13" s="1"/>
      <c r="M13" s="1"/>
      <c r="N13" s="1"/>
      <c r="O13" s="1"/>
      <c r="P13" s="1"/>
      <c r="Q13" s="1"/>
    </row>
    <row r="14" spans="1:17">
      <c r="A14" s="1"/>
      <c r="B14" s="1"/>
      <c r="C14" s="1"/>
      <c r="D14" s="1"/>
      <c r="E14" s="1"/>
      <c r="F14" s="1"/>
      <c r="G14" s="1"/>
      <c r="H14" s="1"/>
      <c r="I14" s="1"/>
      <c r="J14" s="1"/>
      <c r="K14" s="1"/>
      <c r="L14" s="1"/>
      <c r="M14" s="1"/>
      <c r="N14" s="1"/>
      <c r="O14" s="1"/>
      <c r="P14" s="1"/>
      <c r="Q14" s="1"/>
    </row>
    <row r="15" spans="1:17">
      <c r="A15" s="1"/>
      <c r="B15" s="1"/>
      <c r="C15" s="1"/>
      <c r="D15" s="1"/>
      <c r="E15" s="1"/>
      <c r="F15" s="1"/>
      <c r="G15" s="1"/>
      <c r="H15" s="1"/>
      <c r="I15" s="1"/>
      <c r="J15" s="1"/>
      <c r="K15" s="1"/>
      <c r="L15" s="1"/>
      <c r="M15" s="1"/>
      <c r="N15" s="1"/>
      <c r="O15" s="1"/>
      <c r="P15" s="1"/>
      <c r="Q15" s="1"/>
    </row>
    <row r="16" spans="1:17">
      <c r="A16" s="1"/>
      <c r="B16" s="1"/>
      <c r="C16" s="1"/>
      <c r="D16" s="1"/>
      <c r="E16" s="1"/>
      <c r="F16" s="1"/>
      <c r="G16" s="1"/>
      <c r="H16" s="1"/>
      <c r="I16" s="1"/>
      <c r="J16" s="1"/>
      <c r="K16" s="1"/>
      <c r="L16" s="1"/>
      <c r="M16" s="1"/>
      <c r="N16" s="1"/>
      <c r="O16" s="1"/>
      <c r="P16" s="1"/>
      <c r="Q16" s="1"/>
    </row>
    <row r="17" spans="1:17">
      <c r="A17" s="1"/>
      <c r="B17" s="1"/>
      <c r="C17" s="1"/>
      <c r="D17" s="1"/>
      <c r="E17" s="1"/>
      <c r="F17" s="1"/>
      <c r="G17" s="1"/>
      <c r="H17" s="1"/>
      <c r="I17" s="1"/>
      <c r="J17" s="1"/>
      <c r="K17" s="1"/>
      <c r="L17" s="1"/>
      <c r="M17" s="1"/>
      <c r="N17" s="1"/>
      <c r="O17" s="1"/>
      <c r="P17" s="1"/>
      <c r="Q17" s="1"/>
    </row>
    <row r="18" spans="1:17">
      <c r="A18" s="1"/>
      <c r="B18" s="1"/>
      <c r="C18" s="1"/>
      <c r="D18" s="1"/>
      <c r="E18" s="1"/>
      <c r="F18" s="1"/>
      <c r="G18" s="1"/>
      <c r="H18" s="1"/>
      <c r="I18" s="1"/>
      <c r="J18" s="1"/>
      <c r="K18" s="1"/>
      <c r="L18" s="1"/>
      <c r="M18" s="1"/>
      <c r="N18" s="1"/>
      <c r="O18" s="1"/>
      <c r="P18" s="1"/>
      <c r="Q18" s="1"/>
    </row>
    <row r="19" spans="1:17">
      <c r="A19" s="1"/>
      <c r="B19" s="1"/>
      <c r="C19" s="1"/>
      <c r="D19" s="1"/>
      <c r="E19" s="1"/>
      <c r="F19" s="1"/>
      <c r="G19" s="1"/>
      <c r="H19" s="1"/>
      <c r="I19" s="1"/>
      <c r="J19" s="1"/>
      <c r="K19" s="1"/>
      <c r="L19" s="1"/>
      <c r="M19" s="1"/>
      <c r="N19" s="1"/>
      <c r="O19" s="1"/>
      <c r="P19" s="1"/>
      <c r="Q19" s="1"/>
    </row>
    <row r="20" spans="1:17">
      <c r="A20" s="1"/>
      <c r="B20" s="1"/>
      <c r="C20" s="1"/>
      <c r="D20" s="1"/>
      <c r="E20" s="1"/>
      <c r="F20" s="1"/>
      <c r="G20" s="1"/>
      <c r="H20" s="1"/>
      <c r="I20" s="1"/>
      <c r="J20" s="1"/>
      <c r="K20" s="1"/>
      <c r="L20" s="1"/>
      <c r="M20" s="1"/>
      <c r="N20" s="1"/>
      <c r="O20" s="1"/>
      <c r="P20" s="1"/>
      <c r="Q20" s="1"/>
    </row>
    <row r="21" spans="1:17">
      <c r="A21" s="1"/>
      <c r="B21" s="1"/>
      <c r="C21" s="1"/>
      <c r="D21" s="1"/>
      <c r="E21" s="1"/>
      <c r="F21" s="1"/>
      <c r="G21" s="1"/>
      <c r="H21" s="1"/>
      <c r="I21" s="1"/>
      <c r="J21" s="1"/>
      <c r="K21" s="1"/>
      <c r="L21" s="1"/>
      <c r="M21" s="1"/>
      <c r="N21" s="1"/>
      <c r="O21" s="1"/>
      <c r="P21" s="1"/>
      <c r="Q21" s="1"/>
    </row>
    <row r="22" spans="1:17">
      <c r="A22" s="1"/>
      <c r="B22" s="1"/>
      <c r="C22" s="1"/>
      <c r="D22" s="1"/>
      <c r="E22" s="1"/>
      <c r="F22" s="1"/>
      <c r="G22" s="1"/>
      <c r="H22" s="1"/>
      <c r="I22" s="1"/>
      <c r="J22" s="1"/>
      <c r="K22" s="1"/>
      <c r="L22" s="1"/>
      <c r="M22" s="1"/>
      <c r="N22" s="1"/>
      <c r="O22" s="1"/>
      <c r="P22" s="1"/>
      <c r="Q22" s="1"/>
    </row>
    <row r="23" spans="1:17">
      <c r="A23" s="1"/>
      <c r="B23" s="1"/>
      <c r="C23" s="1"/>
      <c r="D23" s="1"/>
      <c r="E23" s="1"/>
      <c r="F23" s="1"/>
      <c r="G23" s="1"/>
      <c r="H23" s="1"/>
      <c r="I23" s="1"/>
      <c r="J23" s="1"/>
      <c r="K23" s="1"/>
      <c r="L23" s="1"/>
      <c r="M23" s="1"/>
      <c r="N23" s="1"/>
      <c r="O23" s="1"/>
      <c r="P23" s="1"/>
      <c r="Q23" s="1"/>
    </row>
    <row r="24" spans="1:17">
      <c r="A24" s="1"/>
      <c r="B24" s="1"/>
      <c r="C24" s="1"/>
      <c r="D24" s="1"/>
      <c r="E24" s="1"/>
      <c r="F24" s="1"/>
      <c r="G24" s="1"/>
      <c r="H24" s="1"/>
      <c r="I24" s="1"/>
      <c r="J24" s="1"/>
      <c r="K24" s="1"/>
      <c r="L24" s="1"/>
      <c r="M24" s="1"/>
      <c r="N24" s="1"/>
      <c r="O24" s="1"/>
      <c r="P24" s="1"/>
      <c r="Q24" s="1"/>
    </row>
    <row r="25" spans="1:17">
      <c r="A25" s="1"/>
      <c r="B25" s="1"/>
      <c r="C25" s="1"/>
      <c r="D25" s="1"/>
      <c r="E25" s="1"/>
      <c r="F25" s="1"/>
      <c r="G25" s="1"/>
      <c r="H25" s="1"/>
      <c r="I25" s="1"/>
      <c r="J25" s="1"/>
      <c r="K25" s="1"/>
      <c r="L25" s="1"/>
      <c r="M25" s="1"/>
      <c r="N25" s="1"/>
      <c r="O25" s="1"/>
      <c r="P25" s="1"/>
      <c r="Q25" s="1"/>
    </row>
    <row r="26" spans="1:17">
      <c r="A26" s="1"/>
      <c r="B26" s="1"/>
      <c r="C26" s="1"/>
      <c r="D26" s="1"/>
      <c r="E26" s="1"/>
      <c r="F26" s="1"/>
      <c r="G26" s="1"/>
      <c r="H26" s="1"/>
      <c r="I26" s="1"/>
      <c r="J26" s="1"/>
      <c r="K26" s="1"/>
      <c r="L26" s="1"/>
      <c r="M26" s="1"/>
      <c r="N26" s="1"/>
      <c r="O26" s="1"/>
      <c r="P26" s="1"/>
      <c r="Q26" s="1"/>
    </row>
    <row r="27" spans="1:17">
      <c r="A27" s="1"/>
      <c r="B27" s="1"/>
      <c r="C27" s="1"/>
      <c r="D27" s="1"/>
      <c r="E27" s="1"/>
      <c r="F27" s="1"/>
      <c r="G27" s="1"/>
      <c r="H27" s="1"/>
      <c r="I27" s="1"/>
      <c r="J27" s="1"/>
      <c r="K27" s="1"/>
      <c r="L27" s="1"/>
      <c r="M27" s="1"/>
      <c r="N27" s="1"/>
      <c r="O27" s="1"/>
      <c r="P27" s="1"/>
      <c r="Q27" s="1"/>
    </row>
    <row r="28" spans="1:17">
      <c r="A28" s="1"/>
      <c r="B28" s="1"/>
      <c r="C28" s="1"/>
      <c r="D28" s="1"/>
      <c r="E28" s="1"/>
      <c r="F28" s="1"/>
      <c r="G28" s="1"/>
      <c r="H28" s="1"/>
      <c r="I28" s="1"/>
      <c r="J28" s="1"/>
      <c r="K28" s="1"/>
      <c r="L28" s="1"/>
      <c r="M28" s="1"/>
      <c r="N28" s="1"/>
      <c r="O28" s="1"/>
      <c r="P28" s="1"/>
      <c r="Q28" s="1"/>
    </row>
    <row r="29" spans="1:17">
      <c r="A29" s="1"/>
      <c r="B29" s="1"/>
      <c r="C29" s="1"/>
      <c r="D29" s="1"/>
      <c r="E29" s="1"/>
      <c r="F29" s="1"/>
      <c r="G29" s="1"/>
      <c r="H29" s="1"/>
      <c r="I29" s="1"/>
      <c r="J29" s="1"/>
      <c r="K29" s="1"/>
      <c r="L29" s="1"/>
      <c r="M29" s="1"/>
      <c r="N29" s="1"/>
      <c r="O29" s="1"/>
      <c r="P29" s="1"/>
      <c r="Q29" s="1"/>
    </row>
    <row r="30" spans="1:17">
      <c r="A30" s="1"/>
      <c r="B30" s="1"/>
      <c r="C30" s="1"/>
      <c r="D30" s="1"/>
      <c r="E30" s="1"/>
      <c r="F30" s="1"/>
      <c r="G30" s="1"/>
      <c r="H30" s="1"/>
      <c r="I30" s="1"/>
      <c r="J30" s="1"/>
      <c r="K30" s="1"/>
      <c r="L30" s="1"/>
      <c r="M30" s="1"/>
      <c r="N30" s="1"/>
      <c r="O30" s="1"/>
      <c r="P30" s="1"/>
      <c r="Q30" s="1"/>
    </row>
    <row r="31" spans="1:17" ht="21.75" customHeight="1">
      <c r="A31" s="1"/>
      <c r="B31" s="1"/>
      <c r="C31" s="1"/>
      <c r="D31" s="1"/>
      <c r="E31" s="1"/>
      <c r="F31" s="1"/>
      <c r="G31" s="1"/>
      <c r="H31" s="1"/>
      <c r="I31" s="1"/>
      <c r="J31" s="1"/>
      <c r="K31" s="1"/>
      <c r="L31" s="1"/>
      <c r="M31" s="1"/>
      <c r="N31" s="1"/>
      <c r="O31" s="1"/>
      <c r="P31" s="1"/>
      <c r="Q31" s="1"/>
    </row>
    <row r="32" spans="1:17" ht="67.5" customHeight="1" thickBot="1">
      <c r="A32" s="84"/>
      <c r="B32" s="409" t="s">
        <v>192</v>
      </c>
      <c r="C32" s="409"/>
      <c r="D32" s="409"/>
      <c r="E32" s="409"/>
      <c r="F32" s="409"/>
      <c r="G32" s="409"/>
      <c r="H32" s="409"/>
      <c r="I32" s="409"/>
      <c r="J32" s="409"/>
      <c r="K32" s="409"/>
      <c r="L32" s="409"/>
      <c r="M32" s="409"/>
      <c r="N32" s="409"/>
      <c r="O32" s="409"/>
      <c r="P32" s="409"/>
      <c r="Q32" s="84"/>
    </row>
    <row r="33" spans="1:17" ht="15.75" customHeight="1" thickTop="1">
      <c r="A33" s="1"/>
      <c r="B33" s="77"/>
      <c r="C33" s="77"/>
      <c r="D33" s="77"/>
      <c r="E33" s="77"/>
      <c r="F33" s="77"/>
      <c r="G33" s="77"/>
      <c r="H33" s="77"/>
      <c r="I33" s="77"/>
      <c r="J33" s="77"/>
      <c r="K33" s="77"/>
      <c r="L33" s="77"/>
      <c r="M33" s="77"/>
      <c r="N33" s="77"/>
      <c r="O33" s="77"/>
      <c r="P33" s="77"/>
      <c r="Q33" s="1"/>
    </row>
    <row r="34" spans="1:17" ht="15.75" customHeight="1">
      <c r="A34" s="1"/>
      <c r="B34" s="77"/>
      <c r="C34" s="77"/>
      <c r="D34" s="77"/>
      <c r="E34" s="77"/>
      <c r="F34" s="77"/>
      <c r="G34" s="77"/>
      <c r="H34" s="77"/>
      <c r="I34" s="77"/>
      <c r="J34" s="77"/>
      <c r="K34" s="77"/>
      <c r="L34" s="77"/>
      <c r="M34" s="77"/>
      <c r="N34" s="77"/>
      <c r="O34" s="77"/>
      <c r="P34" s="77"/>
      <c r="Q34" s="1"/>
    </row>
    <row r="35" spans="1:17" ht="15.75" customHeight="1">
      <c r="A35" s="1"/>
      <c r="B35" s="1"/>
      <c r="C35" s="1"/>
      <c r="D35" s="1"/>
      <c r="E35" s="1"/>
      <c r="F35" s="120"/>
      <c r="G35" s="120"/>
      <c r="H35" s="120"/>
      <c r="I35" s="120"/>
      <c r="J35" s="123" t="str">
        <f>E51</f>
        <v>Panama</v>
      </c>
      <c r="K35" s="123" t="s">
        <v>60</v>
      </c>
      <c r="L35" s="77"/>
      <c r="M35" s="77"/>
      <c r="N35" s="77"/>
      <c r="O35" s="77"/>
      <c r="P35" s="77"/>
      <c r="Q35" s="1"/>
    </row>
    <row r="36" spans="1:17" ht="15.75" customHeight="1">
      <c r="A36" s="1"/>
      <c r="B36" s="1"/>
      <c r="C36" s="1"/>
      <c r="D36" s="1"/>
      <c r="E36" s="1"/>
      <c r="F36" s="419" t="s">
        <v>194</v>
      </c>
      <c r="G36" s="118" t="s">
        <v>169</v>
      </c>
      <c r="H36" s="113"/>
      <c r="I36" s="113"/>
      <c r="J36" s="124" t="str">
        <f>VLOOKUP($J$35,$K$55:$X$72,2,FALSE)</f>
        <v>NA</v>
      </c>
      <c r="K36" s="124">
        <f>L72</f>
        <v>0.36040974999999997</v>
      </c>
      <c r="L36" s="77"/>
      <c r="M36" s="77"/>
      <c r="N36" s="77"/>
      <c r="O36" s="77"/>
      <c r="P36" s="77"/>
      <c r="Q36" s="1"/>
    </row>
    <row r="37" spans="1:17" ht="15.75" customHeight="1">
      <c r="A37" s="1"/>
      <c r="B37" s="1"/>
      <c r="C37" s="1"/>
      <c r="D37" s="1"/>
      <c r="E37" s="1"/>
      <c r="F37" s="419"/>
      <c r="G37" s="118" t="s">
        <v>170</v>
      </c>
      <c r="H37" s="113"/>
      <c r="I37" s="113"/>
      <c r="J37" s="124" t="str">
        <f>VLOOKUP($J$35,$K$55:$X$72,3,FALSE)</f>
        <v>NA</v>
      </c>
      <c r="K37" s="124">
        <f>M72</f>
        <v>0.46666375000000004</v>
      </c>
      <c r="L37" s="77"/>
      <c r="M37" s="77"/>
      <c r="N37" s="77"/>
      <c r="O37" s="77"/>
      <c r="P37" s="77"/>
      <c r="Q37" s="1"/>
    </row>
    <row r="38" spans="1:17" ht="15.75" customHeight="1">
      <c r="A38" s="1"/>
      <c r="B38" s="1"/>
      <c r="C38" s="1"/>
      <c r="D38" s="1"/>
      <c r="E38" s="1"/>
      <c r="F38" s="424"/>
      <c r="G38" s="119" t="s">
        <v>171</v>
      </c>
      <c r="H38" s="120"/>
      <c r="I38" s="120"/>
      <c r="J38" s="125" t="str">
        <f>VLOOKUP($J$35,$K$55:$X$72,4,FALSE)</f>
        <v>NA</v>
      </c>
      <c r="K38" s="125">
        <f>N72</f>
        <v>0.59513899999999997</v>
      </c>
      <c r="L38" s="77"/>
      <c r="M38" s="77"/>
      <c r="N38" s="77"/>
      <c r="O38" s="77"/>
      <c r="P38" s="77"/>
      <c r="Q38" s="1"/>
    </row>
    <row r="39" spans="1:17" ht="15.75" customHeight="1">
      <c r="A39" s="1"/>
      <c r="B39" s="1"/>
      <c r="C39" s="1"/>
      <c r="D39" s="1"/>
      <c r="E39" s="1"/>
      <c r="F39" s="425" t="s">
        <v>195</v>
      </c>
      <c r="G39" s="121" t="s">
        <v>172</v>
      </c>
      <c r="H39" s="122"/>
      <c r="I39" s="122"/>
      <c r="J39" s="126">
        <f>VLOOKUP($J$35,$K$55:$X$72,5,FALSE)</f>
        <v>0.87213300000000005</v>
      </c>
      <c r="K39" s="126">
        <f>O72</f>
        <v>0.66881238666666676</v>
      </c>
      <c r="L39" s="77"/>
      <c r="M39" s="77"/>
      <c r="N39" s="77"/>
      <c r="O39" s="77"/>
      <c r="P39" s="77"/>
      <c r="Q39" s="1"/>
    </row>
    <row r="40" spans="1:17" ht="15.75" customHeight="1">
      <c r="A40" s="1"/>
      <c r="B40" s="1"/>
      <c r="C40" s="1"/>
      <c r="D40" s="1"/>
      <c r="E40" s="1"/>
      <c r="F40" s="424"/>
      <c r="G40" s="119" t="s">
        <v>173</v>
      </c>
      <c r="H40" s="120"/>
      <c r="I40" s="120"/>
      <c r="J40" s="125">
        <f>VLOOKUP($J$35,$K$55:$X$72,6,FALSE)</f>
        <v>0.76700699999999999</v>
      </c>
      <c r="K40" s="125">
        <f>P72</f>
        <v>0.65935013333333314</v>
      </c>
      <c r="L40" s="77"/>
      <c r="M40" s="77"/>
      <c r="N40" s="77"/>
      <c r="O40" s="77"/>
      <c r="P40" s="77"/>
      <c r="Q40" s="1"/>
    </row>
    <row r="41" spans="1:17" ht="15.75" customHeight="1">
      <c r="A41" s="1"/>
      <c r="B41" s="1"/>
      <c r="C41" s="1"/>
      <c r="D41" s="1"/>
      <c r="E41" s="1"/>
      <c r="F41" s="425" t="s">
        <v>114</v>
      </c>
      <c r="G41" s="121" t="s">
        <v>172</v>
      </c>
      <c r="H41" s="122"/>
      <c r="I41" s="122"/>
      <c r="J41" s="126" t="str">
        <f>VLOOKUP($J$35,$K$55:$X$72,8,FALSE)</f>
        <v>NA</v>
      </c>
      <c r="K41" s="126">
        <f>R72</f>
        <v>0.84674444444444441</v>
      </c>
      <c r="L41" s="77"/>
      <c r="M41" s="77"/>
      <c r="N41" s="77"/>
      <c r="O41" s="77"/>
      <c r="P41" s="77"/>
      <c r="Q41" s="1"/>
    </row>
    <row r="42" spans="1:17" ht="15.75" customHeight="1">
      <c r="A42" s="1"/>
      <c r="B42" s="1"/>
      <c r="C42" s="1"/>
      <c r="D42" s="1"/>
      <c r="E42" s="1"/>
      <c r="F42" s="419"/>
      <c r="G42" s="118" t="s">
        <v>173</v>
      </c>
      <c r="H42" s="113"/>
      <c r="I42" s="113"/>
      <c r="J42" s="124" t="str">
        <f>VLOOKUP($J$35,$K$55:$X$72,9,FALSE)</f>
        <v>NA</v>
      </c>
      <c r="K42" s="124">
        <f>S72</f>
        <v>0.95035555555555562</v>
      </c>
      <c r="L42" s="77"/>
      <c r="M42" s="77"/>
      <c r="N42" s="77"/>
      <c r="O42" s="77"/>
      <c r="P42" s="77"/>
      <c r="Q42" s="1"/>
    </row>
    <row r="43" spans="1:17" ht="15.75" customHeight="1">
      <c r="A43" s="1"/>
      <c r="B43" s="1"/>
      <c r="C43" s="1"/>
      <c r="D43" s="1"/>
      <c r="E43" s="1"/>
      <c r="F43" s="424"/>
      <c r="G43" s="119" t="s">
        <v>174</v>
      </c>
      <c r="H43" s="120"/>
      <c r="I43" s="120"/>
      <c r="J43" s="125" t="str">
        <f>VLOOKUP($J$35,$K$55:$X$72,10,FALSE)</f>
        <v>NA</v>
      </c>
      <c r="K43" s="125">
        <f>T72</f>
        <v>0.87348888888888909</v>
      </c>
      <c r="L43" s="77"/>
      <c r="M43" s="77"/>
      <c r="N43" s="77"/>
      <c r="O43" s="77"/>
      <c r="P43" s="77"/>
      <c r="Q43" s="1"/>
    </row>
    <row r="44" spans="1:17" ht="15.75" customHeight="1">
      <c r="A44" s="1"/>
      <c r="B44" s="1"/>
      <c r="C44" s="1"/>
      <c r="D44" s="1"/>
      <c r="E44" s="1"/>
      <c r="F44" s="425" t="s">
        <v>196</v>
      </c>
      <c r="G44" s="121" t="s">
        <v>173</v>
      </c>
      <c r="H44" s="122"/>
      <c r="I44" s="122"/>
      <c r="J44" s="126" t="str">
        <f>VLOOKUP($J$35,$K$55:$X$72,11,FALSE)</f>
        <v>NA</v>
      </c>
      <c r="K44" s="126">
        <f>U72</f>
        <v>0.59646900000000003</v>
      </c>
      <c r="L44" s="77"/>
      <c r="M44" s="77"/>
      <c r="N44" s="77"/>
      <c r="O44" s="77"/>
      <c r="P44" s="77"/>
      <c r="Q44" s="1"/>
    </row>
    <row r="45" spans="1:17" ht="15.75" customHeight="1">
      <c r="A45" s="1"/>
      <c r="B45" s="1"/>
      <c r="C45" s="1"/>
      <c r="D45" s="1"/>
      <c r="E45" s="1"/>
      <c r="F45" s="419"/>
      <c r="G45" s="118" t="s">
        <v>175</v>
      </c>
      <c r="H45" s="113"/>
      <c r="I45" s="113"/>
      <c r="J45" s="124" t="str">
        <f>VLOOKUP($J$35,$K$55:$X$72,12,FALSE)</f>
        <v>NA</v>
      </c>
      <c r="K45" s="124">
        <f>V72</f>
        <v>0.43487189999999998</v>
      </c>
      <c r="L45" s="77"/>
      <c r="M45" s="77"/>
      <c r="N45" s="77"/>
      <c r="O45" s="77"/>
      <c r="P45" s="77"/>
      <c r="Q45" s="1"/>
    </row>
    <row r="46" spans="1:17" ht="15.75" customHeight="1">
      <c r="A46" s="1"/>
      <c r="B46" s="1"/>
      <c r="C46" s="1"/>
      <c r="D46" s="1"/>
      <c r="E46" s="1"/>
      <c r="F46" s="419"/>
      <c r="G46" s="118" t="s">
        <v>176</v>
      </c>
      <c r="H46" s="113"/>
      <c r="I46" s="113"/>
      <c r="J46" s="124" t="str">
        <f>VLOOKUP($J$35,$K$55:$X$72,13,FALSE)</f>
        <v>NA</v>
      </c>
      <c r="K46" s="124">
        <f>W72</f>
        <v>0.4990385</v>
      </c>
      <c r="L46" s="77"/>
      <c r="M46" s="77"/>
      <c r="N46" s="77"/>
      <c r="O46" s="77"/>
      <c r="P46" s="77"/>
      <c r="Q46" s="1"/>
    </row>
    <row r="47" spans="1:17" ht="15.75" customHeight="1">
      <c r="A47" s="1"/>
      <c r="B47" s="1"/>
      <c r="C47" s="1"/>
      <c r="D47" s="1"/>
      <c r="E47" s="1"/>
      <c r="F47" s="424"/>
      <c r="G47" s="119" t="s">
        <v>177</v>
      </c>
      <c r="H47" s="120"/>
      <c r="I47" s="120"/>
      <c r="J47" s="125" t="str">
        <f>VLOOKUP($J$35,$K$55:$X$72,14,FALSE)</f>
        <v>NA</v>
      </c>
      <c r="K47" s="125">
        <f>X72</f>
        <v>0.33302500000000002</v>
      </c>
      <c r="L47" s="77"/>
      <c r="M47" s="77"/>
      <c r="N47" s="77"/>
      <c r="O47" s="77"/>
      <c r="P47" s="77"/>
      <c r="Q47" s="1"/>
    </row>
    <row r="48" spans="1:17" ht="15.75" customHeight="1">
      <c r="A48" s="1"/>
      <c r="B48" s="77"/>
      <c r="C48" s="77"/>
      <c r="D48" s="77"/>
      <c r="E48" s="77"/>
      <c r="F48" s="77"/>
      <c r="G48" s="77"/>
      <c r="H48" s="77"/>
      <c r="I48" s="77"/>
      <c r="J48" s="77"/>
      <c r="K48" s="77"/>
      <c r="L48" s="77"/>
      <c r="M48" s="77"/>
      <c r="N48" s="77"/>
      <c r="O48" s="77"/>
      <c r="P48" s="77"/>
      <c r="Q48" s="1"/>
    </row>
    <row r="49" spans="1:24" ht="15.75" customHeight="1">
      <c r="A49" s="1"/>
      <c r="B49" s="77"/>
      <c r="C49" s="77"/>
      <c r="D49" s="77"/>
      <c r="E49" s="77"/>
      <c r="F49" s="77"/>
      <c r="G49" s="77"/>
      <c r="H49" s="77"/>
      <c r="I49" s="77"/>
      <c r="J49" s="77"/>
      <c r="K49" s="77"/>
      <c r="L49" s="77"/>
      <c r="M49" s="77"/>
      <c r="N49" s="77"/>
      <c r="O49" s="77"/>
      <c r="P49" s="77"/>
      <c r="Q49" s="1"/>
    </row>
    <row r="50" spans="1:24" ht="21.75" customHeight="1"/>
    <row r="51" spans="1:24" hidden="1">
      <c r="B51" s="413" t="s">
        <v>73</v>
      </c>
      <c r="C51" s="413"/>
      <c r="D51" s="413"/>
      <c r="E51" s="413" t="str">
        <f>'Country Selection'!C5</f>
        <v>Panama</v>
      </c>
      <c r="F51" s="413"/>
      <c r="G51" s="413"/>
      <c r="H51" s="413"/>
    </row>
    <row r="52" spans="1:24" ht="1" customHeight="1"/>
    <row r="53" spans="1:24" ht="1" customHeight="1">
      <c r="B53" s="8"/>
      <c r="C53" s="8"/>
      <c r="D53" s="8" t="s">
        <v>164</v>
      </c>
      <c r="E53" s="8" t="s">
        <v>165</v>
      </c>
      <c r="F53" s="8" t="s">
        <v>166</v>
      </c>
      <c r="G53" s="8" t="s">
        <v>167</v>
      </c>
      <c r="H53" s="8" t="s">
        <v>168</v>
      </c>
      <c r="K53" s="8"/>
      <c r="L53" s="404" t="s">
        <v>194</v>
      </c>
      <c r="M53" s="404"/>
      <c r="N53" s="404"/>
      <c r="O53" s="8" t="s">
        <v>195</v>
      </c>
      <c r="P53" s="404" t="s">
        <v>114</v>
      </c>
      <c r="Q53" s="404"/>
      <c r="R53" s="404"/>
      <c r="S53" s="404"/>
      <c r="T53" s="404" t="s">
        <v>196</v>
      </c>
      <c r="U53" s="404"/>
      <c r="V53" s="404"/>
      <c r="W53" s="404"/>
      <c r="X53" s="8"/>
    </row>
    <row r="54" spans="1:24" ht="1" customHeight="1">
      <c r="B54" s="8" t="s">
        <v>164</v>
      </c>
      <c r="C54" s="8" t="s">
        <v>169</v>
      </c>
      <c r="D54" s="56" t="str">
        <f>J36</f>
        <v>NA</v>
      </c>
      <c r="E54" s="56"/>
      <c r="F54" s="56"/>
      <c r="G54" s="56"/>
      <c r="H54" s="56"/>
      <c r="K54" s="8"/>
      <c r="L54" s="8" t="s">
        <v>178</v>
      </c>
      <c r="M54" s="8" t="s">
        <v>179</v>
      </c>
      <c r="N54" s="8" t="s">
        <v>180</v>
      </c>
      <c r="O54" s="8" t="s">
        <v>239</v>
      </c>
      <c r="P54" s="8" t="s">
        <v>173</v>
      </c>
      <c r="Q54" s="8"/>
      <c r="R54" s="8" t="s">
        <v>172</v>
      </c>
      <c r="S54" s="8" t="s">
        <v>173</v>
      </c>
      <c r="T54" s="8" t="s">
        <v>174</v>
      </c>
      <c r="U54" s="8" t="s">
        <v>173</v>
      </c>
      <c r="V54" s="8" t="s">
        <v>175</v>
      </c>
      <c r="W54" s="8" t="s">
        <v>176</v>
      </c>
      <c r="X54" s="8" t="s">
        <v>191</v>
      </c>
    </row>
    <row r="55" spans="1:24" ht="1" customHeight="1">
      <c r="B55" s="8"/>
      <c r="C55" s="8" t="s">
        <v>170</v>
      </c>
      <c r="D55" s="56" t="str">
        <f>J37</f>
        <v>NA</v>
      </c>
      <c r="E55" s="56"/>
      <c r="F55" s="56"/>
      <c r="G55" s="56"/>
      <c r="H55" s="56"/>
      <c r="K55" s="8" t="s">
        <v>36</v>
      </c>
      <c r="L55" s="60" t="s">
        <v>162</v>
      </c>
      <c r="M55" s="60" t="s">
        <v>162</v>
      </c>
      <c r="N55" s="60" t="s">
        <v>162</v>
      </c>
      <c r="O55" s="8">
        <v>0.47788789999999992</v>
      </c>
      <c r="P55" s="8">
        <v>0.53587410000000002</v>
      </c>
      <c r="Q55" s="8"/>
      <c r="R55" s="60" t="s">
        <v>162</v>
      </c>
      <c r="S55" s="60" t="s">
        <v>162</v>
      </c>
      <c r="T55" s="60" t="s">
        <v>162</v>
      </c>
      <c r="U55" s="60" t="s">
        <v>162</v>
      </c>
      <c r="V55" s="60" t="s">
        <v>162</v>
      </c>
      <c r="W55" s="60" t="s">
        <v>162</v>
      </c>
      <c r="X55" s="60" t="s">
        <v>162</v>
      </c>
    </row>
    <row r="56" spans="1:24" ht="1" customHeight="1">
      <c r="B56" s="8"/>
      <c r="C56" s="8" t="s">
        <v>171</v>
      </c>
      <c r="D56" s="56" t="str">
        <f>J38</f>
        <v>NA</v>
      </c>
      <c r="E56" s="56"/>
      <c r="F56" s="56"/>
      <c r="G56" s="56"/>
      <c r="H56" s="56"/>
      <c r="K56" s="8" t="s">
        <v>39</v>
      </c>
      <c r="L56" s="60" t="s">
        <v>162</v>
      </c>
      <c r="M56" s="60" t="s">
        <v>162</v>
      </c>
      <c r="N56" s="60" t="s">
        <v>162</v>
      </c>
      <c r="O56" s="60" t="s">
        <v>162</v>
      </c>
      <c r="P56" s="60" t="s">
        <v>162</v>
      </c>
      <c r="Q56" s="8"/>
      <c r="R56" s="60" t="s">
        <v>162</v>
      </c>
      <c r="S56" s="60" t="s">
        <v>162</v>
      </c>
      <c r="T56" s="60" t="s">
        <v>162</v>
      </c>
      <c r="U56" s="60">
        <v>0.61289669999999996</v>
      </c>
      <c r="V56" s="60">
        <v>0.41972939999999997</v>
      </c>
      <c r="W56" s="60">
        <v>0.40800619999999999</v>
      </c>
      <c r="X56" s="60">
        <v>0.2543668</v>
      </c>
    </row>
    <row r="57" spans="1:24" ht="1" customHeight="1">
      <c r="B57" s="8" t="s">
        <v>165</v>
      </c>
      <c r="C57" s="8" t="s">
        <v>172</v>
      </c>
      <c r="D57" s="56"/>
      <c r="E57" s="56">
        <f>J39</f>
        <v>0.87213300000000005</v>
      </c>
      <c r="F57" s="56"/>
      <c r="G57" s="56"/>
      <c r="H57" s="56"/>
      <c r="K57" s="8" t="s">
        <v>40</v>
      </c>
      <c r="L57" s="60" t="s">
        <v>162</v>
      </c>
      <c r="M57" s="60" t="s">
        <v>162</v>
      </c>
      <c r="N57" s="60" t="s">
        <v>162</v>
      </c>
      <c r="O57" s="8">
        <v>0.7104142</v>
      </c>
      <c r="P57" s="8">
        <v>0.63509290000000007</v>
      </c>
      <c r="Q57" s="8"/>
      <c r="R57" s="60">
        <v>0.97779999999999978</v>
      </c>
      <c r="S57" s="60">
        <v>0.8788999999999999</v>
      </c>
      <c r="T57" s="60">
        <v>0.91520000000000035</v>
      </c>
      <c r="U57" s="60" t="s">
        <v>162</v>
      </c>
      <c r="V57" s="60" t="s">
        <v>162</v>
      </c>
      <c r="W57" s="60" t="s">
        <v>162</v>
      </c>
      <c r="X57" s="60" t="s">
        <v>162</v>
      </c>
    </row>
    <row r="58" spans="1:24" ht="1" customHeight="1">
      <c r="B58" s="8"/>
      <c r="C58" s="8" t="s">
        <v>173</v>
      </c>
      <c r="D58" s="56"/>
      <c r="E58" s="56">
        <f>J40</f>
        <v>0.76700699999999999</v>
      </c>
      <c r="F58" s="56"/>
      <c r="G58" s="56"/>
      <c r="H58" s="56"/>
      <c r="K58" s="8" t="s">
        <v>41</v>
      </c>
      <c r="L58" s="60" t="s">
        <v>162</v>
      </c>
      <c r="M58" s="60" t="s">
        <v>162</v>
      </c>
      <c r="N58" s="60" t="s">
        <v>162</v>
      </c>
      <c r="O58" s="8">
        <v>0.62959539999999992</v>
      </c>
      <c r="P58" s="8">
        <v>0.55889679999999997</v>
      </c>
      <c r="Q58" s="8"/>
      <c r="R58" s="60">
        <v>1.0393999999999999</v>
      </c>
      <c r="S58" s="60">
        <v>0.93730000000000013</v>
      </c>
      <c r="T58" s="60">
        <v>1.0197000000000003</v>
      </c>
      <c r="U58" s="60" t="s">
        <v>162</v>
      </c>
      <c r="V58" s="60" t="s">
        <v>162</v>
      </c>
      <c r="W58" s="60" t="s">
        <v>162</v>
      </c>
      <c r="X58" s="60" t="s">
        <v>162</v>
      </c>
    </row>
    <row r="59" spans="1:24" ht="1" customHeight="1">
      <c r="B59" s="8" t="s">
        <v>166</v>
      </c>
      <c r="C59" s="8" t="s">
        <v>172</v>
      </c>
      <c r="D59" s="56"/>
      <c r="E59" s="56"/>
      <c r="F59" s="56" t="str">
        <f>J41</f>
        <v>NA</v>
      </c>
      <c r="G59" s="56"/>
      <c r="H59" s="56"/>
      <c r="K59" s="8" t="s">
        <v>42</v>
      </c>
      <c r="L59" s="60" t="s">
        <v>162</v>
      </c>
      <c r="M59" s="60" t="s">
        <v>162</v>
      </c>
      <c r="N59" s="60" t="s">
        <v>162</v>
      </c>
      <c r="O59" s="8">
        <v>0.8836061999999999</v>
      </c>
      <c r="P59" s="8">
        <v>0.78145110000000007</v>
      </c>
      <c r="Q59" s="8"/>
      <c r="R59" s="60">
        <v>0.78060000000000007</v>
      </c>
      <c r="S59" s="60">
        <v>0.95650000000000035</v>
      </c>
      <c r="T59" s="60">
        <v>0.85890000000000044</v>
      </c>
      <c r="U59" s="60">
        <v>0.58055259999999997</v>
      </c>
      <c r="V59" s="60">
        <v>0.50151159999999995</v>
      </c>
      <c r="W59" s="60">
        <v>0.8442539</v>
      </c>
      <c r="X59" s="60">
        <v>0.61349200000000004</v>
      </c>
    </row>
    <row r="60" spans="1:24" ht="1" customHeight="1">
      <c r="B60" s="8"/>
      <c r="C60" s="8" t="s">
        <v>173</v>
      </c>
      <c r="D60" s="56"/>
      <c r="E60" s="56"/>
      <c r="F60" s="56" t="str">
        <f>J42</f>
        <v>NA</v>
      </c>
      <c r="G60" s="56"/>
      <c r="H60" s="56"/>
      <c r="K60" s="8" t="s">
        <v>43</v>
      </c>
      <c r="L60" s="60">
        <v>5.9299999999999999E-2</v>
      </c>
      <c r="M60" s="60">
        <v>0.463397</v>
      </c>
      <c r="N60" s="60">
        <v>0.55893899999999996</v>
      </c>
      <c r="O60" s="8">
        <v>0.48023020000000005</v>
      </c>
      <c r="P60" s="8">
        <v>0.53947079999999992</v>
      </c>
      <c r="Q60" s="8"/>
      <c r="R60" s="60">
        <v>0.70920000000000016</v>
      </c>
      <c r="S60" s="60">
        <v>0.91079999999999983</v>
      </c>
      <c r="T60" s="60">
        <v>0.78430000000000011</v>
      </c>
      <c r="U60" s="60" t="s">
        <v>162</v>
      </c>
      <c r="V60" s="60" t="s">
        <v>162</v>
      </c>
      <c r="W60" s="60" t="s">
        <v>162</v>
      </c>
      <c r="X60" s="60" t="s">
        <v>162</v>
      </c>
    </row>
    <row r="61" spans="1:24" ht="1" customHeight="1">
      <c r="B61" s="8"/>
      <c r="C61" s="8" t="s">
        <v>174</v>
      </c>
      <c r="D61" s="56"/>
      <c r="E61" s="56"/>
      <c r="F61" s="56" t="str">
        <f>J43</f>
        <v>NA</v>
      </c>
      <c r="G61" s="56"/>
      <c r="H61" s="56"/>
      <c r="K61" s="8" t="s">
        <v>113</v>
      </c>
      <c r="L61" s="60" t="s">
        <v>162</v>
      </c>
      <c r="M61" s="60" t="s">
        <v>162</v>
      </c>
      <c r="N61" s="60" t="s">
        <v>162</v>
      </c>
      <c r="O61" s="8">
        <v>0.36503499999999978</v>
      </c>
      <c r="P61" s="8">
        <v>0.36124100000000015</v>
      </c>
      <c r="Q61" s="8"/>
      <c r="R61" s="60">
        <v>0.60839999999999972</v>
      </c>
      <c r="S61" s="60">
        <v>0.83530000000000026</v>
      </c>
      <c r="T61" s="60">
        <v>0.7422000000000003</v>
      </c>
      <c r="U61" s="60" t="s">
        <v>162</v>
      </c>
      <c r="V61" s="60" t="s">
        <v>162</v>
      </c>
      <c r="W61" s="60" t="s">
        <v>162</v>
      </c>
      <c r="X61" s="60" t="s">
        <v>162</v>
      </c>
    </row>
    <row r="62" spans="1:24" ht="1" customHeight="1">
      <c r="B62" s="8" t="s">
        <v>167</v>
      </c>
      <c r="C62" s="8" t="s">
        <v>173</v>
      </c>
      <c r="D62" s="56"/>
      <c r="E62" s="56"/>
      <c r="F62" s="56"/>
      <c r="G62" s="56" t="str">
        <f>J44</f>
        <v>NA</v>
      </c>
      <c r="H62" s="56"/>
      <c r="K62" s="8" t="s">
        <v>45</v>
      </c>
      <c r="L62" s="60" t="s">
        <v>162</v>
      </c>
      <c r="M62" s="60" t="s">
        <v>162</v>
      </c>
      <c r="N62" s="60" t="s">
        <v>162</v>
      </c>
      <c r="O62" s="8">
        <v>0.54794090000000006</v>
      </c>
      <c r="P62" s="8">
        <v>0.62588399999999988</v>
      </c>
      <c r="Q62" s="8"/>
      <c r="R62" s="60" t="s">
        <v>162</v>
      </c>
      <c r="S62" s="60" t="s">
        <v>162</v>
      </c>
      <c r="T62" s="60" t="s">
        <v>162</v>
      </c>
      <c r="U62" s="60" t="s">
        <v>162</v>
      </c>
      <c r="V62" s="60" t="s">
        <v>162</v>
      </c>
      <c r="W62" s="60" t="s">
        <v>162</v>
      </c>
      <c r="X62" s="60" t="s">
        <v>162</v>
      </c>
    </row>
    <row r="63" spans="1:24" ht="1" customHeight="1">
      <c r="B63" s="8"/>
      <c r="C63" s="8" t="s">
        <v>175</v>
      </c>
      <c r="D63" s="56"/>
      <c r="E63" s="56"/>
      <c r="F63" s="56"/>
      <c r="G63" s="56" t="str">
        <f>J45</f>
        <v>NA</v>
      </c>
      <c r="H63" s="56"/>
      <c r="K63" s="8" t="s">
        <v>47</v>
      </c>
      <c r="L63" s="60" t="s">
        <v>162</v>
      </c>
      <c r="M63" s="60" t="s">
        <v>162</v>
      </c>
      <c r="N63" s="60" t="s">
        <v>162</v>
      </c>
      <c r="O63" s="8">
        <v>1.0411907</v>
      </c>
      <c r="P63" s="8">
        <v>0.95886049999999989</v>
      </c>
      <c r="Q63" s="8"/>
      <c r="R63" s="60" t="s">
        <v>162</v>
      </c>
      <c r="S63" s="60" t="s">
        <v>162</v>
      </c>
      <c r="T63" s="60" t="s">
        <v>162</v>
      </c>
      <c r="U63" s="60" t="s">
        <v>162</v>
      </c>
      <c r="V63" s="60" t="s">
        <v>162</v>
      </c>
      <c r="W63" s="60" t="s">
        <v>162</v>
      </c>
      <c r="X63" s="60" t="s">
        <v>162</v>
      </c>
    </row>
    <row r="64" spans="1:24" ht="1" customHeight="1">
      <c r="B64" s="8"/>
      <c r="C64" s="8" t="s">
        <v>176</v>
      </c>
      <c r="D64" s="56"/>
      <c r="E64" s="56"/>
      <c r="F64" s="56"/>
      <c r="G64" s="56" t="str">
        <f>J46</f>
        <v>NA</v>
      </c>
      <c r="H64" s="56"/>
      <c r="K64" s="8" t="s">
        <v>50</v>
      </c>
      <c r="L64" s="60" t="s">
        <v>162</v>
      </c>
      <c r="M64" s="60" t="s">
        <v>162</v>
      </c>
      <c r="N64" s="60" t="s">
        <v>162</v>
      </c>
      <c r="O64" s="8">
        <v>0.59977130000000001</v>
      </c>
      <c r="P64" s="8">
        <v>0.62489760000000005</v>
      </c>
      <c r="Q64" s="8"/>
      <c r="R64" s="60" t="s">
        <v>162</v>
      </c>
      <c r="S64" s="60" t="s">
        <v>162</v>
      </c>
      <c r="T64" s="60" t="s">
        <v>162</v>
      </c>
      <c r="U64" s="60" t="s">
        <v>162</v>
      </c>
      <c r="V64" s="60" t="s">
        <v>162</v>
      </c>
      <c r="W64" s="60" t="s">
        <v>162</v>
      </c>
      <c r="X64" s="60" t="s">
        <v>162</v>
      </c>
    </row>
    <row r="65" spans="2:24" ht="1" customHeight="1">
      <c r="B65" s="8" t="s">
        <v>167</v>
      </c>
      <c r="C65" s="8" t="s">
        <v>177</v>
      </c>
      <c r="D65" s="56"/>
      <c r="E65" s="56"/>
      <c r="F65" s="56"/>
      <c r="G65" s="56"/>
      <c r="H65" s="56" t="str">
        <f>J47</f>
        <v>NA</v>
      </c>
      <c r="K65" s="8" t="s">
        <v>52</v>
      </c>
      <c r="L65" s="60" t="s">
        <v>162</v>
      </c>
      <c r="M65" s="60" t="s">
        <v>162</v>
      </c>
      <c r="N65" s="60" t="s">
        <v>162</v>
      </c>
      <c r="O65" s="8">
        <v>0.8073688</v>
      </c>
      <c r="P65" s="8">
        <v>0.84035460000000006</v>
      </c>
      <c r="Q65" s="8"/>
      <c r="R65" s="60">
        <v>0.62560000000000004</v>
      </c>
      <c r="S65" s="60">
        <v>0.75740000000000007</v>
      </c>
      <c r="T65" s="60">
        <v>0.67079999999999984</v>
      </c>
      <c r="U65" s="60" t="s">
        <v>162</v>
      </c>
      <c r="V65" s="60" t="s">
        <v>162</v>
      </c>
      <c r="W65" s="60" t="s">
        <v>162</v>
      </c>
      <c r="X65" s="60" t="s">
        <v>162</v>
      </c>
    </row>
    <row r="66" spans="2:24" ht="1" customHeight="1">
      <c r="B66" s="8"/>
      <c r="C66" s="8"/>
      <c r="D66" s="8"/>
      <c r="E66" s="8"/>
      <c r="F66" s="8"/>
      <c r="G66" s="8"/>
      <c r="H66" s="8"/>
      <c r="K66" s="8" t="s">
        <v>53</v>
      </c>
      <c r="L66" s="60">
        <v>-2.3709999999999998E-2</v>
      </c>
      <c r="M66" s="60">
        <v>0.24096899999999999</v>
      </c>
      <c r="N66" s="60">
        <v>0.49413699999999999</v>
      </c>
      <c r="O66" s="8">
        <v>0.34011499999999995</v>
      </c>
      <c r="P66" s="8">
        <v>0.44432699999999992</v>
      </c>
      <c r="Q66" s="8"/>
      <c r="R66" s="60" t="s">
        <v>162</v>
      </c>
      <c r="S66" s="60" t="s">
        <v>162</v>
      </c>
      <c r="T66" s="60" t="s">
        <v>162</v>
      </c>
      <c r="U66" s="60" t="s">
        <v>162</v>
      </c>
      <c r="V66" s="60" t="s">
        <v>162</v>
      </c>
      <c r="W66" s="60" t="s">
        <v>162</v>
      </c>
      <c r="X66" s="60" t="s">
        <v>162</v>
      </c>
    </row>
    <row r="67" spans="2:24" ht="1" customHeight="1">
      <c r="B67" s="8"/>
      <c r="C67" s="8"/>
      <c r="D67" s="8"/>
      <c r="E67" s="8"/>
      <c r="F67" s="8"/>
      <c r="G67" s="8"/>
      <c r="H67" s="8"/>
      <c r="K67" s="8" t="s">
        <v>54</v>
      </c>
      <c r="L67" s="60" t="s">
        <v>162</v>
      </c>
      <c r="M67" s="60" t="s">
        <v>162</v>
      </c>
      <c r="N67" s="60" t="s">
        <v>162</v>
      </c>
      <c r="O67" s="8">
        <v>0.87213300000000005</v>
      </c>
      <c r="P67" s="8">
        <v>0.76700699999999999</v>
      </c>
      <c r="Q67" s="8"/>
      <c r="R67" s="60" t="s">
        <v>162</v>
      </c>
      <c r="S67" s="60" t="s">
        <v>162</v>
      </c>
      <c r="T67" s="60" t="s">
        <v>162</v>
      </c>
      <c r="U67" s="60" t="s">
        <v>162</v>
      </c>
      <c r="V67" s="60" t="s">
        <v>162</v>
      </c>
      <c r="W67" s="60" t="s">
        <v>162</v>
      </c>
      <c r="X67" s="60" t="s">
        <v>162</v>
      </c>
    </row>
    <row r="68" spans="2:24" ht="1" customHeight="1">
      <c r="B68" s="8"/>
      <c r="C68" s="8"/>
      <c r="D68" s="8"/>
      <c r="E68" s="8"/>
      <c r="F68" s="8"/>
      <c r="G68" s="8"/>
      <c r="H68" s="8"/>
      <c r="K68" s="8" t="s">
        <v>55</v>
      </c>
      <c r="L68" s="60">
        <v>0.60266900000000001</v>
      </c>
      <c r="M68" s="60">
        <v>0.55335000000000001</v>
      </c>
      <c r="N68" s="60">
        <v>0.86802999999999997</v>
      </c>
      <c r="O68" s="8">
        <v>0.346719</v>
      </c>
      <c r="P68" s="8">
        <v>0.56246299999999994</v>
      </c>
      <c r="Q68" s="8"/>
      <c r="R68" s="60" t="s">
        <v>162</v>
      </c>
      <c r="S68" s="60" t="s">
        <v>162</v>
      </c>
      <c r="T68" s="60" t="s">
        <v>162</v>
      </c>
      <c r="U68" s="60" t="s">
        <v>162</v>
      </c>
      <c r="V68" s="60" t="s">
        <v>162</v>
      </c>
      <c r="W68" s="60" t="s">
        <v>162</v>
      </c>
      <c r="X68" s="60" t="s">
        <v>162</v>
      </c>
    </row>
    <row r="69" spans="2:24" ht="1" customHeight="1">
      <c r="B69" s="8"/>
      <c r="C69" s="8" t="s">
        <v>164</v>
      </c>
      <c r="D69" s="8"/>
      <c r="E69" s="8"/>
      <c r="F69" s="8"/>
      <c r="G69" s="8"/>
      <c r="H69" s="8"/>
      <c r="K69" s="8" t="s">
        <v>56</v>
      </c>
      <c r="L69" s="60">
        <v>0.80337999999999998</v>
      </c>
      <c r="M69" s="60">
        <v>0.60893900000000001</v>
      </c>
      <c r="N69" s="60">
        <v>0.45945000000000003</v>
      </c>
      <c r="O69" s="8">
        <v>0.97622470000000006</v>
      </c>
      <c r="P69" s="8">
        <v>0.90394859999999999</v>
      </c>
      <c r="Q69" s="8"/>
      <c r="R69" s="60">
        <v>1.0394999999999999</v>
      </c>
      <c r="S69" s="60">
        <v>1.3121999999999998</v>
      </c>
      <c r="T69" s="60">
        <v>1.0327999999999997</v>
      </c>
      <c r="U69" s="60" t="s">
        <v>162</v>
      </c>
      <c r="V69" s="60" t="s">
        <v>162</v>
      </c>
      <c r="W69" s="60" t="s">
        <v>162</v>
      </c>
      <c r="X69" s="60" t="s">
        <v>162</v>
      </c>
    </row>
    <row r="70" spans="2:24" ht="1" customHeight="1">
      <c r="B70" s="8" t="s">
        <v>178</v>
      </c>
      <c r="C70" s="56">
        <v>0.36040974999999997</v>
      </c>
      <c r="D70" s="8"/>
      <c r="E70" s="8"/>
      <c r="F70" s="8"/>
      <c r="G70" s="8"/>
      <c r="H70" s="8"/>
      <c r="K70" s="8" t="s">
        <v>193</v>
      </c>
      <c r="L70" s="60" t="s">
        <v>162</v>
      </c>
      <c r="M70" s="60" t="s">
        <v>162</v>
      </c>
      <c r="N70" s="60" t="s">
        <v>162</v>
      </c>
      <c r="O70" s="60" t="s">
        <v>162</v>
      </c>
      <c r="P70" s="60" t="s">
        <v>162</v>
      </c>
      <c r="Q70" s="8"/>
      <c r="R70" s="60">
        <v>0.86339999999999972</v>
      </c>
      <c r="S70" s="60">
        <v>0.92089999999999972</v>
      </c>
      <c r="T70" s="60">
        <v>0.87490000000000012</v>
      </c>
      <c r="U70" s="60" t="s">
        <v>162</v>
      </c>
      <c r="V70" s="60" t="s">
        <v>162</v>
      </c>
      <c r="W70" s="60" t="s">
        <v>162</v>
      </c>
      <c r="X70" s="60" t="s">
        <v>162</v>
      </c>
    </row>
    <row r="71" spans="2:24" ht="1" customHeight="1">
      <c r="B71" s="8" t="s">
        <v>179</v>
      </c>
      <c r="C71" s="56">
        <v>0.46666375000000004</v>
      </c>
      <c r="D71" s="8"/>
      <c r="E71" s="8"/>
      <c r="F71" s="8"/>
      <c r="G71" s="8"/>
      <c r="H71" s="8"/>
      <c r="K71" s="8" t="s">
        <v>58</v>
      </c>
      <c r="L71" s="60" t="s">
        <v>162</v>
      </c>
      <c r="M71" s="60" t="s">
        <v>162</v>
      </c>
      <c r="N71" s="60" t="s">
        <v>162</v>
      </c>
      <c r="O71" s="8">
        <v>0.9539534999999999</v>
      </c>
      <c r="P71" s="8">
        <v>0.75048300000000001</v>
      </c>
      <c r="Q71" s="8"/>
      <c r="R71" s="60">
        <v>0.97680000000000011</v>
      </c>
      <c r="S71" s="60">
        <v>1.0439000000000005</v>
      </c>
      <c r="T71" s="60">
        <v>0.9625999999999999</v>
      </c>
      <c r="U71" s="60" t="s">
        <v>162</v>
      </c>
      <c r="V71" s="60" t="s">
        <v>162</v>
      </c>
      <c r="W71" s="60" t="s">
        <v>162</v>
      </c>
      <c r="X71" s="60" t="s">
        <v>162</v>
      </c>
    </row>
    <row r="72" spans="2:24" ht="1" customHeight="1">
      <c r="B72" s="8" t="s">
        <v>180</v>
      </c>
      <c r="C72" s="56">
        <v>0.59513899999999997</v>
      </c>
      <c r="D72" s="8"/>
      <c r="E72" s="8"/>
      <c r="F72" s="8"/>
      <c r="G72" s="8"/>
      <c r="H72" s="8"/>
      <c r="K72" s="8" t="s">
        <v>20</v>
      </c>
      <c r="L72" s="60">
        <f>AVERAGE(L55:L71)</f>
        <v>0.36040974999999997</v>
      </c>
      <c r="M72" s="60">
        <f>AVERAGE(M55:M71)</f>
        <v>0.46666375000000004</v>
      </c>
      <c r="N72" s="60">
        <f>AVERAGE(N55:N71)</f>
        <v>0.59513899999999997</v>
      </c>
      <c r="O72" s="60">
        <f>AVERAGE(O55:O71)</f>
        <v>0.66881238666666676</v>
      </c>
      <c r="P72" s="60">
        <f>AVERAGE(P55:P71)</f>
        <v>0.65935013333333314</v>
      </c>
      <c r="Q72" s="8"/>
      <c r="R72" s="60">
        <f>AVERAGE(R55:R71)</f>
        <v>0.84674444444444441</v>
      </c>
      <c r="S72" s="60">
        <f>AVERAGE(S55:S71)</f>
        <v>0.95035555555555562</v>
      </c>
      <c r="T72" s="60">
        <f>AVERAGE(T55:T71)</f>
        <v>0.87348888888888909</v>
      </c>
      <c r="U72" s="60">
        <v>0.59646900000000003</v>
      </c>
      <c r="V72" s="60">
        <v>0.43487189999999998</v>
      </c>
      <c r="W72" s="60">
        <v>0.4990385</v>
      </c>
      <c r="X72" s="60">
        <v>0.33302500000000002</v>
      </c>
    </row>
    <row r="73" spans="2:24" ht="1" customHeight="1">
      <c r="B73" s="8"/>
      <c r="C73" s="8"/>
      <c r="D73" s="8"/>
      <c r="E73" s="8"/>
      <c r="F73" s="8"/>
      <c r="G73" s="8"/>
      <c r="H73" s="8"/>
    </row>
    <row r="74" spans="2:24" ht="1" customHeight="1">
      <c r="B74" s="8"/>
      <c r="C74" s="8"/>
      <c r="D74" s="8"/>
      <c r="E74" s="8"/>
      <c r="F74" s="8"/>
      <c r="G74" s="8"/>
      <c r="H74" s="8"/>
    </row>
    <row r="75" spans="2:24" ht="1" customHeight="1">
      <c r="B75" s="404" t="s">
        <v>181</v>
      </c>
      <c r="C75" s="404"/>
      <c r="D75" s="404"/>
      <c r="E75" s="404"/>
      <c r="F75" s="8"/>
      <c r="G75" s="8"/>
      <c r="H75" s="8"/>
    </row>
    <row r="76" spans="2:24" ht="1" customHeight="1">
      <c r="B76" s="57" t="s">
        <v>31</v>
      </c>
      <c r="C76" s="58" t="s">
        <v>182</v>
      </c>
      <c r="D76" s="58" t="s">
        <v>183</v>
      </c>
      <c r="E76" s="58" t="s">
        <v>184</v>
      </c>
      <c r="F76" s="8"/>
      <c r="G76" s="8"/>
      <c r="H76" s="8"/>
      <c r="L76" s="9" t="s">
        <v>194</v>
      </c>
      <c r="M76" s="9" t="s">
        <v>195</v>
      </c>
      <c r="N76" s="9" t="s">
        <v>195</v>
      </c>
      <c r="O76" s="9" t="s">
        <v>114</v>
      </c>
      <c r="P76" s="9" t="s">
        <v>114</v>
      </c>
      <c r="R76" s="9" t="s">
        <v>196</v>
      </c>
      <c r="S76" s="9" t="s">
        <v>191</v>
      </c>
    </row>
    <row r="77" spans="2:24" ht="1" customHeight="1">
      <c r="B77" s="59" t="s">
        <v>40</v>
      </c>
      <c r="C77" s="56">
        <v>339.37</v>
      </c>
      <c r="D77" s="56">
        <v>437.15</v>
      </c>
      <c r="E77" s="56">
        <f>+(D77-C77)/100</f>
        <v>0.97779999999999978</v>
      </c>
      <c r="F77" s="8"/>
      <c r="G77" s="8"/>
      <c r="H77" s="8"/>
      <c r="L77" s="128">
        <f>N72</f>
        <v>0.59513899999999997</v>
      </c>
      <c r="M77" s="9">
        <f>AVERAGE(P60,P66,P68,P69)</f>
        <v>0.61255234999999997</v>
      </c>
      <c r="N77" s="9">
        <f>AVERAGE(P57,P58,P59,P60,P61,P65,P69,P71)</f>
        <v>0.67136734999999992</v>
      </c>
      <c r="O77" s="128">
        <f>AVERAGE(S57,S58,S59,S60,S61,S65,S69,S71)</f>
        <v>0.9540375000000002</v>
      </c>
      <c r="P77" s="9">
        <f>P59</f>
        <v>0.78145110000000007</v>
      </c>
      <c r="R77" s="128">
        <f>U59</f>
        <v>0.58055259999999997</v>
      </c>
      <c r="S77" s="128">
        <f>X59</f>
        <v>0.61349200000000004</v>
      </c>
    </row>
    <row r="78" spans="2:24" ht="1" customHeight="1">
      <c r="B78" s="59" t="s">
        <v>41</v>
      </c>
      <c r="C78" s="56">
        <v>375.74</v>
      </c>
      <c r="D78" s="56">
        <v>479.68</v>
      </c>
      <c r="E78" s="56">
        <f t="shared" ref="E78:E85" si="0">+(D78-C78)/100</f>
        <v>1.0393999999999999</v>
      </c>
      <c r="F78" s="8"/>
      <c r="G78" s="8"/>
      <c r="H78" s="8"/>
    </row>
    <row r="79" spans="2:24" ht="1" customHeight="1">
      <c r="B79" s="59" t="s">
        <v>42</v>
      </c>
      <c r="C79" s="56">
        <v>359.3</v>
      </c>
      <c r="D79" s="56">
        <v>437.36</v>
      </c>
      <c r="E79" s="56">
        <f t="shared" si="0"/>
        <v>0.78060000000000007</v>
      </c>
      <c r="F79" s="8"/>
      <c r="G79" s="8"/>
      <c r="H79" s="8"/>
    </row>
    <row r="80" spans="2:24" ht="1" customHeight="1">
      <c r="B80" s="59" t="s">
        <v>185</v>
      </c>
      <c r="C80" s="56">
        <v>372.19</v>
      </c>
      <c r="D80" s="56">
        <v>443.11</v>
      </c>
      <c r="E80" s="56">
        <f t="shared" si="0"/>
        <v>0.70920000000000016</v>
      </c>
      <c r="F80" s="8"/>
      <c r="G80" s="8"/>
      <c r="H80" s="8"/>
    </row>
    <row r="81" spans="1:13" ht="1" customHeight="1">
      <c r="B81" s="59" t="s">
        <v>52</v>
      </c>
      <c r="C81" s="56">
        <v>377.05</v>
      </c>
      <c r="D81" s="56">
        <v>439.61</v>
      </c>
      <c r="E81" s="56">
        <f>+(D81-C81)/100</f>
        <v>0.62560000000000004</v>
      </c>
      <c r="F81" s="8"/>
      <c r="G81" s="8"/>
      <c r="H81" s="8"/>
      <c r="L81" s="8" t="s">
        <v>164</v>
      </c>
      <c r="M81" s="128">
        <v>1</v>
      </c>
    </row>
    <row r="82" spans="1:13" ht="1" customHeight="1">
      <c r="B82" s="59" t="s">
        <v>56</v>
      </c>
      <c r="C82" s="56">
        <v>336.61</v>
      </c>
      <c r="D82" s="56">
        <v>440.56</v>
      </c>
      <c r="E82" s="56">
        <f t="shared" si="0"/>
        <v>1.0394999999999999</v>
      </c>
      <c r="F82" s="8"/>
      <c r="G82" s="8"/>
      <c r="H82" s="8"/>
      <c r="L82" s="8" t="s">
        <v>165</v>
      </c>
      <c r="M82" s="128">
        <f>(M77-L77)+M81</f>
        <v>1.01741335</v>
      </c>
    </row>
    <row r="83" spans="1:13" ht="1" customHeight="1">
      <c r="B83" s="59" t="s">
        <v>186</v>
      </c>
      <c r="C83" s="56">
        <v>383.3</v>
      </c>
      <c r="D83" s="56">
        <v>469.64</v>
      </c>
      <c r="E83" s="56">
        <f t="shared" si="0"/>
        <v>0.86339999999999972</v>
      </c>
      <c r="F83" s="8"/>
      <c r="G83" s="8"/>
      <c r="H83" s="8"/>
      <c r="L83" s="8" t="s">
        <v>166</v>
      </c>
      <c r="M83" s="128">
        <f>(O77-N77)+M82</f>
        <v>1.3000835000000004</v>
      </c>
    </row>
    <row r="84" spans="1:13" ht="1" customHeight="1">
      <c r="B84" s="59" t="s">
        <v>58</v>
      </c>
      <c r="C84" s="56">
        <v>377.12</v>
      </c>
      <c r="D84" s="56">
        <v>474.8</v>
      </c>
      <c r="E84" s="56">
        <f>+(D84-C84)/100</f>
        <v>0.97680000000000011</v>
      </c>
      <c r="F84" s="8"/>
      <c r="G84" s="8"/>
      <c r="H84" s="8"/>
      <c r="L84" s="8" t="s">
        <v>167</v>
      </c>
      <c r="M84" s="128">
        <f>(R77-P77)+M83</f>
        <v>1.0991850000000003</v>
      </c>
    </row>
    <row r="85" spans="1:13" ht="1" customHeight="1">
      <c r="B85" s="59" t="s">
        <v>187</v>
      </c>
      <c r="C85" s="56">
        <v>308.47000000000003</v>
      </c>
      <c r="D85" s="56">
        <v>369.31</v>
      </c>
      <c r="E85" s="56">
        <f t="shared" si="0"/>
        <v>0.60839999999999972</v>
      </c>
      <c r="F85" s="8"/>
      <c r="G85" s="8"/>
      <c r="H85" s="8"/>
      <c r="L85" s="8" t="s">
        <v>167</v>
      </c>
      <c r="M85" s="128">
        <f>S77</f>
        <v>0.61349200000000004</v>
      </c>
    </row>
    <row r="86" spans="1:13" ht="1" customHeight="1">
      <c r="B86" s="8" t="s">
        <v>60</v>
      </c>
      <c r="C86" s="56">
        <f>AVERAGE(C77:C85)</f>
        <v>358.79444444444448</v>
      </c>
      <c r="D86" s="56">
        <f t="shared" ref="D86:E86" si="1">AVERAGE(D77:D85)</f>
        <v>443.4688888888889</v>
      </c>
      <c r="E86" s="56">
        <f t="shared" si="1"/>
        <v>0.84674444444444441</v>
      </c>
      <c r="F86" s="8"/>
      <c r="G86" s="8"/>
      <c r="H86" s="8"/>
    </row>
    <row r="87" spans="1:13" ht="1" customHeight="1">
      <c r="B87" s="8"/>
      <c r="C87" s="8"/>
      <c r="D87" s="8"/>
      <c r="E87" s="8"/>
      <c r="F87" s="8"/>
      <c r="G87" s="8"/>
      <c r="H87" s="8"/>
    </row>
    <row r="88" spans="1:13" ht="1" customHeight="1">
      <c r="B88" s="404" t="s">
        <v>188</v>
      </c>
      <c r="C88" s="404"/>
      <c r="D88" s="404"/>
      <c r="E88" s="404"/>
      <c r="F88" s="8"/>
      <c r="G88" s="8"/>
      <c r="H88" s="8"/>
    </row>
    <row r="89" spans="1:13" ht="1" customHeight="1">
      <c r="B89" s="57" t="s">
        <v>31</v>
      </c>
      <c r="C89" s="58" t="s">
        <v>182</v>
      </c>
      <c r="D89" s="58" t="s">
        <v>183</v>
      </c>
      <c r="E89" s="58" t="s">
        <v>184</v>
      </c>
      <c r="F89" s="8"/>
      <c r="G89" s="8"/>
      <c r="H89" s="8"/>
    </row>
    <row r="90" spans="1:13" ht="1" customHeight="1">
      <c r="B90" s="59" t="s">
        <v>40</v>
      </c>
      <c r="C90" s="60">
        <v>373.36</v>
      </c>
      <c r="D90" s="60">
        <v>461.25</v>
      </c>
      <c r="E90" s="60">
        <f>+(D90-C90)/100</f>
        <v>0.8788999999999999</v>
      </c>
      <c r="F90" s="8"/>
      <c r="G90" s="8"/>
      <c r="H90" s="8"/>
    </row>
    <row r="91" spans="1:13" ht="1" customHeight="1">
      <c r="B91" s="59" t="s">
        <v>41</v>
      </c>
      <c r="C91" s="60">
        <v>414.76</v>
      </c>
      <c r="D91" s="60">
        <v>508.49</v>
      </c>
      <c r="E91" s="60">
        <f t="shared" ref="E91:E98" si="2">+(D91-C91)/100</f>
        <v>0.93730000000000013</v>
      </c>
      <c r="F91" s="8"/>
      <c r="G91" s="8"/>
      <c r="H91" s="8"/>
    </row>
    <row r="92" spans="1:13" ht="1" customHeight="1">
      <c r="B92" s="59" t="s">
        <v>42</v>
      </c>
      <c r="C92" s="60">
        <v>386.65</v>
      </c>
      <c r="D92" s="60">
        <v>482.3</v>
      </c>
      <c r="E92" s="60">
        <f t="shared" si="2"/>
        <v>0.95650000000000035</v>
      </c>
      <c r="F92" s="8"/>
      <c r="G92" s="8"/>
      <c r="H92" s="8"/>
    </row>
    <row r="93" spans="1:13" ht="1" customHeight="1">
      <c r="B93" s="59" t="s">
        <v>185</v>
      </c>
      <c r="C93" s="60">
        <v>389.74</v>
      </c>
      <c r="D93" s="60">
        <v>480.82</v>
      </c>
      <c r="E93" s="60">
        <f t="shared" si="2"/>
        <v>0.91079999999999983</v>
      </c>
      <c r="F93" s="8"/>
      <c r="G93" s="8"/>
      <c r="H93" s="8"/>
    </row>
    <row r="94" spans="1:13" ht="1" customHeight="1">
      <c r="A94" s="61"/>
      <c r="B94" s="59" t="s">
        <v>52</v>
      </c>
      <c r="C94" s="60">
        <v>385.25</v>
      </c>
      <c r="D94" s="60">
        <v>460.99</v>
      </c>
      <c r="E94" s="60">
        <f t="shared" si="2"/>
        <v>0.75740000000000007</v>
      </c>
      <c r="F94" s="8"/>
      <c r="G94" s="8"/>
      <c r="H94" s="8"/>
    </row>
    <row r="95" spans="1:13" ht="1" customHeight="1">
      <c r="B95" s="59" t="s">
        <v>56</v>
      </c>
      <c r="C95" s="60">
        <v>329.56</v>
      </c>
      <c r="D95" s="60">
        <v>460.78</v>
      </c>
      <c r="E95" s="60">
        <f t="shared" si="2"/>
        <v>1.3121999999999998</v>
      </c>
      <c r="F95" s="8"/>
      <c r="G95" s="8"/>
      <c r="H95" s="8"/>
    </row>
    <row r="96" spans="1:13" ht="1" customHeight="1">
      <c r="B96" s="59" t="s">
        <v>186</v>
      </c>
      <c r="C96" s="60">
        <v>389.29</v>
      </c>
      <c r="D96" s="60">
        <v>481.38</v>
      </c>
      <c r="E96" s="60">
        <f t="shared" si="2"/>
        <v>0.92089999999999972</v>
      </c>
      <c r="F96" s="8"/>
      <c r="G96" s="8"/>
      <c r="H96" s="8"/>
    </row>
    <row r="97" spans="2:8" ht="1" customHeight="1">
      <c r="B97" s="59" t="s">
        <v>58</v>
      </c>
      <c r="C97" s="60">
        <v>392.77</v>
      </c>
      <c r="D97" s="60">
        <v>497.16</v>
      </c>
      <c r="E97" s="60">
        <f t="shared" si="2"/>
        <v>1.0439000000000005</v>
      </c>
      <c r="F97" s="8"/>
      <c r="G97" s="8"/>
      <c r="H97" s="8"/>
    </row>
    <row r="98" spans="2:8" ht="1" customHeight="1">
      <c r="B98" s="59" t="s">
        <v>187</v>
      </c>
      <c r="C98" s="60">
        <v>328.33</v>
      </c>
      <c r="D98" s="60">
        <v>411.86</v>
      </c>
      <c r="E98" s="60">
        <f t="shared" si="2"/>
        <v>0.83530000000000026</v>
      </c>
      <c r="F98" s="8"/>
      <c r="G98" s="8"/>
      <c r="H98" s="8"/>
    </row>
    <row r="99" spans="2:8" ht="1" customHeight="1">
      <c r="B99" s="8" t="s">
        <v>60</v>
      </c>
      <c r="C99" s="60">
        <f>AVERAGE(C90:C98)</f>
        <v>376.63444444444445</v>
      </c>
      <c r="D99" s="60">
        <f t="shared" ref="D99:E99" si="3">AVERAGE(D90:D98)</f>
        <v>471.66999999999996</v>
      </c>
      <c r="E99" s="60">
        <f t="shared" si="3"/>
        <v>0.95035555555555584</v>
      </c>
      <c r="F99" s="8"/>
      <c r="G99" s="8"/>
      <c r="H99" s="8"/>
    </row>
    <row r="100" spans="2:8" ht="1" customHeight="1">
      <c r="B100" s="8"/>
      <c r="C100" s="8"/>
      <c r="D100" s="8"/>
      <c r="E100" s="8"/>
      <c r="F100" s="8"/>
      <c r="G100" s="8"/>
      <c r="H100" s="8"/>
    </row>
    <row r="101" spans="2:8" ht="1" customHeight="1">
      <c r="B101" s="404" t="s">
        <v>189</v>
      </c>
      <c r="C101" s="404"/>
      <c r="D101" s="404"/>
      <c r="E101" s="404"/>
      <c r="F101" s="8"/>
      <c r="G101" s="8"/>
      <c r="H101" s="8"/>
    </row>
    <row r="102" spans="2:8" ht="1" customHeight="1">
      <c r="B102" s="57" t="s">
        <v>31</v>
      </c>
      <c r="C102" s="58" t="s">
        <v>182</v>
      </c>
      <c r="D102" s="58" t="s">
        <v>183</v>
      </c>
      <c r="E102" s="58" t="s">
        <v>184</v>
      </c>
      <c r="F102" s="8"/>
      <c r="G102" s="8"/>
      <c r="H102" s="8"/>
    </row>
    <row r="103" spans="2:8" ht="1" customHeight="1">
      <c r="B103" s="59" t="s">
        <v>40</v>
      </c>
      <c r="C103" s="60">
        <v>365.46</v>
      </c>
      <c r="D103" s="60">
        <v>456.98</v>
      </c>
      <c r="E103" s="60">
        <f>+(D103-C103)/100</f>
        <v>0.91520000000000035</v>
      </c>
      <c r="F103" s="8"/>
      <c r="G103" s="8"/>
      <c r="H103" s="8"/>
    </row>
    <row r="104" spans="2:8" ht="1" customHeight="1">
      <c r="B104" s="59" t="s">
        <v>41</v>
      </c>
      <c r="C104" s="60">
        <v>399.08</v>
      </c>
      <c r="D104" s="60">
        <v>501.05</v>
      </c>
      <c r="E104" s="60">
        <f t="shared" ref="E104:E111" si="4">+(D104-C104)/100</f>
        <v>1.0197000000000003</v>
      </c>
      <c r="F104" s="8"/>
      <c r="G104" s="8"/>
      <c r="H104" s="8"/>
    </row>
    <row r="105" spans="2:8" ht="1" customHeight="1">
      <c r="B105" s="59" t="s">
        <v>42</v>
      </c>
      <c r="C105" s="60">
        <v>381.83</v>
      </c>
      <c r="D105" s="60">
        <v>467.72</v>
      </c>
      <c r="E105" s="60">
        <f t="shared" si="4"/>
        <v>0.85890000000000044</v>
      </c>
      <c r="F105" s="8"/>
      <c r="G105" s="8"/>
      <c r="H105" s="8"/>
    </row>
    <row r="106" spans="2:8" ht="1" customHeight="1">
      <c r="B106" s="59" t="s">
        <v>185</v>
      </c>
      <c r="C106" s="60">
        <v>387.67</v>
      </c>
      <c r="D106" s="60">
        <v>466.1</v>
      </c>
      <c r="E106" s="60">
        <f t="shared" si="4"/>
        <v>0.78430000000000011</v>
      </c>
      <c r="F106" s="8"/>
      <c r="G106" s="8"/>
      <c r="H106" s="8"/>
    </row>
    <row r="107" spans="2:8" ht="1" customHeight="1">
      <c r="B107" s="59" t="s">
        <v>52</v>
      </c>
      <c r="C107" s="60">
        <v>383.31</v>
      </c>
      <c r="D107" s="60">
        <v>450.39</v>
      </c>
      <c r="E107" s="60">
        <f t="shared" si="4"/>
        <v>0.67079999999999984</v>
      </c>
      <c r="F107" s="8"/>
      <c r="G107" s="8"/>
      <c r="H107" s="8"/>
    </row>
    <row r="108" spans="2:8" ht="1" customHeight="1">
      <c r="B108" s="59" t="s">
        <v>56</v>
      </c>
      <c r="C108" s="60">
        <v>346.12</v>
      </c>
      <c r="D108" s="60">
        <v>449.4</v>
      </c>
      <c r="E108" s="60">
        <f t="shared" si="4"/>
        <v>1.0327999999999997</v>
      </c>
      <c r="F108" s="8"/>
      <c r="G108" s="8"/>
      <c r="H108" s="8"/>
    </row>
    <row r="109" spans="2:8" ht="1" customHeight="1">
      <c r="B109" s="59" t="s">
        <v>186</v>
      </c>
      <c r="C109" s="60">
        <v>390.55</v>
      </c>
      <c r="D109" s="60">
        <v>478.04</v>
      </c>
      <c r="E109" s="60">
        <f t="shared" si="4"/>
        <v>0.87490000000000012</v>
      </c>
      <c r="F109" s="8"/>
      <c r="G109" s="8"/>
      <c r="H109" s="8"/>
    </row>
    <row r="110" spans="2:8" ht="1" customHeight="1">
      <c r="B110" s="59" t="s">
        <v>58</v>
      </c>
      <c r="C110" s="60">
        <v>394.82</v>
      </c>
      <c r="D110" s="60">
        <v>491.08</v>
      </c>
      <c r="E110" s="60">
        <f t="shared" si="4"/>
        <v>0.9625999999999999</v>
      </c>
      <c r="F110" s="8"/>
      <c r="G110" s="8"/>
      <c r="H110" s="8"/>
    </row>
    <row r="111" spans="2:8" ht="1" customHeight="1">
      <c r="B111" s="59" t="s">
        <v>187</v>
      </c>
      <c r="C111" s="60">
        <v>304.95</v>
      </c>
      <c r="D111" s="60">
        <v>379.17</v>
      </c>
      <c r="E111" s="60">
        <f t="shared" si="4"/>
        <v>0.7422000000000003</v>
      </c>
      <c r="F111" s="8"/>
      <c r="G111" s="8"/>
      <c r="H111" s="8"/>
    </row>
    <row r="112" spans="2:8" ht="1" customHeight="1">
      <c r="B112" s="8" t="s">
        <v>60</v>
      </c>
      <c r="C112" s="60">
        <f>AVERAGE(C103:C111)</f>
        <v>372.64333333333332</v>
      </c>
      <c r="D112" s="60">
        <f t="shared" ref="D112:E112" si="5">AVERAGE(D103:D111)</f>
        <v>459.99222222222215</v>
      </c>
      <c r="E112" s="60">
        <f t="shared" si="5"/>
        <v>0.87348888888888909</v>
      </c>
      <c r="F112" s="8"/>
      <c r="G112" s="8"/>
      <c r="H112" s="8"/>
    </row>
    <row r="113" spans="2:8" ht="1" customHeight="1">
      <c r="B113" s="8"/>
      <c r="C113" s="8"/>
      <c r="D113" s="8"/>
      <c r="E113" s="8"/>
      <c r="F113" s="8"/>
      <c r="G113" s="8"/>
      <c r="H113" s="8"/>
    </row>
    <row r="114" spans="2:8" ht="1" customHeight="1">
      <c r="B114" s="62" t="s">
        <v>173</v>
      </c>
      <c r="C114" s="60">
        <v>0.59646900000000003</v>
      </c>
      <c r="D114" s="8"/>
      <c r="E114" s="8"/>
      <c r="F114" s="8"/>
      <c r="G114" s="8"/>
      <c r="H114" s="8"/>
    </row>
    <row r="115" spans="2:8" ht="1" customHeight="1">
      <c r="B115" s="62" t="s">
        <v>190</v>
      </c>
      <c r="C115" s="60">
        <v>0.43487189999999998</v>
      </c>
      <c r="D115" s="8"/>
      <c r="E115" s="8"/>
      <c r="F115" s="8"/>
      <c r="G115" s="8"/>
      <c r="H115" s="8"/>
    </row>
    <row r="116" spans="2:8" ht="1" customHeight="1">
      <c r="B116" s="8" t="s">
        <v>176</v>
      </c>
      <c r="C116" s="60">
        <v>0.4990385</v>
      </c>
      <c r="D116" s="62"/>
      <c r="E116" s="62"/>
      <c r="F116" s="8"/>
      <c r="G116" s="8"/>
      <c r="H116" s="8"/>
    </row>
    <row r="117" spans="2:8" ht="1" customHeight="1">
      <c r="B117" s="8" t="s">
        <v>191</v>
      </c>
      <c r="C117" s="60">
        <v>0.33302500000000002</v>
      </c>
      <c r="D117" s="8"/>
      <c r="E117" s="8"/>
      <c r="F117" s="8"/>
      <c r="G117" s="8"/>
      <c r="H117" s="8"/>
    </row>
    <row r="118" spans="2:8" ht="1" customHeight="1">
      <c r="B118" s="8"/>
      <c r="C118" s="8"/>
      <c r="D118" s="8"/>
      <c r="E118" s="8"/>
      <c r="F118" s="8"/>
      <c r="G118" s="8"/>
      <c r="H118" s="8"/>
    </row>
  </sheetData>
  <sortState ref="M76:O91">
    <sortCondition ref="M76:M91"/>
  </sortState>
  <mergeCells count="13">
    <mergeCell ref="T53:W53"/>
    <mergeCell ref="B32:P32"/>
    <mergeCell ref="B75:E75"/>
    <mergeCell ref="B88:E88"/>
    <mergeCell ref="B101:E101"/>
    <mergeCell ref="L53:N53"/>
    <mergeCell ref="P53:S53"/>
    <mergeCell ref="B51:D51"/>
    <mergeCell ref="E51:H51"/>
    <mergeCell ref="F36:F38"/>
    <mergeCell ref="F39:F40"/>
    <mergeCell ref="F41:F43"/>
    <mergeCell ref="F44:F47"/>
  </mergeCells>
  <pageMargins left="0.7" right="0.7" top="0.75" bottom="0.75" header="0.3" footer="0.3"/>
  <pageSetup scale="6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zoomScale="90" zoomScaleNormal="90" zoomScaleSheetLayoutView="100" workbookViewId="0"/>
  </sheetViews>
  <sheetFormatPr defaultColWidth="9.1796875" defaultRowHeight="14.5"/>
  <cols>
    <col min="1" max="1" width="3.26953125" style="9" customWidth="1"/>
    <col min="2" max="4" width="9.1796875" style="9"/>
    <col min="5" max="5" width="11.1796875" style="9" bestFit="1" customWidth="1"/>
    <col min="6" max="19" width="9.1796875" style="9"/>
    <col min="20" max="20" width="4.7265625" style="9" customWidth="1"/>
    <col min="21" max="16384" width="9.1796875" style="9"/>
  </cols>
  <sheetData>
    <row r="1" spans="1:20">
      <c r="A1" s="1"/>
      <c r="B1" s="1"/>
      <c r="C1" s="1"/>
      <c r="D1" s="1"/>
      <c r="E1" s="1"/>
      <c r="F1" s="1"/>
      <c r="G1" s="1"/>
      <c r="H1" s="1"/>
      <c r="I1" s="1"/>
      <c r="J1" s="1"/>
      <c r="K1" s="1"/>
      <c r="L1" s="1"/>
      <c r="M1" s="1"/>
      <c r="N1" s="1"/>
      <c r="O1" s="1"/>
      <c r="P1" s="1"/>
      <c r="Q1" s="1"/>
      <c r="R1" s="1"/>
      <c r="S1" s="1"/>
      <c r="T1" s="1"/>
    </row>
    <row r="2" spans="1:20" ht="17.5">
      <c r="A2" s="1"/>
      <c r="B2" s="3" t="s">
        <v>197</v>
      </c>
      <c r="C2" s="1"/>
      <c r="D2" s="1"/>
      <c r="E2" s="1"/>
      <c r="F2" s="1"/>
      <c r="G2" s="1"/>
      <c r="H2" s="1"/>
      <c r="I2" s="1"/>
      <c r="J2" s="1"/>
      <c r="K2" s="1"/>
      <c r="L2" s="1"/>
      <c r="M2" s="1"/>
      <c r="N2" s="1"/>
      <c r="O2" s="1"/>
      <c r="P2" s="1"/>
      <c r="Q2" s="1"/>
      <c r="R2" s="1"/>
      <c r="S2" s="1"/>
      <c r="T2" s="1"/>
    </row>
    <row r="3" spans="1:20" ht="11.25" customHeight="1">
      <c r="A3" s="1"/>
      <c r="B3" s="1"/>
      <c r="C3" s="64"/>
      <c r="D3" s="1"/>
      <c r="E3" s="1"/>
      <c r="F3" s="1"/>
      <c r="G3" s="1"/>
      <c r="H3" s="1"/>
      <c r="I3" s="1"/>
      <c r="J3" s="64"/>
      <c r="K3" s="1"/>
      <c r="L3" s="1"/>
      <c r="M3" s="1"/>
      <c r="N3" s="65"/>
      <c r="O3" s="1"/>
      <c r="P3" s="1"/>
      <c r="Q3" s="1"/>
      <c r="R3" s="1"/>
      <c r="S3" s="1"/>
      <c r="T3" s="1"/>
    </row>
    <row r="4" spans="1:20">
      <c r="A4" s="1"/>
      <c r="B4" s="1"/>
      <c r="C4" s="1"/>
      <c r="D4" s="1"/>
      <c r="E4" s="1"/>
      <c r="F4" s="1"/>
      <c r="G4" s="1"/>
      <c r="H4" s="1"/>
      <c r="I4" s="1"/>
      <c r="J4" s="1"/>
      <c r="K4" s="1"/>
      <c r="L4" s="1"/>
      <c r="M4" s="1"/>
      <c r="N4" s="1"/>
      <c r="O4" s="1"/>
      <c r="P4" s="1"/>
      <c r="Q4" s="1"/>
      <c r="R4" s="1"/>
      <c r="S4" s="1"/>
      <c r="T4" s="1"/>
    </row>
    <row r="5" spans="1:20">
      <c r="A5" s="1"/>
      <c r="B5" s="1"/>
      <c r="C5" s="1"/>
      <c r="D5" s="1"/>
      <c r="E5" s="1"/>
      <c r="F5" s="1"/>
      <c r="G5" s="1"/>
      <c r="H5" s="1"/>
      <c r="I5" s="1"/>
      <c r="J5" s="1"/>
      <c r="K5" s="1"/>
      <c r="L5" s="1"/>
      <c r="M5" s="1"/>
      <c r="N5" s="1"/>
      <c r="O5" s="1"/>
      <c r="P5" s="1"/>
      <c r="Q5" s="1"/>
      <c r="R5" s="1"/>
      <c r="S5" s="1"/>
      <c r="T5" s="1"/>
    </row>
    <row r="6" spans="1:20">
      <c r="A6" s="1"/>
      <c r="B6" s="1"/>
      <c r="C6" s="1"/>
      <c r="D6" s="1"/>
      <c r="E6" s="1"/>
      <c r="F6" s="1"/>
      <c r="G6" s="1"/>
      <c r="H6" s="1"/>
      <c r="I6" s="1"/>
      <c r="J6" s="1"/>
      <c r="K6" s="1"/>
      <c r="L6" s="1"/>
      <c r="M6" s="1"/>
      <c r="N6" s="1"/>
      <c r="O6" s="1"/>
      <c r="P6" s="1"/>
      <c r="Q6" s="1"/>
      <c r="R6" s="1"/>
      <c r="S6" s="1"/>
      <c r="T6" s="1"/>
    </row>
    <row r="7" spans="1:20">
      <c r="A7" s="1"/>
      <c r="B7" s="1"/>
      <c r="C7" s="1"/>
      <c r="D7" s="1"/>
      <c r="E7" s="1"/>
      <c r="F7" s="1"/>
      <c r="G7" s="1"/>
      <c r="H7" s="1"/>
      <c r="I7" s="1"/>
      <c r="J7" s="1"/>
      <c r="K7" s="1"/>
      <c r="L7" s="1"/>
      <c r="M7" s="1"/>
      <c r="N7" s="1"/>
      <c r="O7" s="1"/>
      <c r="P7" s="1"/>
      <c r="Q7" s="1"/>
      <c r="R7" s="1"/>
      <c r="S7" s="1"/>
      <c r="T7" s="1"/>
    </row>
    <row r="8" spans="1:20">
      <c r="A8" s="1"/>
      <c r="B8" s="1"/>
      <c r="C8" s="1"/>
      <c r="D8" s="1"/>
      <c r="E8" s="1"/>
      <c r="F8" s="1"/>
      <c r="G8" s="1"/>
      <c r="H8" s="1"/>
      <c r="I8" s="1"/>
      <c r="J8" s="1"/>
      <c r="K8" s="1"/>
      <c r="L8" s="1"/>
      <c r="M8" s="1"/>
      <c r="N8" s="1"/>
      <c r="O8" s="1"/>
      <c r="P8" s="1"/>
      <c r="Q8" s="1"/>
      <c r="R8" s="1"/>
      <c r="S8" s="1"/>
      <c r="T8" s="1"/>
    </row>
    <row r="9" spans="1:20">
      <c r="A9" s="1"/>
      <c r="B9" s="1"/>
      <c r="C9" s="1"/>
      <c r="D9" s="1"/>
      <c r="E9" s="1"/>
      <c r="F9" s="1"/>
      <c r="G9" s="1"/>
      <c r="H9" s="1"/>
      <c r="I9" s="1"/>
      <c r="J9" s="1"/>
      <c r="K9" s="1"/>
      <c r="L9" s="1"/>
      <c r="M9" s="1"/>
      <c r="N9" s="1"/>
      <c r="O9" s="1"/>
      <c r="P9" s="1"/>
      <c r="Q9" s="1"/>
      <c r="R9" s="1"/>
      <c r="S9" s="1"/>
      <c r="T9" s="1"/>
    </row>
    <row r="10" spans="1:20">
      <c r="A10" s="1"/>
      <c r="B10" s="1"/>
      <c r="C10" s="1"/>
      <c r="D10" s="1"/>
      <c r="E10" s="1"/>
      <c r="F10" s="1"/>
      <c r="G10" s="1"/>
      <c r="H10" s="1"/>
      <c r="I10" s="1"/>
      <c r="J10" s="1"/>
      <c r="K10" s="1"/>
      <c r="L10" s="1"/>
      <c r="M10" s="1"/>
      <c r="N10" s="1"/>
      <c r="O10" s="1"/>
      <c r="P10" s="1"/>
      <c r="Q10" s="1"/>
      <c r="R10" s="1"/>
      <c r="S10" s="1"/>
      <c r="T10" s="1"/>
    </row>
    <row r="11" spans="1:20">
      <c r="A11" s="1"/>
      <c r="B11" s="1"/>
      <c r="C11" s="1"/>
      <c r="D11" s="1"/>
      <c r="E11" s="1"/>
      <c r="F11" s="1"/>
      <c r="G11" s="1"/>
      <c r="H11" s="1"/>
      <c r="I11" s="1"/>
      <c r="J11" s="1"/>
      <c r="K11" s="1"/>
      <c r="L11" s="1"/>
      <c r="M11" s="1"/>
      <c r="N11" s="1"/>
      <c r="O11" s="1"/>
      <c r="P11" s="1"/>
      <c r="Q11" s="1"/>
      <c r="R11" s="1"/>
      <c r="S11" s="1"/>
      <c r="T11" s="1"/>
    </row>
    <row r="12" spans="1:20">
      <c r="A12" s="1"/>
      <c r="B12" s="1"/>
      <c r="C12" s="1"/>
      <c r="D12" s="1"/>
      <c r="E12" s="1"/>
      <c r="F12" s="1"/>
      <c r="G12" s="1"/>
      <c r="H12" s="1"/>
      <c r="I12" s="1"/>
      <c r="J12" s="1"/>
      <c r="K12" s="1"/>
      <c r="L12" s="1"/>
      <c r="M12" s="1"/>
      <c r="N12" s="1"/>
      <c r="O12" s="1"/>
      <c r="P12" s="1"/>
      <c r="Q12" s="1"/>
      <c r="R12" s="1"/>
      <c r="S12" s="1"/>
      <c r="T12" s="1"/>
    </row>
    <row r="13" spans="1:20">
      <c r="A13" s="1"/>
      <c r="B13" s="1"/>
      <c r="C13" s="1"/>
      <c r="D13" s="1"/>
      <c r="E13" s="1"/>
      <c r="F13" s="1"/>
      <c r="G13" s="1"/>
      <c r="H13" s="1"/>
      <c r="I13" s="1"/>
      <c r="J13" s="1"/>
      <c r="K13" s="1"/>
      <c r="L13" s="1"/>
      <c r="M13" s="1"/>
      <c r="N13" s="1"/>
      <c r="O13" s="1"/>
      <c r="P13" s="1"/>
      <c r="Q13" s="1"/>
      <c r="R13" s="1"/>
      <c r="S13" s="1"/>
      <c r="T13" s="1"/>
    </row>
    <row r="14" spans="1:20">
      <c r="A14" s="1"/>
      <c r="B14" s="1"/>
      <c r="C14" s="1"/>
      <c r="D14" s="1"/>
      <c r="E14" s="1"/>
      <c r="F14" s="1"/>
      <c r="G14" s="1"/>
      <c r="H14" s="1"/>
      <c r="I14" s="1"/>
      <c r="J14" s="1"/>
      <c r="K14" s="1"/>
      <c r="L14" s="1"/>
      <c r="M14" s="1"/>
      <c r="N14" s="1"/>
      <c r="O14" s="1"/>
      <c r="P14" s="1"/>
      <c r="Q14" s="1"/>
      <c r="R14" s="1"/>
      <c r="S14" s="1"/>
      <c r="T14" s="1"/>
    </row>
    <row r="15" spans="1:20">
      <c r="A15" s="1"/>
      <c r="B15" s="1"/>
      <c r="C15" s="1"/>
      <c r="D15" s="1"/>
      <c r="E15" s="1"/>
      <c r="F15" s="1"/>
      <c r="G15" s="1"/>
      <c r="H15" s="1"/>
      <c r="I15" s="1"/>
      <c r="J15" s="1"/>
      <c r="K15" s="1"/>
      <c r="L15" s="1"/>
      <c r="M15" s="1"/>
      <c r="N15" s="1"/>
      <c r="O15" s="1"/>
      <c r="P15" s="1"/>
      <c r="Q15" s="1"/>
      <c r="R15" s="1"/>
      <c r="S15" s="1"/>
      <c r="T15" s="1"/>
    </row>
    <row r="16" spans="1:20">
      <c r="A16" s="1"/>
      <c r="B16" s="1"/>
      <c r="C16" s="1"/>
      <c r="D16" s="1"/>
      <c r="E16" s="1"/>
      <c r="F16" s="1"/>
      <c r="G16" s="1"/>
      <c r="H16" s="1"/>
      <c r="I16" s="1"/>
      <c r="J16" s="1"/>
      <c r="K16" s="1"/>
      <c r="L16" s="1"/>
      <c r="M16" s="1"/>
      <c r="N16" s="1"/>
      <c r="O16" s="1"/>
      <c r="P16" s="1"/>
      <c r="Q16" s="1"/>
      <c r="R16" s="1"/>
      <c r="S16" s="1"/>
      <c r="T16" s="1"/>
    </row>
    <row r="17" spans="1:20">
      <c r="A17" s="1"/>
      <c r="B17" s="1"/>
      <c r="C17" s="1"/>
      <c r="D17" s="1"/>
      <c r="E17" s="1"/>
      <c r="F17" s="1"/>
      <c r="G17" s="1"/>
      <c r="H17" s="1"/>
      <c r="I17" s="1"/>
      <c r="J17" s="1"/>
      <c r="K17" s="1"/>
      <c r="L17" s="1"/>
      <c r="M17" s="1"/>
      <c r="N17" s="1"/>
      <c r="O17" s="1"/>
      <c r="P17" s="1"/>
      <c r="Q17" s="1"/>
      <c r="R17" s="1"/>
      <c r="S17" s="1"/>
      <c r="T17" s="1"/>
    </row>
    <row r="18" spans="1:20">
      <c r="A18" s="1"/>
      <c r="B18" s="1"/>
      <c r="C18" s="1"/>
      <c r="D18" s="1"/>
      <c r="E18" s="1"/>
      <c r="F18" s="1"/>
      <c r="G18" s="1"/>
      <c r="H18" s="1"/>
      <c r="I18" s="1"/>
      <c r="J18" s="1"/>
      <c r="K18" s="1"/>
      <c r="L18" s="1"/>
      <c r="M18" s="1"/>
      <c r="N18" s="1"/>
      <c r="O18" s="1"/>
      <c r="P18" s="1"/>
      <c r="Q18" s="1"/>
      <c r="R18" s="1"/>
      <c r="S18" s="1"/>
      <c r="T18" s="1"/>
    </row>
    <row r="19" spans="1:20">
      <c r="A19" s="1"/>
      <c r="B19" s="1"/>
      <c r="C19" s="1"/>
      <c r="D19" s="1"/>
      <c r="E19" s="1"/>
      <c r="F19" s="1"/>
      <c r="G19" s="1"/>
      <c r="H19" s="1"/>
      <c r="I19" s="1"/>
      <c r="J19" s="1"/>
      <c r="K19" s="1"/>
      <c r="L19" s="1"/>
      <c r="M19" s="1"/>
      <c r="N19" s="1"/>
      <c r="O19" s="1"/>
      <c r="P19" s="1"/>
      <c r="Q19" s="1"/>
      <c r="R19" s="1"/>
      <c r="S19" s="1"/>
      <c r="T19" s="1"/>
    </row>
    <row r="20" spans="1:20">
      <c r="A20" s="1"/>
      <c r="B20" s="1"/>
      <c r="C20" s="1"/>
      <c r="D20" s="1"/>
      <c r="E20" s="1"/>
      <c r="F20" s="1"/>
      <c r="G20" s="1"/>
      <c r="H20" s="1"/>
      <c r="I20" s="1"/>
      <c r="J20" s="1"/>
      <c r="K20" s="1"/>
      <c r="L20" s="1"/>
      <c r="M20" s="1"/>
      <c r="N20" s="1"/>
      <c r="O20" s="1"/>
      <c r="P20" s="1"/>
      <c r="Q20" s="1"/>
      <c r="R20" s="1"/>
      <c r="S20" s="1"/>
      <c r="T20" s="1"/>
    </row>
    <row r="21" spans="1:20">
      <c r="A21" s="1"/>
      <c r="B21" s="1"/>
      <c r="C21" s="1"/>
      <c r="D21" s="1"/>
      <c r="E21" s="1"/>
      <c r="F21" s="1"/>
      <c r="G21" s="1"/>
      <c r="H21" s="1"/>
      <c r="I21" s="1"/>
      <c r="J21" s="1"/>
      <c r="K21" s="1"/>
      <c r="L21" s="1"/>
      <c r="M21" s="1"/>
      <c r="N21" s="1"/>
      <c r="O21" s="1"/>
      <c r="P21" s="1"/>
      <c r="Q21" s="1"/>
      <c r="R21" s="1"/>
      <c r="S21" s="1"/>
      <c r="T21" s="1"/>
    </row>
    <row r="22" spans="1:20">
      <c r="A22" s="1"/>
      <c r="B22" s="1"/>
      <c r="C22" s="1"/>
      <c r="D22" s="1"/>
      <c r="E22" s="1"/>
      <c r="F22" s="1"/>
      <c r="G22" s="1"/>
      <c r="H22" s="1"/>
      <c r="I22" s="1"/>
      <c r="J22" s="1"/>
      <c r="K22" s="1"/>
      <c r="L22" s="1"/>
      <c r="M22" s="1"/>
      <c r="N22" s="1"/>
      <c r="O22" s="1"/>
      <c r="P22" s="1"/>
      <c r="Q22" s="1"/>
      <c r="R22" s="1"/>
      <c r="S22" s="1"/>
      <c r="T22" s="1"/>
    </row>
    <row r="23" spans="1:20" ht="88.5" customHeight="1" thickBot="1">
      <c r="A23" s="84"/>
      <c r="B23" s="409" t="s">
        <v>222</v>
      </c>
      <c r="C23" s="409"/>
      <c r="D23" s="409"/>
      <c r="E23" s="409"/>
      <c r="F23" s="409"/>
      <c r="G23" s="409"/>
      <c r="H23" s="409"/>
      <c r="I23" s="409"/>
      <c r="J23" s="409"/>
      <c r="K23" s="409"/>
      <c r="L23" s="409"/>
      <c r="M23" s="409"/>
      <c r="N23" s="409"/>
      <c r="O23" s="409"/>
      <c r="P23" s="409"/>
      <c r="Q23" s="409"/>
      <c r="R23" s="409"/>
      <c r="S23" s="409"/>
      <c r="T23" s="129"/>
    </row>
    <row r="24" spans="1:20" s="54" customFormat="1" ht="18.75" customHeight="1" thickTop="1">
      <c r="A24" s="53"/>
      <c r="B24" s="103"/>
      <c r="C24" s="103"/>
      <c r="D24" s="103"/>
      <c r="E24" s="103"/>
      <c r="F24" s="103"/>
      <c r="G24" s="103"/>
      <c r="H24" s="103"/>
      <c r="I24" s="103"/>
      <c r="J24" s="103"/>
      <c r="K24" s="103"/>
      <c r="L24" s="103"/>
      <c r="M24" s="103"/>
      <c r="N24" s="103"/>
      <c r="O24" s="103"/>
      <c r="P24" s="103"/>
      <c r="Q24" s="103"/>
      <c r="R24" s="103"/>
      <c r="S24" s="103"/>
      <c r="T24" s="6"/>
    </row>
    <row r="25" spans="1:20" s="54" customFormat="1" ht="18.75" customHeight="1">
      <c r="A25" s="53"/>
      <c r="B25" s="103"/>
      <c r="C25" s="103"/>
      <c r="D25" s="103"/>
      <c r="E25" s="427" t="s">
        <v>240</v>
      </c>
      <c r="F25" s="427"/>
      <c r="G25" s="427"/>
      <c r="H25" s="427"/>
      <c r="I25" s="103"/>
      <c r="J25" s="103"/>
      <c r="K25" s="53"/>
      <c r="L25" s="53"/>
      <c r="M25" s="53"/>
      <c r="N25" s="53"/>
      <c r="O25" s="103"/>
      <c r="P25" s="103"/>
      <c r="Q25" s="103"/>
      <c r="R25" s="103"/>
      <c r="S25" s="103"/>
      <c r="T25" s="6"/>
    </row>
    <row r="26" spans="1:20" s="54" customFormat="1" ht="18.75" customHeight="1">
      <c r="A26" s="53"/>
      <c r="B26" s="103"/>
      <c r="C26" s="103"/>
      <c r="D26" s="103"/>
      <c r="E26" s="104">
        <v>1995</v>
      </c>
      <c r="F26" s="104">
        <v>2000</v>
      </c>
      <c r="G26" s="104">
        <v>2005</v>
      </c>
      <c r="H26" s="104">
        <v>2013</v>
      </c>
      <c r="I26" s="103"/>
      <c r="J26" s="103"/>
      <c r="K26" s="53"/>
      <c r="L26" s="102" t="s">
        <v>204</v>
      </c>
      <c r="M26" s="102" t="s">
        <v>14</v>
      </c>
      <c r="N26" s="102" t="s">
        <v>15</v>
      </c>
      <c r="O26" s="102" t="s">
        <v>16</v>
      </c>
      <c r="P26" s="103"/>
      <c r="Q26" s="103"/>
      <c r="R26" s="103"/>
      <c r="S26" s="103"/>
      <c r="T26" s="6"/>
    </row>
    <row r="27" spans="1:20" s="54" customFormat="1" ht="18.75" customHeight="1">
      <c r="A27" s="53"/>
      <c r="B27" s="103"/>
      <c r="C27" s="102" t="s">
        <v>90</v>
      </c>
      <c r="D27" s="103"/>
      <c r="E27" s="130">
        <f>D77</f>
        <v>4.9415302000000001E-2</v>
      </c>
      <c r="F27" s="130">
        <f>D82</f>
        <v>5.1535999999999998E-2</v>
      </c>
      <c r="G27" s="130">
        <f>D87</f>
        <v>5.0736499000000004E-2</v>
      </c>
      <c r="H27" s="130">
        <f>D95</f>
        <v>5.2145653E-2</v>
      </c>
      <c r="I27" s="103"/>
      <c r="J27" s="103" t="str">
        <f>F35</f>
        <v>Panama</v>
      </c>
      <c r="K27" s="103"/>
      <c r="L27" s="130">
        <f>D38</f>
        <v>1.4347826086956522E-3</v>
      </c>
      <c r="M27" s="130">
        <f>D39</f>
        <v>1.1478260869565217E-2</v>
      </c>
      <c r="N27" s="130">
        <f>D40</f>
        <v>1.0043478260869565E-2</v>
      </c>
      <c r="O27" s="130">
        <f>D41</f>
        <v>1.0043478260869565E-2</v>
      </c>
      <c r="P27" s="103"/>
      <c r="Q27" s="103"/>
      <c r="R27" s="103"/>
      <c r="S27" s="103"/>
      <c r="T27" s="6"/>
    </row>
    <row r="28" spans="1:20" s="54" customFormat="1" ht="18.75" customHeight="1">
      <c r="A28" s="53"/>
      <c r="B28" s="103"/>
      <c r="C28" s="103" t="s">
        <v>115</v>
      </c>
      <c r="D28" s="103"/>
      <c r="E28" s="130">
        <f>F77</f>
        <v>4.8569951057434099E-2</v>
      </c>
      <c r="F28" s="130">
        <f>F82</f>
        <v>4.8733901977539101E-2</v>
      </c>
      <c r="G28" s="130">
        <f>F87</f>
        <v>5.1162250041961704E-2</v>
      </c>
      <c r="H28" s="130">
        <f>F95</f>
        <v>4.9349831362695336E-2</v>
      </c>
      <c r="I28" s="103"/>
      <c r="J28" s="131" t="s">
        <v>471</v>
      </c>
      <c r="K28" s="103"/>
      <c r="L28" s="130">
        <f>D66</f>
        <v>4.1510759528690681E-3</v>
      </c>
      <c r="M28" s="130">
        <f>E66</f>
        <v>1.9385284781376837E-2</v>
      </c>
      <c r="N28" s="130">
        <f>F66</f>
        <v>1.5562093470141331E-2</v>
      </c>
      <c r="O28" s="130">
        <f>G66</f>
        <v>1.0935887547977108E-2</v>
      </c>
      <c r="P28" s="103"/>
      <c r="Q28" s="103"/>
      <c r="R28" s="103"/>
      <c r="S28" s="103"/>
      <c r="T28" s="6"/>
    </row>
    <row r="29" spans="1:20" s="54" customFormat="1" ht="18.75" customHeight="1">
      <c r="A29" s="53"/>
      <c r="B29" s="103"/>
      <c r="C29" s="102" t="s">
        <v>21</v>
      </c>
      <c r="D29" s="103"/>
      <c r="E29" s="130">
        <f>G77</f>
        <v>3.8008371533333335E-2</v>
      </c>
      <c r="F29" s="130">
        <f>G82</f>
        <v>4.0872286399999999E-2</v>
      </c>
      <c r="G29" s="130">
        <f>G87</f>
        <v>4.0417006599999993E-2</v>
      </c>
      <c r="H29" s="130">
        <f>G95</f>
        <v>4.0187750533333337E-2</v>
      </c>
      <c r="I29" s="103"/>
      <c r="J29" s="103"/>
      <c r="K29" s="103"/>
      <c r="L29" s="103"/>
      <c r="M29" s="103"/>
      <c r="N29" s="103"/>
      <c r="O29" s="103"/>
      <c r="P29" s="103"/>
      <c r="Q29" s="103"/>
      <c r="R29" s="103"/>
      <c r="S29" s="103"/>
      <c r="T29" s="6"/>
    </row>
    <row r="30" spans="1:20" s="54" customFormat="1" ht="18.75" customHeight="1">
      <c r="A30" s="53"/>
      <c r="B30" s="103"/>
      <c r="C30" s="103" t="s">
        <v>60</v>
      </c>
      <c r="D30" s="103"/>
      <c r="E30" s="130">
        <f>P88/100</f>
        <v>3.1197889124999999E-2</v>
      </c>
      <c r="F30" s="130">
        <f>U88/100</f>
        <v>3.5569155875000001E-2</v>
      </c>
      <c r="G30" s="130">
        <f>Z88/100</f>
        <v>3.6873585E-2</v>
      </c>
      <c r="H30" s="130">
        <f>AH88/100</f>
        <v>5.1406690312499996E-2</v>
      </c>
      <c r="I30" s="103"/>
      <c r="J30" s="103"/>
      <c r="K30" s="103"/>
      <c r="L30" s="103"/>
      <c r="M30" s="103"/>
      <c r="N30" s="103"/>
      <c r="O30" s="103"/>
      <c r="P30" s="103"/>
      <c r="Q30" s="103"/>
      <c r="R30" s="103"/>
      <c r="S30" s="103"/>
      <c r="T30" s="6"/>
    </row>
    <row r="31" spans="1:20" s="54" customFormat="1" ht="18.75" customHeight="1">
      <c r="A31" s="53"/>
      <c r="B31" s="103"/>
      <c r="C31" s="103" t="str">
        <f>F35</f>
        <v>Panama</v>
      </c>
      <c r="D31" s="103"/>
      <c r="E31" s="130" t="e">
        <f>E77</f>
        <v>#N/A</v>
      </c>
      <c r="F31" s="130" t="e">
        <f>E82</f>
        <v>#N/A</v>
      </c>
      <c r="G31" s="130" t="e">
        <f>E87</f>
        <v>#N/A</v>
      </c>
      <c r="H31" s="130" t="e">
        <f>E95</f>
        <v>#N/A</v>
      </c>
      <c r="I31" s="103"/>
      <c r="J31" s="103"/>
      <c r="K31" s="103"/>
      <c r="L31" s="103"/>
      <c r="M31" s="103"/>
      <c r="N31" s="103"/>
      <c r="O31" s="103"/>
      <c r="P31" s="103"/>
      <c r="Q31" s="103"/>
      <c r="R31" s="103"/>
      <c r="S31" s="103"/>
      <c r="T31" s="6"/>
    </row>
    <row r="32" spans="1:20" s="54" customFormat="1" ht="18.75" customHeight="1">
      <c r="A32" s="53"/>
      <c r="B32" s="103"/>
      <c r="C32" s="103"/>
      <c r="D32" s="103"/>
      <c r="E32" s="103"/>
      <c r="F32" s="103"/>
      <c r="G32" s="103"/>
      <c r="H32" s="103"/>
      <c r="I32" s="103"/>
      <c r="J32" s="103"/>
      <c r="K32" s="103"/>
      <c r="L32" s="103"/>
      <c r="M32" s="103"/>
      <c r="N32" s="103"/>
      <c r="O32" s="103"/>
      <c r="P32" s="103"/>
      <c r="Q32" s="103"/>
      <c r="R32" s="103"/>
      <c r="S32" s="103"/>
      <c r="T32" s="6"/>
    </row>
    <row r="35" spans="3:24" hidden="1">
      <c r="C35" s="413" t="s">
        <v>73</v>
      </c>
      <c r="D35" s="413"/>
      <c r="E35" s="413"/>
      <c r="F35" s="413" t="str">
        <f>'Country Selection'!C5</f>
        <v>Panama</v>
      </c>
      <c r="G35" s="413"/>
      <c r="H35" s="413"/>
      <c r="I35" s="413"/>
    </row>
    <row r="37" spans="3:24" ht="1" customHeight="1">
      <c r="C37" s="8"/>
      <c r="D37" s="8" t="s">
        <v>198</v>
      </c>
      <c r="E37" s="8" t="s">
        <v>199</v>
      </c>
    </row>
    <row r="38" spans="3:24" ht="1" customHeight="1">
      <c r="C38" s="8" t="s">
        <v>200</v>
      </c>
      <c r="D38" s="67">
        <f>VLOOKUP($F$35,$C$46:$G$66,2,FALSE)</f>
        <v>1.4347826086956522E-3</v>
      </c>
      <c r="E38" s="8">
        <v>0</v>
      </c>
    </row>
    <row r="39" spans="3:24" ht="1" customHeight="1">
      <c r="C39" s="8" t="s">
        <v>14</v>
      </c>
      <c r="D39" s="67">
        <f>VLOOKUP($F$35,$C$46:$G$66,3,FALSE)</f>
        <v>1.1478260869565217E-2</v>
      </c>
      <c r="E39" s="8">
        <v>0</v>
      </c>
    </row>
    <row r="40" spans="3:24" ht="1" customHeight="1">
      <c r="C40" s="8" t="s">
        <v>15</v>
      </c>
      <c r="D40" s="67">
        <f>VLOOKUP($F$35,$C$46:$G$66,4,FALSE)</f>
        <v>1.0043478260869565E-2</v>
      </c>
      <c r="E40" s="8">
        <v>0</v>
      </c>
    </row>
    <row r="41" spans="3:24" ht="1" customHeight="1">
      <c r="C41" s="8" t="s">
        <v>201</v>
      </c>
      <c r="D41" s="67">
        <f>VLOOKUP($F$35,$C$46:$G$66,5,FALSE)</f>
        <v>1.0043478260869565E-2</v>
      </c>
      <c r="E41" s="68"/>
    </row>
    <row r="42" spans="3:24" ht="1" customHeight="1">
      <c r="C42" s="8" t="s">
        <v>198</v>
      </c>
      <c r="D42" s="67">
        <f>D41</f>
        <v>1.0043478260869565E-2</v>
      </c>
      <c r="E42" s="8"/>
    </row>
    <row r="43" spans="3:24" ht="1" customHeight="1"/>
    <row r="44" spans="3:24" s="63" customFormat="1" ht="1" customHeight="1">
      <c r="C44" s="69"/>
      <c r="D44" s="426" t="s">
        <v>203</v>
      </c>
      <c r="E44" s="426"/>
      <c r="F44" s="426"/>
      <c r="G44" s="426"/>
      <c r="V44" s="37"/>
      <c r="W44" s="37"/>
      <c r="X44" s="37"/>
    </row>
    <row r="45" spans="3:24" s="63" customFormat="1" ht="1" customHeight="1">
      <c r="C45" s="70" t="s">
        <v>202</v>
      </c>
      <c r="D45" s="62" t="s">
        <v>204</v>
      </c>
      <c r="E45" s="70" t="s">
        <v>14</v>
      </c>
      <c r="F45" s="70" t="s">
        <v>15</v>
      </c>
      <c r="G45" s="70" t="s">
        <v>16</v>
      </c>
    </row>
    <row r="46" spans="3:24" s="63" customFormat="1" ht="1" customHeight="1">
      <c r="C46" s="71" t="s">
        <v>36</v>
      </c>
      <c r="D46" s="72">
        <v>4.0332830188679249E-3</v>
      </c>
      <c r="E46" s="72">
        <v>1.61331320754717E-2</v>
      </c>
      <c r="F46" s="72">
        <v>2.2183056603773586E-2</v>
      </c>
      <c r="G46" s="72">
        <v>1.1091528301886793E-2</v>
      </c>
      <c r="H46" s="37"/>
      <c r="I46" s="37"/>
    </row>
    <row r="47" spans="3:24" s="63" customFormat="1" ht="1" customHeight="1">
      <c r="C47" s="73" t="s">
        <v>67</v>
      </c>
      <c r="D47" s="72">
        <v>1.0689655172413793E-3</v>
      </c>
      <c r="E47" s="72">
        <v>2.6724137931034484E-2</v>
      </c>
      <c r="F47" s="72">
        <v>2.5655172413793104E-2</v>
      </c>
      <c r="G47" s="72">
        <v>8.5517241379310348E-3</v>
      </c>
      <c r="H47" s="37"/>
      <c r="I47" s="37"/>
    </row>
    <row r="48" spans="3:24" s="63" customFormat="1" ht="1" customHeight="1">
      <c r="C48" s="71" t="s">
        <v>39</v>
      </c>
      <c r="D48" s="72">
        <v>3.6810455774647886E-3</v>
      </c>
      <c r="E48" s="72">
        <v>2.1166012070422534E-2</v>
      </c>
      <c r="F48" s="72">
        <v>2.3926796253521128E-2</v>
      </c>
      <c r="G48" s="72">
        <v>1.6564705098591551E-2</v>
      </c>
      <c r="H48" s="37"/>
      <c r="I48" s="37"/>
    </row>
    <row r="49" spans="3:9" s="63" customFormat="1" ht="1" customHeight="1">
      <c r="C49" s="71" t="s">
        <v>40</v>
      </c>
      <c r="D49" s="72">
        <v>4.0393946666666663E-3</v>
      </c>
      <c r="E49" s="72">
        <v>1.8177276000000003E-2</v>
      </c>
      <c r="F49" s="72">
        <v>2.6256065333333339E-2</v>
      </c>
      <c r="G49" s="72">
        <v>1.2118184000000001E-2</v>
      </c>
      <c r="H49" s="37"/>
      <c r="I49" s="37"/>
    </row>
    <row r="50" spans="3:9" s="63" customFormat="1" ht="1" customHeight="1">
      <c r="C50" s="71" t="s">
        <v>41</v>
      </c>
      <c r="D50" s="72">
        <v>7.419088046511626E-3</v>
      </c>
      <c r="E50" s="72">
        <v>1.3778306372093024E-2</v>
      </c>
      <c r="F50" s="72">
        <v>1.4838176093023252E-2</v>
      </c>
      <c r="G50" s="72">
        <v>9.5388274883720942E-3</v>
      </c>
      <c r="H50" s="37"/>
      <c r="I50" s="37"/>
    </row>
    <row r="51" spans="3:9" s="63" customFormat="1" ht="1" customHeight="1">
      <c r="C51" s="71" t="s">
        <v>42</v>
      </c>
      <c r="D51" s="72">
        <v>3.0030000612244895E-3</v>
      </c>
      <c r="E51" s="72">
        <v>1.7017000346938774E-2</v>
      </c>
      <c r="F51" s="72">
        <v>1.8018000367346937E-2</v>
      </c>
      <c r="G51" s="72">
        <v>1.1011000224489795E-2</v>
      </c>
      <c r="H51" s="37"/>
      <c r="I51" s="37"/>
    </row>
    <row r="52" spans="3:9" s="63" customFormat="1" ht="1" customHeight="1">
      <c r="C52" s="71" t="s">
        <v>43</v>
      </c>
      <c r="D52" s="72">
        <v>5.3190341474964277E-3</v>
      </c>
      <c r="E52" s="72">
        <v>2.9254687811230355E-2</v>
      </c>
      <c r="F52" s="72">
        <v>1.8616619516237491E-2</v>
      </c>
      <c r="G52" s="72">
        <v>2.2708649525035728E-2</v>
      </c>
      <c r="H52" s="37"/>
      <c r="I52" s="37"/>
    </row>
    <row r="53" spans="3:9" s="63" customFormat="1" ht="1" customHeight="1">
      <c r="C53" s="71" t="s">
        <v>113</v>
      </c>
      <c r="D53" s="72">
        <v>1.9779105303910712E-3</v>
      </c>
      <c r="E53" s="72">
        <v>1.2526766692476782E-2</v>
      </c>
      <c r="F53" s="72">
        <v>8.570945631694641E-3</v>
      </c>
      <c r="G53" s="72">
        <v>2.4466331454375051E-3</v>
      </c>
      <c r="H53" s="37"/>
      <c r="I53" s="37"/>
    </row>
    <row r="54" spans="3:9" s="63" customFormat="1" ht="1" customHeight="1">
      <c r="C54" s="71" t="s">
        <v>45</v>
      </c>
      <c r="D54" s="72">
        <v>6.6406791627906976E-3</v>
      </c>
      <c r="E54" s="72">
        <v>2.1028817348837207E-2</v>
      </c>
      <c r="F54" s="72">
        <v>7.7474590232558113E-3</v>
      </c>
      <c r="G54" s="72">
        <v>1.2174578465116279E-2</v>
      </c>
      <c r="H54" s="37"/>
      <c r="I54" s="37"/>
    </row>
    <row r="55" spans="3:9" s="63" customFormat="1" ht="1" customHeight="1">
      <c r="C55" s="71" t="s">
        <v>46</v>
      </c>
      <c r="D55" s="72">
        <v>3.5929215937499999E-3</v>
      </c>
      <c r="E55" s="72">
        <v>1.7964607968750001E-2</v>
      </c>
      <c r="F55" s="72">
        <v>1.1976405312500001E-2</v>
      </c>
      <c r="G55" s="72">
        <v>4.7905621249999999E-3</v>
      </c>
      <c r="H55" s="37"/>
      <c r="I55" s="37"/>
    </row>
    <row r="56" spans="3:9" s="63" customFormat="1" ht="1" customHeight="1">
      <c r="C56" s="71" t="s">
        <v>47</v>
      </c>
      <c r="D56" s="72">
        <v>3.4107118800000007E-3</v>
      </c>
      <c r="E56" s="72">
        <v>1.7053559400000001E-2</v>
      </c>
      <c r="F56" s="72">
        <v>4.5476158400000006E-3</v>
      </c>
      <c r="G56" s="72">
        <v>3.4107118800000007E-3</v>
      </c>
      <c r="H56" s="37"/>
      <c r="I56" s="37"/>
    </row>
    <row r="57" spans="3:9" s="63" customFormat="1" ht="1" customHeight="1">
      <c r="C57" s="71" t="s">
        <v>50</v>
      </c>
      <c r="D57" s="72">
        <v>4.0516757931034477E-3</v>
      </c>
      <c r="E57" s="72">
        <v>2.9374649499999995E-2</v>
      </c>
      <c r="F57" s="72">
        <v>1.5193784224137929E-2</v>
      </c>
      <c r="G57" s="72">
        <v>1.012918948275862E-2</v>
      </c>
      <c r="H57" s="37"/>
      <c r="I57" s="37"/>
    </row>
    <row r="58" spans="3:9" s="63" customFormat="1" ht="1" customHeight="1">
      <c r="C58" s="71" t="s">
        <v>71</v>
      </c>
      <c r="D58" s="72">
        <v>2.0853999333333337E-3</v>
      </c>
      <c r="E58" s="72">
        <v>2.2939399266666671E-2</v>
      </c>
      <c r="F58" s="72">
        <v>1.9811299366666667E-2</v>
      </c>
      <c r="G58" s="72">
        <v>1.0426999666666669E-2</v>
      </c>
      <c r="H58" s="37"/>
      <c r="I58" s="37"/>
    </row>
    <row r="59" spans="3:9" s="63" customFormat="1" ht="1" customHeight="1">
      <c r="C59" s="71" t="s">
        <v>52</v>
      </c>
      <c r="D59" s="72">
        <v>5.3127912999999995E-3</v>
      </c>
      <c r="E59" s="72">
        <v>2.0188606939999996E-2</v>
      </c>
      <c r="F59" s="72">
        <v>1.7000932159999999E-2</v>
      </c>
      <c r="G59" s="72">
        <v>1.0625582599999999E-2</v>
      </c>
      <c r="H59" s="37"/>
      <c r="I59" s="37"/>
    </row>
    <row r="60" spans="3:9" s="63" customFormat="1" ht="1" customHeight="1">
      <c r="C60" s="71" t="s">
        <v>53</v>
      </c>
      <c r="D60" s="72">
        <v>2.1082436744186044E-3</v>
      </c>
      <c r="E60" s="72">
        <v>1.8974193069767442E-2</v>
      </c>
      <c r="F60" s="72">
        <v>6.324731023255814E-3</v>
      </c>
      <c r="G60" s="72">
        <v>1.2649462046511628E-2</v>
      </c>
      <c r="H60" s="37"/>
      <c r="I60" s="37"/>
    </row>
    <row r="61" spans="3:9" s="63" customFormat="1" ht="1" customHeight="1">
      <c r="C61" s="73" t="s">
        <v>54</v>
      </c>
      <c r="D61" s="72">
        <v>1.4347826086956522E-3</v>
      </c>
      <c r="E61" s="72">
        <v>1.1478260869565217E-2</v>
      </c>
      <c r="F61" s="72">
        <v>1.0043478260869565E-2</v>
      </c>
      <c r="G61" s="72">
        <v>1.0043478260869565E-2</v>
      </c>
      <c r="H61" s="37"/>
      <c r="I61" s="37"/>
    </row>
    <row r="62" spans="3:9" s="63" customFormat="1" ht="1" customHeight="1">
      <c r="C62" s="71" t="s">
        <v>55</v>
      </c>
      <c r="D62" s="72">
        <v>3.1802678571428572E-3</v>
      </c>
      <c r="E62" s="72">
        <v>2.0141696428571429E-2</v>
      </c>
      <c r="F62" s="72">
        <v>1.6961428571428572E-2</v>
      </c>
      <c r="G62" s="72">
        <v>1.1660982142857145E-2</v>
      </c>
      <c r="H62" s="37"/>
      <c r="I62" s="37"/>
    </row>
    <row r="63" spans="3:9" s="63" customFormat="1" ht="1" customHeight="1">
      <c r="C63" s="73" t="s">
        <v>56</v>
      </c>
      <c r="D63" s="72">
        <v>6.1666666666666684E-3</v>
      </c>
      <c r="E63" s="72">
        <v>1.438888888888889E-2</v>
      </c>
      <c r="F63" s="72">
        <v>1.130555555555556E-2</v>
      </c>
      <c r="G63" s="72">
        <v>5.1388888888888899E-3</v>
      </c>
      <c r="H63" s="37"/>
      <c r="I63" s="37"/>
    </row>
    <row r="64" spans="3:9" s="63" customFormat="1" ht="1" customHeight="1">
      <c r="C64" s="71" t="s">
        <v>58</v>
      </c>
      <c r="D64" s="72">
        <v>4.6447494358974354E-3</v>
      </c>
      <c r="E64" s="72">
        <v>1.0450686230769233E-2</v>
      </c>
      <c r="F64" s="72">
        <v>1.6256623025641022E-2</v>
      </c>
      <c r="G64" s="72">
        <v>1.3934248307692307E-2</v>
      </c>
      <c r="H64" s="37"/>
      <c r="I64" s="37"/>
    </row>
    <row r="65" spans="3:34" s="63" customFormat="1" ht="1" customHeight="1">
      <c r="C65" s="74" t="s">
        <v>59</v>
      </c>
      <c r="D65" s="72">
        <v>9.8509075857182854E-3</v>
      </c>
      <c r="E65" s="72">
        <v>2.8945010416052946E-2</v>
      </c>
      <c r="F65" s="72">
        <v>1.6007724826792216E-2</v>
      </c>
      <c r="G65" s="72">
        <v>1.9701815171436571E-2</v>
      </c>
      <c r="H65" s="37"/>
      <c r="I65" s="37"/>
    </row>
    <row r="66" spans="3:34" s="63" customFormat="1" ht="1" customHeight="1">
      <c r="C66" s="70" t="s">
        <v>20</v>
      </c>
      <c r="D66" s="75">
        <f>AVERAGE(D46:D65)</f>
        <v>4.1510759528690681E-3</v>
      </c>
      <c r="E66" s="75">
        <f>AVERAGE(E46:E65)</f>
        <v>1.9385284781376837E-2</v>
      </c>
      <c r="F66" s="75">
        <f>AVERAGE(F46:F65)</f>
        <v>1.5562093470141331E-2</v>
      </c>
      <c r="G66" s="75">
        <f>AVERAGE(G46:G65)</f>
        <v>1.0935887547977108E-2</v>
      </c>
      <c r="H66" s="37"/>
      <c r="I66" s="37"/>
    </row>
    <row r="67" spans="3:34" s="63" customFormat="1" ht="1" customHeight="1">
      <c r="C67" s="66"/>
      <c r="W67" s="37"/>
      <c r="X67" s="37"/>
    </row>
    <row r="68" spans="3:34" s="63" customFormat="1" ht="1" customHeight="1"/>
    <row r="69" spans="3:34" s="63" customFormat="1" ht="1" customHeight="1">
      <c r="C69" s="9"/>
      <c r="D69" s="9"/>
      <c r="E69" s="9"/>
      <c r="F69" s="9"/>
      <c r="G69" s="9"/>
      <c r="H69" s="9"/>
      <c r="I69" s="9"/>
      <c r="K69" s="9"/>
      <c r="L69" s="9"/>
      <c r="M69" s="9"/>
      <c r="N69" s="9"/>
      <c r="O69" s="9"/>
      <c r="P69" s="9"/>
      <c r="Q69" s="9"/>
      <c r="R69" s="9"/>
      <c r="S69" s="9"/>
      <c r="T69" s="9"/>
      <c r="U69" s="9"/>
      <c r="V69" s="9"/>
    </row>
    <row r="70" spans="3:34" ht="1" customHeight="1">
      <c r="J70" s="63"/>
    </row>
    <row r="71" spans="3:34" ht="1" customHeight="1">
      <c r="C71" s="8" t="s">
        <v>17</v>
      </c>
      <c r="D71" s="8" t="s">
        <v>90</v>
      </c>
      <c r="E71" s="8" t="str">
        <f>F35</f>
        <v>Panama</v>
      </c>
      <c r="F71" s="8" t="s">
        <v>115</v>
      </c>
      <c r="G71" s="8" t="s">
        <v>21</v>
      </c>
      <c r="H71" s="8" t="s">
        <v>471</v>
      </c>
      <c r="J71" s="8" t="s">
        <v>17</v>
      </c>
      <c r="K71" s="8">
        <v>1990</v>
      </c>
      <c r="L71" s="8">
        <v>1991</v>
      </c>
      <c r="M71" s="8">
        <v>1992</v>
      </c>
      <c r="N71" s="8">
        <v>1993</v>
      </c>
      <c r="O71" s="8">
        <v>1994</v>
      </c>
      <c r="P71" s="8">
        <v>1995</v>
      </c>
      <c r="Q71" s="8">
        <v>1996</v>
      </c>
      <c r="R71" s="8">
        <v>1997</v>
      </c>
      <c r="S71" s="8">
        <v>1998</v>
      </c>
      <c r="T71" s="8">
        <v>1999</v>
      </c>
      <c r="U71" s="8">
        <v>2000</v>
      </c>
      <c r="V71" s="8">
        <v>2001</v>
      </c>
      <c r="W71" s="8">
        <v>2002</v>
      </c>
      <c r="X71" s="8">
        <v>2003</v>
      </c>
      <c r="Y71" s="8">
        <v>2004</v>
      </c>
      <c r="Z71" s="8">
        <v>2005</v>
      </c>
      <c r="AA71" s="8">
        <v>2006</v>
      </c>
      <c r="AB71" s="8">
        <v>2007</v>
      </c>
      <c r="AC71" s="8">
        <v>2008</v>
      </c>
      <c r="AD71" s="8">
        <v>2009</v>
      </c>
      <c r="AE71" s="8">
        <v>2010</v>
      </c>
      <c r="AF71" s="8">
        <v>2011</v>
      </c>
      <c r="AG71" s="8">
        <v>2012</v>
      </c>
      <c r="AH71" s="8">
        <v>2013</v>
      </c>
    </row>
    <row r="72" spans="3:34" ht="1" customHeight="1">
      <c r="C72" s="8">
        <v>1990</v>
      </c>
      <c r="D72" s="76">
        <v>4.8164100999999994E-2</v>
      </c>
      <c r="E72" s="76" t="e">
        <f>VLOOKUP($E$71,$J$72:$AH$88,2,FALSE)/100</f>
        <v>#N/A</v>
      </c>
      <c r="F72" s="76">
        <v>4.6051697731018103E-2</v>
      </c>
      <c r="G72" s="76">
        <v>3.9879151333333328E-2</v>
      </c>
      <c r="H72" s="76">
        <v>2.1373465512499999E-2</v>
      </c>
      <c r="J72" s="8" t="s">
        <v>36</v>
      </c>
      <c r="K72" s="8">
        <v>1.06738</v>
      </c>
      <c r="L72" s="8">
        <v>1.5114799999999999</v>
      </c>
      <c r="M72" s="8">
        <v>1.9555800000000001</v>
      </c>
      <c r="N72" s="8">
        <v>2.39968</v>
      </c>
      <c r="O72" s="8">
        <v>2.8437800000000002</v>
      </c>
      <c r="P72" s="8">
        <v>3.2878801000000002</v>
      </c>
      <c r="Q72" s="8">
        <v>3.7319800999999999</v>
      </c>
      <c r="R72" s="8">
        <v>3.8859249</v>
      </c>
      <c r="S72" s="8">
        <v>4.0398698</v>
      </c>
      <c r="T72" s="8">
        <v>4.5216798999999996</v>
      </c>
      <c r="U72" s="8">
        <v>4.5803098999999996</v>
      </c>
      <c r="V72" s="8">
        <v>4.8337402000000003</v>
      </c>
      <c r="W72" s="8">
        <v>4.0173401999999996</v>
      </c>
      <c r="X72" s="8">
        <v>3.5350499000000002</v>
      </c>
      <c r="Y72" s="8">
        <v>3.1565398999999998</v>
      </c>
      <c r="Z72" s="8">
        <v>3.4740500000000001</v>
      </c>
      <c r="AA72" s="8">
        <v>3.6549900000000002</v>
      </c>
      <c r="AB72" s="8">
        <v>3.8963499000000001</v>
      </c>
      <c r="AC72" s="8">
        <v>4.3378201000000001</v>
      </c>
      <c r="AD72" s="8">
        <v>4.8899999000000003</v>
      </c>
      <c r="AE72" s="8">
        <v>4.6063700000000001</v>
      </c>
      <c r="AF72" s="8">
        <v>4.9863200000000001</v>
      </c>
      <c r="AG72" s="8">
        <v>5.0990500000000001</v>
      </c>
      <c r="AH72" s="8">
        <v>5.3441000000000001</v>
      </c>
    </row>
    <row r="73" spans="3:34" ht="1" customHeight="1">
      <c r="C73" s="8">
        <v>1991</v>
      </c>
      <c r="D73" s="76">
        <v>4.8990698000000006E-2</v>
      </c>
      <c r="E73" s="76" t="e">
        <f>VLOOKUP($E$71,$J$72:$AH$88,3,FALSE)/100</f>
        <v>#N/A</v>
      </c>
      <c r="F73" s="76">
        <v>4.8174400329589799E-2</v>
      </c>
      <c r="G73" s="76">
        <v>4.0384705733333338E-2</v>
      </c>
      <c r="H73" s="76">
        <v>2.3674832581249996E-2</v>
      </c>
      <c r="J73" s="8" t="s">
        <v>39</v>
      </c>
      <c r="K73" s="8">
        <v>4.6390165999999997</v>
      </c>
      <c r="L73" s="8">
        <v>4.8016562</v>
      </c>
      <c r="M73" s="8">
        <v>4.7968248999999998</v>
      </c>
      <c r="N73" s="8">
        <v>4.7905173000000003</v>
      </c>
      <c r="O73" s="8">
        <v>4.7842102000000004</v>
      </c>
      <c r="P73" s="8">
        <v>5.6081700000000003</v>
      </c>
      <c r="Q73" s="8">
        <v>4.6574100999999999</v>
      </c>
      <c r="R73" s="8">
        <v>5.0902099999999999</v>
      </c>
      <c r="S73" s="8">
        <v>5.5230097999999996</v>
      </c>
      <c r="T73" s="8">
        <v>5.6593198999999998</v>
      </c>
      <c r="U73" s="8">
        <v>5.4734201000000002</v>
      </c>
      <c r="V73" s="8">
        <v>5.8994597999999998</v>
      </c>
      <c r="W73" s="8">
        <v>6.2303100000000002</v>
      </c>
      <c r="X73" s="8">
        <v>6.3790398000000001</v>
      </c>
      <c r="Y73" s="8">
        <v>6.3572299000000001</v>
      </c>
      <c r="Z73" s="8">
        <v>6.3354200000000001</v>
      </c>
      <c r="AA73" s="8">
        <v>6.3136101</v>
      </c>
      <c r="AB73" s="8">
        <v>6.6766700999999999</v>
      </c>
      <c r="AC73" s="8">
        <v>7.0397300999999999</v>
      </c>
      <c r="AD73" s="8">
        <v>8.0811995999999997</v>
      </c>
      <c r="AE73" s="8">
        <v>7.6001101000000002</v>
      </c>
      <c r="AF73" s="8">
        <v>6.8926401000000004</v>
      </c>
      <c r="AG73" s="8">
        <v>6.4369101999999998</v>
      </c>
      <c r="AH73" s="8">
        <v>6.5338558999999998</v>
      </c>
    </row>
    <row r="74" spans="3:34" ht="1" customHeight="1">
      <c r="C74" s="8">
        <v>1992</v>
      </c>
      <c r="D74" s="76">
        <v>4.8907465999999997E-2</v>
      </c>
      <c r="E74" s="76" t="e">
        <f>VLOOKUP($E$71,$J$72:$AH$88,4,FALSE)/100</f>
        <v>#N/A</v>
      </c>
      <c r="F74" s="76">
        <v>4.8608150482177696E-2</v>
      </c>
      <c r="G74" s="76">
        <v>4.0396583999999992E-2</v>
      </c>
      <c r="H74" s="76">
        <v>2.5660093999999994E-2</v>
      </c>
      <c r="J74" s="8" t="s">
        <v>40</v>
      </c>
      <c r="K74" s="8">
        <v>3.2126667000000002</v>
      </c>
      <c r="L74" s="8">
        <v>3.4521012</v>
      </c>
      <c r="M74" s="8">
        <v>3.6235284999999999</v>
      </c>
      <c r="N74" s="8">
        <v>3.7943563</v>
      </c>
      <c r="O74" s="8">
        <v>3.9651841999999999</v>
      </c>
      <c r="P74" s="8">
        <v>4.4731698</v>
      </c>
      <c r="Q74" s="8">
        <v>4.5619398999999996</v>
      </c>
      <c r="R74" s="8">
        <v>4.6507098999999998</v>
      </c>
      <c r="S74" s="8">
        <v>4.7394800000000004</v>
      </c>
      <c r="T74" s="8">
        <v>3.7847300000000001</v>
      </c>
      <c r="U74" s="8">
        <v>3.9381398999999999</v>
      </c>
      <c r="V74" s="8">
        <v>3.8430399999999998</v>
      </c>
      <c r="W74" s="8">
        <v>3.7443499999999998</v>
      </c>
      <c r="X74" s="8">
        <v>3.8584499000000001</v>
      </c>
      <c r="Y74" s="8">
        <v>3.9725499000000002</v>
      </c>
      <c r="Z74" s="8">
        <v>4.4767098000000001</v>
      </c>
      <c r="AA74" s="8">
        <v>4.8698902000000004</v>
      </c>
      <c r="AB74" s="8">
        <v>4.9783502000000004</v>
      </c>
      <c r="AC74" s="8">
        <v>5.2726997999999998</v>
      </c>
      <c r="AD74" s="8">
        <v>5.4715400000000001</v>
      </c>
      <c r="AE74" s="8">
        <v>5.6473699000000002</v>
      </c>
      <c r="AF74" s="8">
        <v>5.7395300999999996</v>
      </c>
      <c r="AG74" s="8">
        <v>5.91432</v>
      </c>
      <c r="AH74" s="8">
        <v>6.0590919999999997</v>
      </c>
    </row>
    <row r="75" spans="3:34" ht="1" customHeight="1">
      <c r="C75" s="8">
        <v>1993</v>
      </c>
      <c r="D75" s="76">
        <v>4.8824234000000001E-2</v>
      </c>
      <c r="E75" s="76" t="e">
        <f>VLOOKUP($E$71,$J$72:$AH$88,5,FALSE)/100</f>
        <v>#N/A</v>
      </c>
      <c r="F75" s="76">
        <v>5.1048498153686499E-2</v>
      </c>
      <c r="G75" s="76">
        <v>4.0112833513333335E-2</v>
      </c>
      <c r="H75" s="76">
        <v>2.6645065868749998E-2</v>
      </c>
      <c r="J75" s="8" t="s">
        <v>41</v>
      </c>
      <c r="K75" s="8">
        <v>2.3610300999999998</v>
      </c>
      <c r="L75" s="8">
        <v>2.3953101000000001</v>
      </c>
      <c r="M75" s="8">
        <v>2.4295901</v>
      </c>
      <c r="N75" s="8">
        <v>2.46387</v>
      </c>
      <c r="O75" s="8">
        <v>2.5962700999999999</v>
      </c>
      <c r="P75" s="8">
        <v>2.64011</v>
      </c>
      <c r="Q75" s="8">
        <v>2.8800398999999999</v>
      </c>
      <c r="R75" s="8">
        <v>3.09043</v>
      </c>
      <c r="S75" s="8">
        <v>3.4328899000000002</v>
      </c>
      <c r="T75" s="8">
        <v>3.8405198999999999</v>
      </c>
      <c r="U75" s="8">
        <v>3.7059801000000001</v>
      </c>
      <c r="V75" s="8">
        <v>3.8577249999999998</v>
      </c>
      <c r="W75" s="8">
        <v>4.0094700000000003</v>
      </c>
      <c r="X75" s="8">
        <v>3.8515999000000001</v>
      </c>
      <c r="Y75" s="8">
        <v>3.4884501000000001</v>
      </c>
      <c r="Z75" s="8">
        <v>3.2250800000000002</v>
      </c>
      <c r="AA75" s="8">
        <v>3.0238098999999998</v>
      </c>
      <c r="AB75" s="8">
        <v>3.2235301000000001</v>
      </c>
      <c r="AC75" s="8">
        <v>3.7926700000000002</v>
      </c>
      <c r="AD75" s="8">
        <v>4.2412900999999996</v>
      </c>
      <c r="AE75" s="8">
        <v>4.1812100000000001</v>
      </c>
      <c r="AF75" s="8">
        <v>4.0680798999999999</v>
      </c>
      <c r="AG75" s="8">
        <v>4.5740800000000004</v>
      </c>
      <c r="AH75" s="8">
        <v>4.5574398</v>
      </c>
    </row>
    <row r="76" spans="3:34" ht="1" customHeight="1">
      <c r="C76" s="8">
        <v>1994</v>
      </c>
      <c r="D76" s="76">
        <v>4.8741001999999999E-2</v>
      </c>
      <c r="E76" s="76" t="e">
        <f>VLOOKUP($E$71,$J$72:$AH$88,6,FALSE)/100</f>
        <v>#N/A</v>
      </c>
      <c r="F76" s="76">
        <v>4.8624651432037355E-2</v>
      </c>
      <c r="G76" s="76">
        <v>3.9369987733333334E-2</v>
      </c>
      <c r="H76" s="76">
        <v>2.914389206875E-2</v>
      </c>
      <c r="J76" s="8" t="s">
        <v>42</v>
      </c>
      <c r="K76" s="8">
        <v>3.7440763000000001</v>
      </c>
      <c r="L76" s="8">
        <v>3.6772741999999998</v>
      </c>
      <c r="M76" s="8">
        <v>3.5959987999999998</v>
      </c>
      <c r="N76" s="8">
        <v>3.5145960000000001</v>
      </c>
      <c r="O76" s="8">
        <v>3.5083913999999998</v>
      </c>
      <c r="P76" s="8">
        <v>3.5060687000000001</v>
      </c>
      <c r="Q76" s="8">
        <v>3.5648108000000001</v>
      </c>
      <c r="R76" s="8">
        <v>3.6950169000000002</v>
      </c>
      <c r="S76" s="8">
        <v>3.9264399999999999</v>
      </c>
      <c r="T76" s="8">
        <v>4.4408002</v>
      </c>
      <c r="U76" s="8">
        <v>3.5112100000000002</v>
      </c>
      <c r="V76" s="8">
        <v>3.7086798999999999</v>
      </c>
      <c r="W76" s="8">
        <v>4.2681297999999996</v>
      </c>
      <c r="X76" s="8">
        <v>4.3251400000000002</v>
      </c>
      <c r="Y76" s="8">
        <v>4.0793499999999998</v>
      </c>
      <c r="Z76" s="8">
        <v>3.9950098999999999</v>
      </c>
      <c r="AA76" s="8">
        <v>3.8933201</v>
      </c>
      <c r="AB76" s="8">
        <v>4.0587001000000003</v>
      </c>
      <c r="AC76" s="8">
        <v>3.9098001</v>
      </c>
      <c r="AD76" s="8">
        <v>4.7474297999999999</v>
      </c>
      <c r="AE76" s="8">
        <v>4.8261599999999998</v>
      </c>
      <c r="AF76" s="8">
        <v>4.4598098000000004</v>
      </c>
      <c r="AG76" s="8">
        <v>4.3853102000000002</v>
      </c>
      <c r="AH76" s="8">
        <v>4.9049000999999999</v>
      </c>
    </row>
    <row r="77" spans="3:34" ht="1" customHeight="1">
      <c r="C77" s="8">
        <v>1995</v>
      </c>
      <c r="D77" s="76">
        <v>4.9415302000000001E-2</v>
      </c>
      <c r="E77" s="76" t="e">
        <f>VLOOKUP($E$71,$J$72:$AH$88,7,FALSE)/100</f>
        <v>#N/A</v>
      </c>
      <c r="F77" s="76">
        <v>4.8569951057434099E-2</v>
      </c>
      <c r="G77" s="76">
        <v>3.8008371533333335E-2</v>
      </c>
      <c r="H77" s="76">
        <v>3.1197889124999999E-2</v>
      </c>
      <c r="J77" s="8" t="s">
        <v>205</v>
      </c>
      <c r="K77" s="8">
        <v>2.0060324999999999</v>
      </c>
      <c r="L77" s="8">
        <v>2.2135433999999998</v>
      </c>
      <c r="M77" s="8">
        <v>2.4489223999999998</v>
      </c>
      <c r="N77" s="8">
        <v>2.6496065</v>
      </c>
      <c r="O77" s="8">
        <v>2.9715539999999998</v>
      </c>
      <c r="P77" s="8">
        <v>3.3115999999999999</v>
      </c>
      <c r="Q77" s="8">
        <v>3.8365800000000001</v>
      </c>
      <c r="R77" s="8">
        <v>4.1803466</v>
      </c>
      <c r="S77" s="8">
        <v>4.5241132999999998</v>
      </c>
      <c r="T77" s="8">
        <v>4.8678799000000001</v>
      </c>
      <c r="U77" s="8">
        <v>4.3939500000000002</v>
      </c>
      <c r="V77" s="8">
        <v>4.7061200000000003</v>
      </c>
      <c r="W77" s="8">
        <v>5.0692401</v>
      </c>
      <c r="X77" s="8">
        <v>5.0616697999999998</v>
      </c>
      <c r="Y77" s="8">
        <v>4.8945898999999997</v>
      </c>
      <c r="Z77" s="8">
        <v>4.8178916000000003</v>
      </c>
      <c r="AA77" s="8">
        <v>4.6942862999999999</v>
      </c>
      <c r="AB77" s="8">
        <v>5.0243358999999996</v>
      </c>
      <c r="AC77" s="8">
        <v>5.9997014999999996</v>
      </c>
      <c r="AD77" s="8">
        <v>6.8235372999999999</v>
      </c>
      <c r="AE77" s="8">
        <v>6.8233541999999998</v>
      </c>
      <c r="AF77" s="8">
        <v>6.7010512000000002</v>
      </c>
      <c r="AG77" s="8">
        <v>7.5136856999999999</v>
      </c>
      <c r="AH77" s="8">
        <v>7.5898991000000002</v>
      </c>
    </row>
    <row r="78" spans="3:34" ht="1" customHeight="1">
      <c r="C78" s="8">
        <v>1996</v>
      </c>
      <c r="D78" s="76">
        <v>4.8994968999999999E-2</v>
      </c>
      <c r="E78" s="76" t="e">
        <f>VLOOKUP($E$71,$J$72:$AH$88,8,FALSE)/100</f>
        <v>#N/A</v>
      </c>
      <c r="F78" s="76">
        <v>5.0721499919891395E-2</v>
      </c>
      <c r="G78" s="76">
        <v>3.8555928400000002E-2</v>
      </c>
      <c r="H78" s="76">
        <v>3.2294131937499998E-2</v>
      </c>
      <c r="J78" s="8" t="s">
        <v>206</v>
      </c>
      <c r="K78" s="8">
        <v>0.82065105000000005</v>
      </c>
      <c r="L78" s="8">
        <v>0.79486597000000003</v>
      </c>
      <c r="M78" s="8">
        <v>0.66149879</v>
      </c>
      <c r="N78" s="8">
        <v>0.78018999</v>
      </c>
      <c r="O78" s="8">
        <v>0.90279001000000003</v>
      </c>
      <c r="P78" s="8">
        <v>1.0484800000000001</v>
      </c>
      <c r="Q78" s="8">
        <v>1.2346801000000001</v>
      </c>
      <c r="R78" s="8">
        <v>1.4041626</v>
      </c>
      <c r="S78" s="8">
        <v>1.5736451</v>
      </c>
      <c r="T78" s="8">
        <v>1.7431276</v>
      </c>
      <c r="U78" s="8">
        <v>1.9126101</v>
      </c>
      <c r="V78" s="8">
        <v>2.0236999999999998</v>
      </c>
      <c r="W78" s="8">
        <v>1.9710099999999999</v>
      </c>
      <c r="X78" s="8">
        <v>1.8763601000000001</v>
      </c>
      <c r="Y78" s="8">
        <v>1.92008</v>
      </c>
      <c r="Z78" s="8">
        <v>1.9638</v>
      </c>
      <c r="AA78" s="8">
        <v>2.00752</v>
      </c>
      <c r="AB78" s="8">
        <v>2.05124</v>
      </c>
      <c r="AC78" s="8">
        <v>2.3283908000000002</v>
      </c>
      <c r="AD78" s="8">
        <v>2.4915636000000001</v>
      </c>
      <c r="AE78" s="8">
        <v>2.5331731</v>
      </c>
      <c r="AF78" s="8">
        <v>2.4791905999999999</v>
      </c>
      <c r="AG78" s="8">
        <v>2.4680338000000002</v>
      </c>
      <c r="AH78" s="8">
        <v>2.5522255999999999</v>
      </c>
    </row>
    <row r="79" spans="3:34" ht="1" customHeight="1">
      <c r="C79" s="8">
        <v>1997</v>
      </c>
      <c r="D79" s="76">
        <v>4.8574634999999998E-2</v>
      </c>
      <c r="E79" s="76" t="e">
        <f>VLOOKUP($E$71,$J$72:$AH$88,9,FALSE)/100</f>
        <v>#N/A</v>
      </c>
      <c r="F79" s="76">
        <v>4.8207399845123317E-2</v>
      </c>
      <c r="G79" s="76">
        <v>3.9827846066666665E-2</v>
      </c>
      <c r="H79" s="76">
        <v>3.3843530687499998E-2</v>
      </c>
      <c r="J79" s="8" t="s">
        <v>45</v>
      </c>
      <c r="K79" s="8">
        <v>0.87680840000000004</v>
      </c>
      <c r="L79" s="8">
        <v>0.98746657000000004</v>
      </c>
      <c r="M79" s="8">
        <v>0.99118191</v>
      </c>
      <c r="N79" s="8">
        <v>1.2497543</v>
      </c>
      <c r="O79" s="8">
        <v>1.2694544000000001</v>
      </c>
      <c r="P79" s="8">
        <v>1.9976400000000001</v>
      </c>
      <c r="Q79" s="8">
        <v>2.0635500000000002</v>
      </c>
      <c r="R79" s="8">
        <v>2.1294599999999999</v>
      </c>
      <c r="S79" s="8">
        <v>2.19537</v>
      </c>
      <c r="T79" s="8">
        <v>1.5473399999999999</v>
      </c>
      <c r="U79" s="8">
        <v>1.15093</v>
      </c>
      <c r="V79" s="8">
        <v>1.443411</v>
      </c>
      <c r="W79" s="8">
        <v>1.735892</v>
      </c>
      <c r="X79" s="8">
        <v>2.0283730000000002</v>
      </c>
      <c r="Y79" s="8">
        <v>2.3208540000000002</v>
      </c>
      <c r="Z79" s="8">
        <v>2.6133350000000002</v>
      </c>
      <c r="AA79" s="8">
        <v>2.9058158999999999</v>
      </c>
      <c r="AB79" s="8">
        <v>3.1982968999999999</v>
      </c>
      <c r="AC79" s="8">
        <v>3.4907778999999999</v>
      </c>
      <c r="AD79" s="8">
        <v>3.7832588999999999</v>
      </c>
      <c r="AE79" s="8">
        <v>4.0757399000000003</v>
      </c>
      <c r="AF79" s="8">
        <v>4.3145499000000003</v>
      </c>
      <c r="AG79" s="8">
        <v>4.1800198999999996</v>
      </c>
      <c r="AH79" s="8">
        <v>4.7591533999999998</v>
      </c>
    </row>
    <row r="80" spans="3:34" ht="1" customHeight="1">
      <c r="C80" s="8">
        <v>1998</v>
      </c>
      <c r="D80" s="76">
        <v>4.8154301999999996E-2</v>
      </c>
      <c r="E80" s="76" t="e">
        <f>VLOOKUP($E$71,$J$72:$AH$88,10,FALSE)/100</f>
        <v>#N/A</v>
      </c>
      <c r="F80" s="76">
        <v>4.5693299770355245E-2</v>
      </c>
      <c r="G80" s="76">
        <v>4.0209402400000011E-2</v>
      </c>
      <c r="H80" s="76">
        <v>3.5050071124999999E-2</v>
      </c>
      <c r="J80" s="8" t="s">
        <v>46</v>
      </c>
      <c r="K80" s="8">
        <v>0.85585993999999999</v>
      </c>
      <c r="L80" s="8">
        <v>0.93577701000000002</v>
      </c>
      <c r="M80" s="8">
        <v>1.1051366</v>
      </c>
      <c r="N80" s="8">
        <v>1.3591323</v>
      </c>
      <c r="O80" s="8">
        <v>1.3159329</v>
      </c>
      <c r="P80" s="8">
        <v>1.5636554</v>
      </c>
      <c r="Q80" s="8">
        <v>1.8922167000000001</v>
      </c>
      <c r="R80" s="8">
        <v>2.1060686</v>
      </c>
      <c r="S80" s="8">
        <v>2.3199201</v>
      </c>
      <c r="T80" s="8">
        <v>2.3199201</v>
      </c>
      <c r="U80" s="8">
        <v>2.5470799999999998</v>
      </c>
      <c r="V80" s="8">
        <v>2.7088100000000002</v>
      </c>
      <c r="W80" s="8">
        <v>2.8705398999999998</v>
      </c>
      <c r="X80" s="8">
        <v>2.7590899000000002</v>
      </c>
      <c r="Y80" s="8">
        <v>2.7457750000000001</v>
      </c>
      <c r="Z80" s="8">
        <v>2.7324600000000001</v>
      </c>
      <c r="AA80" s="8">
        <v>3.0126800999999999</v>
      </c>
      <c r="AB80" s="8">
        <v>3.0544701000000001</v>
      </c>
      <c r="AC80" s="8">
        <v>3.7416600999999998</v>
      </c>
      <c r="AD80" s="8">
        <v>3.9695401000000001</v>
      </c>
      <c r="AE80" s="8">
        <v>3.4866799999999998</v>
      </c>
      <c r="AF80" s="8">
        <v>3.4174899999999999</v>
      </c>
      <c r="AG80" s="8">
        <v>3.8278902000000001</v>
      </c>
      <c r="AH80" s="8">
        <v>3.8324497000000002</v>
      </c>
    </row>
    <row r="81" spans="3:34" ht="1" customHeight="1">
      <c r="C81" s="8">
        <v>1999</v>
      </c>
      <c r="D81" s="76">
        <v>4.8493399999999999E-2</v>
      </c>
      <c r="E81" s="76" t="e">
        <f>VLOOKUP($E$71,$J$72:$AH$88,11,FALSE)/100</f>
        <v>#N/A</v>
      </c>
      <c r="F81" s="76">
        <v>4.6410999298095702E-2</v>
      </c>
      <c r="G81" s="76">
        <v>4.0465515933333335E-2</v>
      </c>
      <c r="H81" s="76">
        <v>3.6020199812499994E-2</v>
      </c>
      <c r="J81" s="8" t="s">
        <v>47</v>
      </c>
      <c r="K81" s="8">
        <v>0.78968154999999995</v>
      </c>
      <c r="L81" s="8">
        <v>0.98436248000000004</v>
      </c>
      <c r="M81" s="8">
        <v>1.3852433</v>
      </c>
      <c r="N81" s="8">
        <v>1.6657500000000001</v>
      </c>
      <c r="O81" s="8">
        <v>1.43998</v>
      </c>
      <c r="P81" s="8">
        <v>1.6048</v>
      </c>
      <c r="Q81" s="8">
        <v>1.5637000000000001</v>
      </c>
      <c r="R81" s="8">
        <v>1.7057310000000001</v>
      </c>
      <c r="S81" s="8">
        <v>1.8477619999999999</v>
      </c>
      <c r="T81" s="8">
        <v>1.9897929999999999</v>
      </c>
      <c r="U81" s="8">
        <v>2.1318239999999999</v>
      </c>
      <c r="V81" s="8">
        <v>2.2738550000000002</v>
      </c>
      <c r="W81" s="8">
        <v>2.415886</v>
      </c>
      <c r="X81" s="8">
        <v>2.5579170000000002</v>
      </c>
      <c r="Y81" s="8">
        <v>2.699948</v>
      </c>
      <c r="Z81" s="8">
        <v>2.8419789999999998</v>
      </c>
      <c r="AA81" s="8">
        <v>2.9840100000000001</v>
      </c>
      <c r="AB81" s="8">
        <v>3.0387398999999999</v>
      </c>
      <c r="AC81" s="8">
        <v>3.1845400000000001</v>
      </c>
      <c r="AD81" s="8">
        <v>2.9938050999999999</v>
      </c>
      <c r="AE81" s="8">
        <v>2.8030700999999998</v>
      </c>
      <c r="AF81" s="8">
        <v>2.92014</v>
      </c>
      <c r="AG81" s="8">
        <v>2.9578600000000002</v>
      </c>
      <c r="AH81" s="8">
        <v>2.8422599000000002</v>
      </c>
    </row>
    <row r="82" spans="3:34" ht="1" customHeight="1">
      <c r="C82" s="8">
        <v>2000</v>
      </c>
      <c r="D82" s="76">
        <v>5.1535999999999998E-2</v>
      </c>
      <c r="E82" s="76" t="e">
        <f>VLOOKUP($E$71,$J$72:$AH$88,12,FALSE)/100</f>
        <v>#N/A</v>
      </c>
      <c r="F82" s="76">
        <v>4.8733901977539101E-2</v>
      </c>
      <c r="G82" s="76">
        <v>4.0872286399999999E-2</v>
      </c>
      <c r="H82" s="76">
        <v>3.5569155875000001E-2</v>
      </c>
      <c r="J82" s="8" t="s">
        <v>71</v>
      </c>
      <c r="K82" s="8">
        <v>4.7791600000000001</v>
      </c>
      <c r="L82" s="8">
        <v>4.38307</v>
      </c>
      <c r="M82" s="8">
        <v>3.3366598999999999</v>
      </c>
      <c r="N82" s="8">
        <v>3.2140300000000002</v>
      </c>
      <c r="O82" s="8">
        <v>4.5202498000000002</v>
      </c>
      <c r="P82" s="8">
        <v>3.74213</v>
      </c>
      <c r="Q82" s="8">
        <v>4.1610798999999998</v>
      </c>
      <c r="R82" s="8">
        <v>4.9609798999999999</v>
      </c>
      <c r="S82" s="8">
        <v>4.9790200000000002</v>
      </c>
      <c r="T82" s="8">
        <v>4.9970600000000003</v>
      </c>
      <c r="U82" s="8">
        <v>5.0151000000000003</v>
      </c>
      <c r="V82" s="8">
        <v>5.4147600999999996</v>
      </c>
      <c r="W82" s="8">
        <v>5.4285202000000004</v>
      </c>
      <c r="X82" s="8">
        <v>4.2568498000000004</v>
      </c>
      <c r="Y82" s="8">
        <v>3.91255</v>
      </c>
      <c r="Z82" s="8">
        <v>4.6170701999999997</v>
      </c>
      <c r="AA82" s="8">
        <v>5.0542252000000003</v>
      </c>
      <c r="AB82" s="8">
        <v>5.4913802</v>
      </c>
      <c r="AC82" s="8">
        <v>6.1932701999999997</v>
      </c>
      <c r="AD82" s="8">
        <v>6.1992798000000002</v>
      </c>
      <c r="AE82" s="8">
        <v>6.3682097999999998</v>
      </c>
      <c r="AF82" s="8">
        <v>6.2617697999999997</v>
      </c>
      <c r="AG82" s="8">
        <v>6.1170701999999997</v>
      </c>
      <c r="AH82" s="8">
        <v>6.2561998000000001</v>
      </c>
    </row>
    <row r="83" spans="3:34" ht="1" customHeight="1">
      <c r="C83" s="8">
        <v>2001</v>
      </c>
      <c r="D83" s="76">
        <v>5.4578600000000005E-2</v>
      </c>
      <c r="E83" s="76" t="e">
        <f>VLOOKUP($E$71,$J$72:$AH$88,13,FALSE)/100</f>
        <v>#N/A</v>
      </c>
      <c r="F83" s="76">
        <v>5.1125550270080602E-2</v>
      </c>
      <c r="G83" s="76">
        <v>4.2262834466666656E-2</v>
      </c>
      <c r="H83" s="76">
        <v>3.6990679374999995E-2</v>
      </c>
      <c r="J83" s="8" t="s">
        <v>52</v>
      </c>
      <c r="K83" s="8">
        <v>2.3120899000000001</v>
      </c>
      <c r="L83" s="8">
        <v>2.5373800000000002</v>
      </c>
      <c r="M83" s="8">
        <v>3.0012900999999998</v>
      </c>
      <c r="N83" s="8">
        <v>3.3259001000000001</v>
      </c>
      <c r="O83" s="8">
        <v>3.6505101</v>
      </c>
      <c r="P83" s="8">
        <v>3.8674300000000001</v>
      </c>
      <c r="Q83" s="8">
        <v>3.7547766</v>
      </c>
      <c r="R83" s="8">
        <v>3.6421233000000002</v>
      </c>
      <c r="S83" s="8">
        <v>3.5294699999999999</v>
      </c>
      <c r="T83" s="8">
        <v>3.6621001</v>
      </c>
      <c r="U83" s="8">
        <v>4.1341099999999997</v>
      </c>
      <c r="V83" s="8">
        <v>4.4283199</v>
      </c>
      <c r="W83" s="8">
        <v>4.6384702000000004</v>
      </c>
      <c r="X83" s="8">
        <v>5.1867399000000001</v>
      </c>
      <c r="Y83" s="8">
        <v>4.8001800000000001</v>
      </c>
      <c r="Z83" s="8">
        <v>4.9079499000000002</v>
      </c>
      <c r="AA83" s="8">
        <v>4.7413201000000003</v>
      </c>
      <c r="AB83" s="8">
        <v>4.7319798000000004</v>
      </c>
      <c r="AC83" s="8">
        <v>4.8582101</v>
      </c>
      <c r="AD83" s="8">
        <v>5.2174902000000003</v>
      </c>
      <c r="AE83" s="8">
        <v>5.1919699000000001</v>
      </c>
      <c r="AF83" s="8">
        <v>5.1462002</v>
      </c>
      <c r="AG83" s="8">
        <v>5.2226018999999999</v>
      </c>
      <c r="AH83" s="8">
        <v>5.3127912999999998</v>
      </c>
    </row>
    <row r="84" spans="3:34" ht="1" customHeight="1">
      <c r="C84" s="8">
        <v>2002</v>
      </c>
      <c r="D84" s="76">
        <v>5.4061998999999999E-2</v>
      </c>
      <c r="E84" s="76" t="e">
        <f>VLOOKUP($E$71,$J$72:$AH$88,14,FALSE)/100</f>
        <v>#N/A</v>
      </c>
      <c r="F84" s="76">
        <v>5.2558898925781306E-2</v>
      </c>
      <c r="G84" s="76">
        <v>4.1637126666666663E-2</v>
      </c>
      <c r="H84" s="76">
        <v>3.6974903187499998E-2</v>
      </c>
      <c r="J84" s="8" t="s">
        <v>53</v>
      </c>
      <c r="K84" s="8">
        <v>0.86321568000000004</v>
      </c>
      <c r="L84" s="8">
        <v>1.7670276</v>
      </c>
      <c r="M84" s="8">
        <v>2.9849701</v>
      </c>
      <c r="N84" s="8">
        <v>2.8584501000000002</v>
      </c>
      <c r="O84" s="8">
        <v>2.7319301</v>
      </c>
      <c r="P84" s="8">
        <v>2.6054100999999998</v>
      </c>
      <c r="Q84" s="8">
        <v>2.4788901000000001</v>
      </c>
      <c r="R84" s="8">
        <v>2.3523700999999999</v>
      </c>
      <c r="S84" s="8">
        <v>2.2258501000000002</v>
      </c>
      <c r="T84" s="8">
        <v>2.9236499999999999</v>
      </c>
      <c r="U84" s="8">
        <v>3.0015999999999998</v>
      </c>
      <c r="V84" s="8">
        <v>2.6963050000000002</v>
      </c>
      <c r="W84" s="8">
        <v>2.3910100000000001</v>
      </c>
      <c r="X84" s="8">
        <v>2.4220098999999999</v>
      </c>
      <c r="Y84" s="8">
        <v>2.7178814</v>
      </c>
      <c r="Z84" s="8">
        <v>3.0137529000000001</v>
      </c>
      <c r="AA84" s="8">
        <v>3.3096242999999999</v>
      </c>
      <c r="AB84" s="8">
        <v>3.6054957999999999</v>
      </c>
      <c r="AC84" s="8">
        <v>3.9013673</v>
      </c>
      <c r="AD84" s="8">
        <v>4.1972386999999998</v>
      </c>
      <c r="AE84" s="8">
        <v>4.4931102000000003</v>
      </c>
      <c r="AF84" s="8">
        <v>4.8850045</v>
      </c>
      <c r="AG84" s="8">
        <v>4.6189327000000002</v>
      </c>
      <c r="AH84" s="8">
        <v>4.5327238999999997</v>
      </c>
    </row>
    <row r="85" spans="3:34" ht="1" customHeight="1">
      <c r="C85" s="8">
        <v>2003</v>
      </c>
      <c r="D85" s="76">
        <v>5.5655098E-2</v>
      </c>
      <c r="E85" s="76" t="e">
        <f>VLOOKUP($E$71,$J$72:$AH$88,15,FALSE)/100</f>
        <v>#N/A</v>
      </c>
      <c r="F85" s="76">
        <v>5.2864499092102051E-2</v>
      </c>
      <c r="G85" s="76">
        <v>4.2758398999999996E-2</v>
      </c>
      <c r="H85" s="76">
        <v>3.6350525812499999E-2</v>
      </c>
      <c r="J85" s="8" t="s">
        <v>55</v>
      </c>
      <c r="K85" s="8">
        <v>1.0620700000000001</v>
      </c>
      <c r="L85" s="8">
        <v>1.4678225</v>
      </c>
      <c r="M85" s="8">
        <v>1.8735751</v>
      </c>
      <c r="N85" s="8">
        <v>2.2793275999999998</v>
      </c>
      <c r="O85" s="8">
        <v>2.6850801</v>
      </c>
      <c r="P85" s="8">
        <v>3.0908326000000002</v>
      </c>
      <c r="Q85" s="8">
        <v>3.4965852000000002</v>
      </c>
      <c r="R85" s="8">
        <v>3.9023376999999999</v>
      </c>
      <c r="S85" s="8">
        <v>4.3080901999999996</v>
      </c>
      <c r="T85" s="8">
        <v>4.4549699</v>
      </c>
      <c r="U85" s="8">
        <v>4.5707101999999997</v>
      </c>
      <c r="V85" s="8">
        <v>4.2504201000000004</v>
      </c>
      <c r="W85" s="8">
        <v>3.8770399000000002</v>
      </c>
      <c r="X85" s="8">
        <v>3.9492500000000001</v>
      </c>
      <c r="Y85" s="8">
        <v>3.4380901000000001</v>
      </c>
      <c r="Z85" s="8">
        <v>3.4740734</v>
      </c>
      <c r="AA85" s="8">
        <v>3.5100566999999998</v>
      </c>
      <c r="AB85" s="8">
        <v>3.5460400999999999</v>
      </c>
      <c r="AC85" s="8">
        <v>3.6199132999999999</v>
      </c>
      <c r="AD85" s="8">
        <v>3.6937866000000001</v>
      </c>
      <c r="AE85" s="8">
        <v>3.7676599</v>
      </c>
      <c r="AF85" s="8">
        <v>4.9664301999999996</v>
      </c>
      <c r="AG85" s="8">
        <v>4.9630399000000001</v>
      </c>
      <c r="AH85" s="8">
        <v>5.1944375000000003</v>
      </c>
    </row>
    <row r="86" spans="3:34" ht="1" customHeight="1">
      <c r="C86" s="8">
        <v>2004</v>
      </c>
      <c r="D86" s="76">
        <v>5.3092299000000003E-2</v>
      </c>
      <c r="E86" s="76" t="e">
        <f>VLOOKUP($E$71,$J$72:$AH$88,16,FALSE)/100</f>
        <v>#N/A</v>
      </c>
      <c r="F86" s="76">
        <v>5.0784652233123798E-2</v>
      </c>
      <c r="G86" s="76">
        <v>3.9712544799999992E-2</v>
      </c>
      <c r="H86" s="76">
        <v>3.5577097875000005E-2</v>
      </c>
      <c r="J86" s="8" t="s">
        <v>58</v>
      </c>
      <c r="K86" s="8">
        <v>2.2793961</v>
      </c>
      <c r="L86" s="8">
        <v>2.4790800000000002</v>
      </c>
      <c r="M86" s="8">
        <v>2.41153</v>
      </c>
      <c r="N86" s="8">
        <v>2.3416250000000001</v>
      </c>
      <c r="O86" s="8">
        <v>2.2717198999999999</v>
      </c>
      <c r="P86" s="8">
        <v>2.5213999999999999</v>
      </c>
      <c r="Q86" s="8">
        <v>2.8698698999999999</v>
      </c>
      <c r="R86" s="8">
        <v>2.5566200000000001</v>
      </c>
      <c r="S86" s="8">
        <v>2.2433700999999999</v>
      </c>
      <c r="T86" s="8">
        <v>2.3329599999999999</v>
      </c>
      <c r="U86" s="8">
        <v>2.4225500000000002</v>
      </c>
      <c r="V86" s="8">
        <v>2.8009601000000002</v>
      </c>
      <c r="W86" s="8">
        <v>2.3222000999999999</v>
      </c>
      <c r="X86" s="8">
        <v>2.0682098999999998</v>
      </c>
      <c r="Y86" s="8">
        <v>2.4995400999999999</v>
      </c>
      <c r="Z86" s="8">
        <v>2.7147500999999998</v>
      </c>
      <c r="AA86" s="8">
        <v>2.8802599999999998</v>
      </c>
      <c r="AB86" s="8">
        <v>3.175262</v>
      </c>
      <c r="AC86" s="8">
        <v>3.4702639999999998</v>
      </c>
      <c r="AD86" s="8">
        <v>3.7652659000000002</v>
      </c>
      <c r="AE86" s="8">
        <v>4.0602679000000004</v>
      </c>
      <c r="AF86" s="8">
        <v>4.3552698999999997</v>
      </c>
      <c r="AG86" s="8">
        <v>4.4098926000000001</v>
      </c>
      <c r="AH86" s="8">
        <v>4.5286306999999999</v>
      </c>
    </row>
    <row r="87" spans="3:34" ht="1" customHeight="1">
      <c r="C87" s="8">
        <v>2005</v>
      </c>
      <c r="D87" s="76">
        <v>5.0736499000000004E-2</v>
      </c>
      <c r="E87" s="76" t="e">
        <f>VLOOKUP($E$71,$J$72:$AH$88,17,FALSE)/100</f>
        <v>#N/A</v>
      </c>
      <c r="F87" s="76">
        <v>5.1162250041961704E-2</v>
      </c>
      <c r="G87" s="76">
        <v>4.0417006599999993E-2</v>
      </c>
      <c r="H87" s="76">
        <v>3.6873585E-2</v>
      </c>
      <c r="J87" s="8" t="s">
        <v>59</v>
      </c>
      <c r="K87" s="8">
        <v>2.52841</v>
      </c>
      <c r="L87" s="8">
        <v>3.4915148999999999</v>
      </c>
      <c r="M87" s="8">
        <v>4.4546199</v>
      </c>
      <c r="N87" s="8">
        <v>3.9453198999999999</v>
      </c>
      <c r="O87" s="8">
        <v>5.1731901000000002</v>
      </c>
      <c r="P87" s="8">
        <v>5.0478459000000004</v>
      </c>
      <c r="Q87" s="8">
        <v>4.9225018</v>
      </c>
      <c r="R87" s="8">
        <v>4.7971576000000002</v>
      </c>
      <c r="S87" s="8">
        <v>4.6718133999999996</v>
      </c>
      <c r="T87" s="8">
        <v>4.5464691999999998</v>
      </c>
      <c r="U87" s="8">
        <v>4.4211251000000003</v>
      </c>
      <c r="V87" s="8">
        <v>4.2957808999999996</v>
      </c>
      <c r="W87" s="8">
        <v>4.1704366999999998</v>
      </c>
      <c r="X87" s="8">
        <v>4.0450925</v>
      </c>
      <c r="Y87" s="8">
        <v>3.9197483000000002</v>
      </c>
      <c r="Z87" s="8">
        <v>3.7944041999999998</v>
      </c>
      <c r="AA87" s="8">
        <v>3.66906</v>
      </c>
      <c r="AB87" s="8">
        <v>3.6273200999999999</v>
      </c>
      <c r="AC87" s="8">
        <v>5.2510000000000003</v>
      </c>
      <c r="AD87" s="8">
        <v>6.8746799999999997</v>
      </c>
      <c r="AE87" s="8">
        <v>6.8989501000000004</v>
      </c>
      <c r="AF87" s="8">
        <v>7.0982346999999999</v>
      </c>
      <c r="AG87" s="8">
        <v>7.2616567999999999</v>
      </c>
      <c r="AH87" s="8">
        <v>7.4505458000000004</v>
      </c>
    </row>
    <row r="88" spans="3:34" ht="1" customHeight="1">
      <c r="C88" s="8">
        <v>2006</v>
      </c>
      <c r="D88" s="76">
        <v>5.3888102E-2</v>
      </c>
      <c r="E88" s="76" t="e">
        <f>VLOOKUP($E$71,$J$72:$AH$88,18,FALSE)/100</f>
        <v>#N/A</v>
      </c>
      <c r="F88" s="76">
        <v>5.0360000133514403E-2</v>
      </c>
      <c r="G88" s="76">
        <v>4.0143956066666667E-2</v>
      </c>
      <c r="H88" s="76">
        <v>3.78277993125E-2</v>
      </c>
      <c r="J88" s="8" t="s">
        <v>20</v>
      </c>
      <c r="K88" s="8">
        <f t="shared" ref="K88:AH88" si="0">AVERAGE(K72:K87)</f>
        <v>2.1373465512499998</v>
      </c>
      <c r="L88" s="8">
        <f t="shared" si="0"/>
        <v>2.3674832581249996</v>
      </c>
      <c r="M88" s="8">
        <f t="shared" si="0"/>
        <v>2.5660093999999996</v>
      </c>
      <c r="N88" s="8">
        <f t="shared" si="0"/>
        <v>2.664506586875</v>
      </c>
      <c r="O88" s="8">
        <f t="shared" si="0"/>
        <v>2.9143892068750001</v>
      </c>
      <c r="P88" s="8">
        <f t="shared" si="0"/>
        <v>3.1197889124999998</v>
      </c>
      <c r="Q88" s="8">
        <f t="shared" si="0"/>
        <v>3.2294131937499997</v>
      </c>
      <c r="R88" s="8">
        <f t="shared" si="0"/>
        <v>3.3843530687499999</v>
      </c>
      <c r="S88" s="8">
        <f t="shared" si="0"/>
        <v>3.5050071125</v>
      </c>
      <c r="T88" s="8">
        <f t="shared" si="0"/>
        <v>3.6020199812499993</v>
      </c>
      <c r="U88" s="8">
        <f t="shared" si="0"/>
        <v>3.5569155875000003</v>
      </c>
      <c r="V88" s="8">
        <f t="shared" si="0"/>
        <v>3.6990679374999997</v>
      </c>
      <c r="W88" s="8">
        <f t="shared" si="0"/>
        <v>3.6974903187499999</v>
      </c>
      <c r="X88" s="8">
        <f t="shared" si="0"/>
        <v>3.6350525812500001</v>
      </c>
      <c r="Y88" s="8">
        <f t="shared" si="0"/>
        <v>3.5577097875000003</v>
      </c>
      <c r="Z88" s="8">
        <f t="shared" si="0"/>
        <v>3.6873585000000002</v>
      </c>
      <c r="AA88" s="8">
        <f t="shared" si="0"/>
        <v>3.7827799312499999</v>
      </c>
      <c r="AB88" s="8">
        <f t="shared" si="0"/>
        <v>3.9611350750000001</v>
      </c>
      <c r="AC88" s="8">
        <f t="shared" si="0"/>
        <v>4.3994884562499994</v>
      </c>
      <c r="AD88" s="8">
        <f t="shared" si="0"/>
        <v>4.8400566000000005</v>
      </c>
      <c r="AE88" s="8">
        <f t="shared" si="0"/>
        <v>4.8352128187499996</v>
      </c>
      <c r="AF88" s="8">
        <f t="shared" si="0"/>
        <v>4.9182319312500011</v>
      </c>
      <c r="AG88" s="8">
        <f t="shared" si="0"/>
        <v>4.9968971312500008</v>
      </c>
      <c r="AH88" s="8">
        <f t="shared" si="0"/>
        <v>5.1406690312499999</v>
      </c>
    </row>
    <row r="89" spans="3:34" ht="1" customHeight="1">
      <c r="C89" s="8">
        <v>2007</v>
      </c>
      <c r="D89" s="76">
        <v>5.2464899999999995E-2</v>
      </c>
      <c r="E89" s="76" t="e">
        <f>VLOOKUP($E$71,$J$72:$AH$88,19,FALSE)/100</f>
        <v>#N/A</v>
      </c>
      <c r="F89" s="76">
        <v>4.8717699050903306E-2</v>
      </c>
      <c r="G89" s="76">
        <v>3.9952609E-2</v>
      </c>
      <c r="H89" s="76">
        <v>3.9611350750000003E-2</v>
      </c>
    </row>
    <row r="90" spans="3:34" ht="1" customHeight="1">
      <c r="C90" s="8">
        <v>2008</v>
      </c>
      <c r="D90" s="76">
        <v>5.3035401999999995E-2</v>
      </c>
      <c r="E90" s="76" t="e">
        <f>VLOOKUP($E$71,$J$72:$AH$88,20,FALSE)/100</f>
        <v>#N/A</v>
      </c>
      <c r="F90" s="76">
        <v>5.0922698974609402E-2</v>
      </c>
      <c r="G90" s="76">
        <v>4.0243624000000006E-2</v>
      </c>
      <c r="H90" s="76">
        <v>4.3994884562499996E-2</v>
      </c>
    </row>
    <row r="91" spans="3:34" ht="1" customHeight="1">
      <c r="C91" s="8">
        <v>2009</v>
      </c>
      <c r="D91" s="76">
        <v>5.2495798999999996E-2</v>
      </c>
      <c r="E91" s="76" t="e">
        <f>VLOOKUP($E$71,$J$72:$AH$88,21,FALSE)/100</f>
        <v>#N/A</v>
      </c>
      <c r="F91" s="76">
        <v>5.3939299583435046E-2</v>
      </c>
      <c r="G91" s="76">
        <v>4.3226027933333327E-2</v>
      </c>
      <c r="H91" s="76">
        <v>4.8400566000000006E-2</v>
      </c>
    </row>
    <row r="92" spans="3:34" ht="1" customHeight="1">
      <c r="C92" s="8">
        <v>2010</v>
      </c>
      <c r="D92" s="76">
        <v>5.4200101000000001E-2</v>
      </c>
      <c r="E92" s="76" t="e">
        <f>VLOOKUP($E$71,$J$72:$AH$88,22,FALSE)/100</f>
        <v>#N/A</v>
      </c>
      <c r="F92" s="76">
        <v>5.4731500148773204E-2</v>
      </c>
      <c r="G92" s="76">
        <v>3.9996344466666667E-2</v>
      </c>
      <c r="H92" s="76">
        <v>4.8352128187499996E-2</v>
      </c>
    </row>
    <row r="93" spans="3:34" ht="1" customHeight="1">
      <c r="C93" s="8">
        <v>2011</v>
      </c>
      <c r="D93" s="76">
        <v>5.2238998000000002E-2</v>
      </c>
      <c r="E93" s="76" t="e">
        <f>VLOOKUP($E$71,$J$72:$AH$88,23,FALSE)/100</f>
        <v>#N/A</v>
      </c>
      <c r="F93" s="76">
        <v>5.1890699863433844E-2</v>
      </c>
      <c r="G93" s="76">
        <v>4.1024104266666667E-2</v>
      </c>
      <c r="H93" s="76">
        <v>4.9182319312500014E-2</v>
      </c>
    </row>
    <row r="94" spans="3:34" ht="1" customHeight="1">
      <c r="C94" s="8">
        <v>2012</v>
      </c>
      <c r="D94" s="76">
        <v>5.2192325999999997E-2</v>
      </c>
      <c r="E94" s="76" t="e">
        <f>VLOOKUP($E$71,$J$72:$AH$88,24,FALSE)/100</f>
        <v>#N/A</v>
      </c>
      <c r="F94" s="76">
        <v>4.9394001960754406E-2</v>
      </c>
      <c r="G94" s="76">
        <v>4.0740496133333338E-2</v>
      </c>
      <c r="H94" s="76">
        <v>4.9968971312499999E-2</v>
      </c>
    </row>
    <row r="95" spans="3:34" ht="1" customHeight="1">
      <c r="C95" s="8">
        <v>2013</v>
      </c>
      <c r="D95" s="76">
        <v>5.2145653E-2</v>
      </c>
      <c r="E95" s="76" t="e">
        <f>VLOOKUP($E$71,$J$72:$AH$88,25,FALSE)/100</f>
        <v>#N/A</v>
      </c>
      <c r="F95" s="76">
        <v>4.9349831362695336E-2</v>
      </c>
      <c r="G95" s="76">
        <v>4.0187750533333337E-2</v>
      </c>
      <c r="H95" s="76">
        <v>5.1406690312500003E-2</v>
      </c>
    </row>
    <row r="96" spans="3:34" ht="1" customHeight="1"/>
    <row r="97" spans="3:19" ht="1" customHeight="1"/>
    <row r="98" spans="3:19" ht="1" customHeight="1"/>
    <row r="99" spans="3:19" ht="1" customHeight="1"/>
    <row r="100" spans="3:19" ht="1" customHeight="1">
      <c r="C100" s="8" t="s">
        <v>17</v>
      </c>
      <c r="D100" s="8" t="s">
        <v>207</v>
      </c>
      <c r="E100" s="8" t="s">
        <v>208</v>
      </c>
      <c r="F100" s="8" t="s">
        <v>209</v>
      </c>
      <c r="G100" s="8" t="s">
        <v>210</v>
      </c>
      <c r="H100" s="8" t="s">
        <v>211</v>
      </c>
      <c r="I100" s="8" t="s">
        <v>212</v>
      </c>
      <c r="J100" s="8" t="s">
        <v>213</v>
      </c>
      <c r="K100" s="8" t="s">
        <v>214</v>
      </c>
      <c r="L100" s="8" t="s">
        <v>215</v>
      </c>
      <c r="M100" s="8" t="s">
        <v>216</v>
      </c>
      <c r="N100" s="8" t="s">
        <v>217</v>
      </c>
      <c r="O100" s="8" t="s">
        <v>218</v>
      </c>
      <c r="P100" s="8" t="s">
        <v>219</v>
      </c>
      <c r="Q100" s="8" t="s">
        <v>220</v>
      </c>
      <c r="R100" s="8" t="s">
        <v>221</v>
      </c>
      <c r="S100" s="8" t="s">
        <v>21</v>
      </c>
    </row>
    <row r="101" spans="3:19" ht="1" customHeight="1">
      <c r="C101" s="8">
        <v>1990</v>
      </c>
      <c r="D101" s="8">
        <v>3.3985004000000001</v>
      </c>
      <c r="E101" s="8">
        <v>2.7538838000000001</v>
      </c>
      <c r="F101" s="8">
        <v>4.4540601000000004</v>
      </c>
      <c r="G101" s="8">
        <v>5.4289712999999997</v>
      </c>
      <c r="H101" s="8">
        <v>1.1037827</v>
      </c>
      <c r="I101" s="8">
        <v>3.1655259</v>
      </c>
      <c r="J101" s="8">
        <v>5.0319529000000003</v>
      </c>
      <c r="K101" s="8">
        <v>5.4897131999999997</v>
      </c>
      <c r="L101" s="8">
        <v>4.7201599999999999</v>
      </c>
      <c r="M101" s="8">
        <v>3.2066321000000002</v>
      </c>
      <c r="N101" s="8">
        <v>4.3682704000000001</v>
      </c>
      <c r="O101" s="8">
        <v>4.2064652000000002</v>
      </c>
      <c r="P101" s="8">
        <v>3.5772819999999999</v>
      </c>
      <c r="Q101" s="8">
        <v>5.7908602</v>
      </c>
      <c r="R101" s="8">
        <v>3.1226668000000002</v>
      </c>
      <c r="S101" s="8">
        <f>AVERAGE(D101:R101)</f>
        <v>3.9879151333333325</v>
      </c>
    </row>
    <row r="102" spans="3:19" ht="1" customHeight="1">
      <c r="C102" s="8">
        <v>1991</v>
      </c>
      <c r="D102" s="8">
        <v>3.2996439999999998</v>
      </c>
      <c r="E102" s="8">
        <v>3.2609528999999999</v>
      </c>
      <c r="F102" s="8">
        <v>5.4296198000000002</v>
      </c>
      <c r="G102" s="8">
        <v>5.9124298</v>
      </c>
      <c r="H102" s="8">
        <v>1.0571508000000001</v>
      </c>
      <c r="I102" s="8">
        <v>2.9309642</v>
      </c>
      <c r="J102" s="8">
        <v>4.9598168999999999</v>
      </c>
      <c r="K102" s="8">
        <v>5.1421112999999998</v>
      </c>
      <c r="L102" s="8">
        <v>4.4795198000000003</v>
      </c>
      <c r="M102" s="8">
        <v>3.0100980000000002</v>
      </c>
      <c r="N102" s="8">
        <v>3.9675400000000001</v>
      </c>
      <c r="O102" s="8">
        <v>4.6644049000000001</v>
      </c>
      <c r="P102" s="8">
        <v>3.0885999000000002</v>
      </c>
      <c r="Q102" s="8">
        <v>6.0274701000000004</v>
      </c>
      <c r="R102" s="8">
        <v>3.3467362</v>
      </c>
      <c r="S102" s="8">
        <f t="shared" ref="S102:S124" si="1">AVERAGE(D102:R102)</f>
        <v>4.0384705733333339</v>
      </c>
    </row>
    <row r="103" spans="3:19" ht="1" customHeight="1">
      <c r="C103" s="8">
        <v>1992</v>
      </c>
      <c r="D103" s="8">
        <v>3.2584827000000001</v>
      </c>
      <c r="E103" s="8">
        <v>3.1730282000000001</v>
      </c>
      <c r="F103" s="8">
        <v>5.2604598999999999</v>
      </c>
      <c r="G103" s="8">
        <v>6.1137300000000003</v>
      </c>
      <c r="H103" s="8">
        <v>1.0530295000000001</v>
      </c>
      <c r="I103" s="8">
        <v>2.8332986999999998</v>
      </c>
      <c r="J103" s="8">
        <v>4.9297814000000004</v>
      </c>
      <c r="K103" s="8">
        <v>5.1113901000000004</v>
      </c>
      <c r="L103" s="8">
        <v>4.7737949000000004</v>
      </c>
      <c r="M103" s="8">
        <v>2.9927282000000002</v>
      </c>
      <c r="N103" s="8">
        <v>4.2698201999999998</v>
      </c>
      <c r="O103" s="8">
        <v>4.5849991000000001</v>
      </c>
      <c r="P103" s="8">
        <v>3.0454099000000001</v>
      </c>
      <c r="Q103" s="8">
        <v>5.7548899999999996</v>
      </c>
      <c r="R103" s="8">
        <v>3.4400331999999998</v>
      </c>
      <c r="S103" s="8">
        <f t="shared" si="1"/>
        <v>4.0396583999999995</v>
      </c>
    </row>
    <row r="104" spans="3:19" ht="1" customHeight="1">
      <c r="C104" s="8">
        <v>1993</v>
      </c>
      <c r="D104" s="8">
        <v>3.2913787000000001</v>
      </c>
      <c r="E104" s="8">
        <v>3.0119145000000001</v>
      </c>
      <c r="F104" s="8">
        <v>4.9504900000000003</v>
      </c>
      <c r="G104" s="8">
        <v>5.9528499000000004</v>
      </c>
      <c r="H104" s="8">
        <v>0.99175787000000004</v>
      </c>
      <c r="I104" s="8">
        <v>2.9113530999999999</v>
      </c>
      <c r="J104" s="8">
        <v>4.9537854000000001</v>
      </c>
      <c r="K104" s="8">
        <v>4.6546602000000004</v>
      </c>
      <c r="L104" s="8">
        <v>5.0680699000000002</v>
      </c>
      <c r="M104" s="8">
        <v>3.0763557000000001</v>
      </c>
      <c r="N104" s="8">
        <v>4.2645502000000004</v>
      </c>
      <c r="O104" s="8">
        <v>4.4394951000000002</v>
      </c>
      <c r="P104" s="8">
        <v>3.2533498999999999</v>
      </c>
      <c r="Q104" s="8">
        <v>5.9837699000000004</v>
      </c>
      <c r="R104" s="8">
        <v>3.3654698999999999</v>
      </c>
      <c r="S104" s="8">
        <f t="shared" si="1"/>
        <v>4.0112833513333337</v>
      </c>
    </row>
    <row r="105" spans="3:19" ht="1" customHeight="1">
      <c r="C105" s="8">
        <v>1994</v>
      </c>
      <c r="D105" s="8">
        <v>3.2651899000000002</v>
      </c>
      <c r="E105" s="8">
        <v>2.6065805000000002</v>
      </c>
      <c r="F105" s="8">
        <v>4.1706599999999998</v>
      </c>
      <c r="G105" s="8">
        <v>5.8676700999999998</v>
      </c>
      <c r="H105" s="8">
        <v>0.99855000000000005</v>
      </c>
      <c r="I105" s="8">
        <v>2.8492134</v>
      </c>
      <c r="J105" s="8">
        <v>4.9346756999999997</v>
      </c>
      <c r="K105" s="8">
        <v>4.7052898000000001</v>
      </c>
      <c r="L105" s="8">
        <v>5.0189899999999996</v>
      </c>
      <c r="M105" s="8">
        <v>3.1599834000000002</v>
      </c>
      <c r="N105" s="8">
        <v>4.3421551999999997</v>
      </c>
      <c r="O105" s="8">
        <v>4.0734339000000004</v>
      </c>
      <c r="P105" s="8">
        <v>3.4612899000000001</v>
      </c>
      <c r="Q105" s="8">
        <v>6.1764697999999996</v>
      </c>
      <c r="R105" s="8">
        <v>3.42483</v>
      </c>
      <c r="S105" s="8">
        <f t="shared" si="1"/>
        <v>3.9369987733333334</v>
      </c>
    </row>
    <row r="106" spans="3:19" ht="1" customHeight="1">
      <c r="C106" s="8">
        <v>1995</v>
      </c>
      <c r="D106" s="8">
        <v>3.7647099000000002</v>
      </c>
      <c r="E106" s="8">
        <v>2.2304471000000001</v>
      </c>
      <c r="F106" s="8">
        <v>3.4470100000000001</v>
      </c>
      <c r="G106" s="8">
        <v>4.8747300999999998</v>
      </c>
      <c r="H106" s="8">
        <v>1.0043499</v>
      </c>
      <c r="I106" s="8">
        <v>4.0344500999999999</v>
      </c>
      <c r="J106" s="8">
        <v>5.2991761999999998</v>
      </c>
      <c r="K106" s="8">
        <v>4.3425697999999997</v>
      </c>
      <c r="L106" s="8">
        <v>4.9699100999999999</v>
      </c>
      <c r="M106" s="8">
        <v>3.0422598999999999</v>
      </c>
      <c r="N106" s="8">
        <v>4.4197601999999998</v>
      </c>
      <c r="O106" s="8">
        <v>3.7337438999999999</v>
      </c>
      <c r="P106" s="8">
        <v>3.1685699999999999</v>
      </c>
      <c r="Q106" s="8">
        <v>6.4297599999999999</v>
      </c>
      <c r="R106" s="8">
        <v>2.2511101</v>
      </c>
      <c r="S106" s="8">
        <f t="shared" si="1"/>
        <v>3.8008371533333332</v>
      </c>
    </row>
    <row r="107" spans="3:19" ht="1" customHeight="1">
      <c r="C107" s="8">
        <v>1996</v>
      </c>
      <c r="D107" s="8">
        <v>3.2742800999999999</v>
      </c>
      <c r="E107" s="8">
        <v>1.84843</v>
      </c>
      <c r="F107" s="8">
        <v>2.7120399000000002</v>
      </c>
      <c r="G107" s="8">
        <v>4.3543400999999999</v>
      </c>
      <c r="H107" s="8">
        <v>1.0785499999999999</v>
      </c>
      <c r="I107" s="8">
        <v>3.9237101000000001</v>
      </c>
      <c r="J107" s="8">
        <v>5.2651199999999996</v>
      </c>
      <c r="K107" s="8">
        <v>4.9138498000000004</v>
      </c>
      <c r="L107" s="8">
        <v>5.0944799999999999</v>
      </c>
      <c r="M107" s="8">
        <v>3.36287</v>
      </c>
      <c r="N107" s="8">
        <v>6.3814301000000002</v>
      </c>
      <c r="O107" s="8">
        <v>3.3887401000000001</v>
      </c>
      <c r="P107" s="8">
        <v>3.5205299999999999</v>
      </c>
      <c r="Q107" s="8">
        <v>6.2878097999999998</v>
      </c>
      <c r="R107" s="8">
        <v>2.4277126</v>
      </c>
      <c r="S107" s="8">
        <f t="shared" si="1"/>
        <v>3.8555928399999999</v>
      </c>
    </row>
    <row r="108" spans="3:19" ht="1" customHeight="1">
      <c r="C108" s="8">
        <v>1997</v>
      </c>
      <c r="D108" s="8">
        <v>3.4753200999999998</v>
      </c>
      <c r="E108" s="8">
        <v>1.9773467</v>
      </c>
      <c r="F108" s="8">
        <v>2.7631549999999998</v>
      </c>
      <c r="G108" s="8">
        <v>4.3856400999999998</v>
      </c>
      <c r="H108" s="8">
        <v>1.0720799999999999</v>
      </c>
      <c r="I108" s="8">
        <v>4.3734298000000003</v>
      </c>
      <c r="J108" s="8">
        <v>5.5171599000000002</v>
      </c>
      <c r="K108" s="8">
        <v>4.6203798999999997</v>
      </c>
      <c r="L108" s="8">
        <v>5.2190498999999999</v>
      </c>
      <c r="M108" s="8">
        <v>3.5631298999999999</v>
      </c>
      <c r="N108" s="8">
        <v>5.6809402000000002</v>
      </c>
      <c r="O108" s="8">
        <v>3.2551625</v>
      </c>
      <c r="P108" s="8">
        <v>4.5556302000000004</v>
      </c>
      <c r="Q108" s="8">
        <v>6.6790298999999997</v>
      </c>
      <c r="R108" s="8">
        <v>2.6043150000000002</v>
      </c>
      <c r="S108" s="8">
        <f t="shared" si="1"/>
        <v>3.9827846066666668</v>
      </c>
    </row>
    <row r="109" spans="3:19" ht="1" customHeight="1">
      <c r="C109" s="8">
        <v>1998</v>
      </c>
      <c r="D109" s="8">
        <v>3.3264201</v>
      </c>
      <c r="E109" s="8">
        <v>2.1062633000000002</v>
      </c>
      <c r="F109" s="8">
        <v>2.81427</v>
      </c>
      <c r="G109" s="8">
        <v>4.4169402</v>
      </c>
      <c r="H109" s="8">
        <v>1.4190674999999999</v>
      </c>
      <c r="I109" s="8">
        <v>4.1329948999999999</v>
      </c>
      <c r="J109" s="8">
        <v>5.8028202000000002</v>
      </c>
      <c r="K109" s="8">
        <v>5.1535649000000001</v>
      </c>
      <c r="L109" s="8">
        <v>5.3436197999999999</v>
      </c>
      <c r="M109" s="8">
        <v>3.8144901</v>
      </c>
      <c r="N109" s="8">
        <v>4.9804501999999999</v>
      </c>
      <c r="O109" s="8">
        <v>3.1215850000000001</v>
      </c>
      <c r="P109" s="8">
        <v>4.6256899999999996</v>
      </c>
      <c r="Q109" s="8">
        <v>6.4750098999999999</v>
      </c>
      <c r="R109" s="8">
        <v>2.7809175000000002</v>
      </c>
      <c r="S109" s="8">
        <f t="shared" si="1"/>
        <v>4.0209402400000007</v>
      </c>
    </row>
    <row r="110" spans="3:19" ht="1" customHeight="1">
      <c r="C110" s="8">
        <v>1999</v>
      </c>
      <c r="D110" s="8">
        <v>3.3797199999999998</v>
      </c>
      <c r="E110" s="8">
        <v>2.2351798999999999</v>
      </c>
      <c r="F110" s="8">
        <v>3.0080966999999998</v>
      </c>
      <c r="G110" s="8">
        <v>4.5707997999999996</v>
      </c>
      <c r="H110" s="8">
        <v>1.7660549999999999</v>
      </c>
      <c r="I110" s="8">
        <v>3.89256</v>
      </c>
      <c r="J110" s="8">
        <v>5.5420598999999999</v>
      </c>
      <c r="K110" s="8">
        <v>5.6867498999999997</v>
      </c>
      <c r="L110" s="8">
        <v>5.3856802000000004</v>
      </c>
      <c r="M110" s="8">
        <v>3.5410750000000002</v>
      </c>
      <c r="N110" s="8">
        <v>4.6410999000000004</v>
      </c>
      <c r="O110" s="8">
        <v>2.9880075000000001</v>
      </c>
      <c r="P110" s="8">
        <v>4.8326802000000004</v>
      </c>
      <c r="Q110" s="8">
        <v>6.2709899</v>
      </c>
      <c r="R110" s="8">
        <v>2.9575200000000001</v>
      </c>
      <c r="S110" s="8">
        <f t="shared" si="1"/>
        <v>4.0465515933333336</v>
      </c>
    </row>
    <row r="111" spans="3:19" ht="1" customHeight="1">
      <c r="C111" s="8">
        <v>2000</v>
      </c>
      <c r="D111" s="8">
        <v>3.2869201000000001</v>
      </c>
      <c r="E111" s="8">
        <v>2.7727200999999999</v>
      </c>
      <c r="F111" s="8">
        <v>3.2019234000000001</v>
      </c>
      <c r="G111" s="8">
        <v>4.8733902000000002</v>
      </c>
      <c r="H111" s="8">
        <v>2.1130426</v>
      </c>
      <c r="I111" s="8">
        <v>3.2566299000000001</v>
      </c>
      <c r="J111" s="8">
        <v>5.2902798999999998</v>
      </c>
      <c r="K111" s="8">
        <v>5.9716101000000004</v>
      </c>
      <c r="L111" s="8">
        <v>5.3808435000000001</v>
      </c>
      <c r="M111" s="8">
        <v>3.2676599</v>
      </c>
      <c r="N111" s="8">
        <v>4.9936198999999997</v>
      </c>
      <c r="O111" s="8">
        <v>2.8544299999999998</v>
      </c>
      <c r="P111" s="8">
        <v>5.2534599000000002</v>
      </c>
      <c r="Q111" s="8">
        <v>6.2019801000000001</v>
      </c>
      <c r="R111" s="8">
        <v>2.5899200000000002</v>
      </c>
      <c r="S111" s="8">
        <f t="shared" si="1"/>
        <v>4.0872286400000002</v>
      </c>
    </row>
    <row r="112" spans="3:19" ht="1" customHeight="1">
      <c r="C112" s="8">
        <v>2001</v>
      </c>
      <c r="D112" s="8">
        <v>3.3405999999999998</v>
      </c>
      <c r="E112" s="8">
        <v>2.4694400000000001</v>
      </c>
      <c r="F112" s="8">
        <v>3.39575</v>
      </c>
      <c r="G112" s="8">
        <v>4.9396100000000001</v>
      </c>
      <c r="H112" s="8">
        <v>2.4600301</v>
      </c>
      <c r="I112" s="8">
        <v>3.1431650000000002</v>
      </c>
      <c r="J112" s="8">
        <v>5.4568099999999999</v>
      </c>
      <c r="K112" s="8">
        <v>7.4844698999999997</v>
      </c>
      <c r="L112" s="8">
        <v>5.3760069000000001</v>
      </c>
      <c r="M112" s="8">
        <v>3.0266199</v>
      </c>
      <c r="N112" s="8">
        <v>5.3297501</v>
      </c>
      <c r="O112" s="8">
        <v>3.2404598999999998</v>
      </c>
      <c r="P112" s="8">
        <v>4.8178600999999999</v>
      </c>
      <c r="Q112" s="8">
        <v>6.2018298999999999</v>
      </c>
      <c r="R112" s="8">
        <v>2.7118498999999998</v>
      </c>
      <c r="S112" s="8">
        <f t="shared" si="1"/>
        <v>4.2262834466666659</v>
      </c>
    </row>
    <row r="113" spans="3:19" ht="1" customHeight="1">
      <c r="C113" s="8">
        <v>2002</v>
      </c>
      <c r="D113" s="8">
        <v>3.0566298999999999</v>
      </c>
      <c r="E113" s="8">
        <v>2.13504</v>
      </c>
      <c r="F113" s="8">
        <v>3.3948801</v>
      </c>
      <c r="G113" s="8">
        <v>5.1863197999999997</v>
      </c>
      <c r="H113" s="8">
        <v>2.6456900000000001</v>
      </c>
      <c r="I113" s="8">
        <v>3.0297000000000001</v>
      </c>
      <c r="J113" s="8">
        <v>5.6138000000000003</v>
      </c>
      <c r="K113" s="8">
        <v>7.6579499000000002</v>
      </c>
      <c r="L113" s="8">
        <v>5.3711701999999999</v>
      </c>
      <c r="M113" s="8">
        <v>2.9970800999999998</v>
      </c>
      <c r="N113" s="8">
        <v>5.3979701999999996</v>
      </c>
      <c r="O113" s="8">
        <v>3.4958998999999999</v>
      </c>
      <c r="P113" s="8">
        <v>3.8649198999999999</v>
      </c>
      <c r="Q113" s="8">
        <v>5.7900299999999998</v>
      </c>
      <c r="R113" s="8">
        <v>2.8186100000000001</v>
      </c>
      <c r="S113" s="8">
        <f t="shared" si="1"/>
        <v>4.1637126666666662</v>
      </c>
    </row>
    <row r="114" spans="3:19" ht="1" customHeight="1">
      <c r="C114" s="8">
        <v>2003</v>
      </c>
      <c r="D114" s="8">
        <v>3.06427</v>
      </c>
      <c r="E114" s="8">
        <v>2.1450499999999999</v>
      </c>
      <c r="F114" s="8">
        <v>4.0117697999999997</v>
      </c>
      <c r="G114" s="8">
        <v>5.8118299999999996</v>
      </c>
      <c r="H114" s="8">
        <v>3.2179999000000001</v>
      </c>
      <c r="I114" s="8">
        <v>2.6428050000000001</v>
      </c>
      <c r="J114" s="8">
        <v>5.0731501999999997</v>
      </c>
      <c r="K114" s="8">
        <v>7.5028800999999996</v>
      </c>
      <c r="L114" s="8">
        <v>5.3663334999999996</v>
      </c>
      <c r="M114" s="8">
        <v>3.0446998999999999</v>
      </c>
      <c r="N114" s="8">
        <v>5.3321800000000001</v>
      </c>
      <c r="O114" s="8">
        <v>3.4219501000000001</v>
      </c>
      <c r="P114" s="8">
        <v>3.7256100000000001</v>
      </c>
      <c r="Q114" s="8">
        <v>6.8167299999999997</v>
      </c>
      <c r="R114" s="8">
        <v>2.96034</v>
      </c>
      <c r="S114" s="8">
        <f t="shared" si="1"/>
        <v>4.2758398999999994</v>
      </c>
    </row>
    <row r="115" spans="3:19" ht="1" customHeight="1">
      <c r="C115" s="8">
        <v>2004</v>
      </c>
      <c r="D115" s="8">
        <v>3.1700799000000002</v>
      </c>
      <c r="E115" s="8">
        <v>2.4867300999999999</v>
      </c>
      <c r="F115" s="8">
        <v>2.3255701000000002</v>
      </c>
      <c r="G115" s="8">
        <v>5.3522800999999998</v>
      </c>
      <c r="H115" s="8">
        <v>2.7484601</v>
      </c>
      <c r="I115" s="8">
        <v>2.2559098999999998</v>
      </c>
      <c r="J115" s="8">
        <v>4.8597201999999999</v>
      </c>
      <c r="K115" s="8">
        <v>5.9238800999999999</v>
      </c>
      <c r="L115" s="8">
        <v>5.3614968999999997</v>
      </c>
      <c r="M115" s="8">
        <v>2.5679699999999999</v>
      </c>
      <c r="N115" s="8">
        <v>5.3889899000000003</v>
      </c>
      <c r="O115" s="8">
        <v>3.2586700999999998</v>
      </c>
      <c r="P115" s="8">
        <v>4.0308900000000003</v>
      </c>
      <c r="Q115" s="8">
        <v>6.7207799000000001</v>
      </c>
      <c r="R115" s="8">
        <v>3.1173899</v>
      </c>
      <c r="S115" s="8">
        <f t="shared" si="1"/>
        <v>3.9712544799999994</v>
      </c>
    </row>
    <row r="116" spans="3:19" ht="1" customHeight="1">
      <c r="C116" s="8">
        <v>2005</v>
      </c>
      <c r="D116" s="8">
        <v>3.2387199</v>
      </c>
      <c r="E116" s="8">
        <v>2.7120299000000001</v>
      </c>
      <c r="F116" s="8">
        <v>4.1153598000000002</v>
      </c>
      <c r="G116" s="8">
        <v>5.3522401000000004</v>
      </c>
      <c r="H116" s="8">
        <v>2.8728199000000001</v>
      </c>
      <c r="I116" s="8">
        <v>2.2635299999999998</v>
      </c>
      <c r="J116" s="8">
        <v>4.7896051000000002</v>
      </c>
      <c r="K116" s="8">
        <v>5.2048252000000002</v>
      </c>
      <c r="L116" s="8">
        <v>5.3566602000000003</v>
      </c>
      <c r="M116" s="8">
        <v>2.4262899999999998</v>
      </c>
      <c r="N116" s="8">
        <v>5.4566597999999997</v>
      </c>
      <c r="O116" s="8">
        <v>3.4566800999999998</v>
      </c>
      <c r="P116" s="8">
        <v>3.93859</v>
      </c>
      <c r="Q116" s="8">
        <v>6.4515700000000002</v>
      </c>
      <c r="R116" s="8">
        <v>2.9899298999999999</v>
      </c>
      <c r="S116" s="8">
        <f t="shared" si="1"/>
        <v>4.0417006599999992</v>
      </c>
    </row>
    <row r="117" spans="3:19" ht="1" customHeight="1">
      <c r="C117" s="8">
        <v>2006</v>
      </c>
      <c r="D117" s="8">
        <v>3.1571901000000002</v>
      </c>
      <c r="E117" s="8">
        <v>2.71577</v>
      </c>
      <c r="F117" s="8">
        <v>3.9120400000000002</v>
      </c>
      <c r="G117" s="8">
        <v>5.3350201000000004</v>
      </c>
      <c r="H117" s="8">
        <v>2.9585400000000002</v>
      </c>
      <c r="I117" s="8">
        <v>2.6267900000000002</v>
      </c>
      <c r="J117" s="8">
        <v>4.7194900999999998</v>
      </c>
      <c r="K117" s="8">
        <v>4.4857702000000002</v>
      </c>
      <c r="L117" s="8">
        <v>5.3518235000000001</v>
      </c>
      <c r="M117" s="8">
        <v>2.5338099000000001</v>
      </c>
      <c r="N117" s="8">
        <v>5.2282801000000001</v>
      </c>
      <c r="O117" s="8">
        <v>3.8399800000000002</v>
      </c>
      <c r="P117" s="8">
        <v>4.0503701999999997</v>
      </c>
      <c r="Q117" s="8">
        <v>6.4385899999999996</v>
      </c>
      <c r="R117" s="8">
        <v>2.8624698999999998</v>
      </c>
      <c r="S117" s="8">
        <f t="shared" si="1"/>
        <v>4.0143956066666666</v>
      </c>
    </row>
    <row r="118" spans="3:19" ht="1" customHeight="1">
      <c r="C118" s="8">
        <v>2007</v>
      </c>
      <c r="D118" s="8">
        <v>3.2686801000000001</v>
      </c>
      <c r="E118" s="8">
        <v>3.0189400000000002</v>
      </c>
      <c r="F118" s="8">
        <v>3.6529701000000001</v>
      </c>
      <c r="G118" s="8">
        <v>5.1758198999999996</v>
      </c>
      <c r="H118" s="8">
        <v>3.04426</v>
      </c>
      <c r="I118" s="8">
        <v>2.8313899</v>
      </c>
      <c r="J118" s="8">
        <v>4.6644000999999999</v>
      </c>
      <c r="K118" s="8">
        <v>4.3725399999999999</v>
      </c>
      <c r="L118" s="8">
        <v>5.3469869000000001</v>
      </c>
      <c r="M118" s="8">
        <v>2.5953400000000002</v>
      </c>
      <c r="N118" s="8">
        <v>4.8717699000000003</v>
      </c>
      <c r="O118" s="8">
        <v>4.2232799999999999</v>
      </c>
      <c r="P118" s="8">
        <v>3.6031401000000001</v>
      </c>
      <c r="Q118" s="8">
        <v>6.4655199000000003</v>
      </c>
      <c r="R118" s="8">
        <v>2.7938765999999999</v>
      </c>
      <c r="S118" s="8">
        <f t="shared" si="1"/>
        <v>3.9952608999999999</v>
      </c>
    </row>
    <row r="119" spans="3:19" ht="1" customHeight="1">
      <c r="C119" s="8">
        <v>2008</v>
      </c>
      <c r="D119" s="8">
        <v>3.3135667999999998</v>
      </c>
      <c r="E119" s="8">
        <v>3.1727300000000001</v>
      </c>
      <c r="F119" s="8">
        <v>4.2047901000000003</v>
      </c>
      <c r="G119" s="8">
        <v>5.0065597999999998</v>
      </c>
      <c r="H119" s="8">
        <v>2.9019001000000002</v>
      </c>
      <c r="I119" s="8">
        <v>2.5894699000000001</v>
      </c>
      <c r="J119" s="8">
        <v>5.4135900000000001</v>
      </c>
      <c r="K119" s="8">
        <v>3.9585298999999998</v>
      </c>
      <c r="L119" s="8">
        <v>5.3421501999999998</v>
      </c>
      <c r="M119" s="8">
        <v>2.6929900999999998</v>
      </c>
      <c r="N119" s="8">
        <v>5.0749697999999999</v>
      </c>
      <c r="O119" s="8">
        <v>4.1925499000000004</v>
      </c>
      <c r="P119" s="8">
        <v>3.5085001</v>
      </c>
      <c r="Q119" s="8">
        <v>6.2721901000000004</v>
      </c>
      <c r="R119" s="8">
        <v>2.7209492000000002</v>
      </c>
      <c r="S119" s="8">
        <f t="shared" si="1"/>
        <v>4.0243624000000002</v>
      </c>
    </row>
    <row r="120" spans="3:19" ht="1" customHeight="1">
      <c r="C120" s="8">
        <v>2009</v>
      </c>
      <c r="D120" s="8">
        <v>3.3584534000000001</v>
      </c>
      <c r="E120" s="8">
        <v>3.8407900000000001</v>
      </c>
      <c r="F120" s="8">
        <v>4.2941098000000002</v>
      </c>
      <c r="G120" s="8">
        <v>4.9957199000000001</v>
      </c>
      <c r="H120" s="8">
        <v>3.5251299999999999</v>
      </c>
      <c r="I120" s="8">
        <v>3.06073</v>
      </c>
      <c r="J120" s="8">
        <v>5.5789099000000002</v>
      </c>
      <c r="K120" s="8">
        <v>5.9741802000000002</v>
      </c>
      <c r="L120" s="8">
        <v>5.2606400999999998</v>
      </c>
      <c r="M120" s="8">
        <v>2.6529500000000001</v>
      </c>
      <c r="N120" s="8">
        <v>5.02705</v>
      </c>
      <c r="O120" s="8">
        <v>4.1618199000000002</v>
      </c>
      <c r="P120" s="8">
        <v>3.8637999999999999</v>
      </c>
      <c r="Q120" s="8">
        <v>6.5284801000000003</v>
      </c>
      <c r="R120" s="8">
        <v>2.7162785999999999</v>
      </c>
      <c r="S120" s="8">
        <f t="shared" si="1"/>
        <v>4.3226027933333331</v>
      </c>
    </row>
    <row r="121" spans="3:19" ht="1" customHeight="1">
      <c r="C121" s="8">
        <v>2010</v>
      </c>
      <c r="D121" s="8">
        <v>3.4033400999999999</v>
      </c>
      <c r="E121" s="8">
        <v>3.2490000999999999</v>
      </c>
      <c r="F121" s="8">
        <v>3.9153600000000002</v>
      </c>
      <c r="G121" s="8">
        <v>4.7994298999999998</v>
      </c>
      <c r="H121" s="8">
        <v>2.8122799000000001</v>
      </c>
      <c r="I121" s="8">
        <v>3.1668959000000001</v>
      </c>
      <c r="J121" s="8">
        <v>5.0856399999999997</v>
      </c>
      <c r="K121" s="8">
        <v>4.9664402000000001</v>
      </c>
      <c r="L121" s="8">
        <v>5.1321626</v>
      </c>
      <c r="M121" s="8">
        <v>2.5394135000000002</v>
      </c>
      <c r="N121" s="8">
        <v>5.0692700999999998</v>
      </c>
      <c r="O121" s="8">
        <v>3.4584899</v>
      </c>
      <c r="P121" s="8">
        <v>3.5103099000000002</v>
      </c>
      <c r="Q121" s="8">
        <v>6.2547797999999997</v>
      </c>
      <c r="R121" s="8">
        <v>2.6317048000000001</v>
      </c>
      <c r="S121" s="8">
        <f t="shared" si="1"/>
        <v>3.9996344466666667</v>
      </c>
    </row>
    <row r="122" spans="3:19" ht="1" customHeight="1">
      <c r="C122" s="8">
        <v>2011</v>
      </c>
      <c r="D122" s="8">
        <v>3.4482268</v>
      </c>
      <c r="E122" s="8">
        <v>3.1438400999999998</v>
      </c>
      <c r="F122" s="8">
        <v>3.5923400000000001</v>
      </c>
      <c r="G122" s="8">
        <v>4.6287798999999996</v>
      </c>
      <c r="H122" s="8">
        <v>3.1894399999999998</v>
      </c>
      <c r="I122" s="8">
        <v>3.2730617999999998</v>
      </c>
      <c r="J122" s="8">
        <v>4.9512400999999997</v>
      </c>
      <c r="K122" s="8">
        <v>5.7629399000000001</v>
      </c>
      <c r="L122" s="8">
        <v>5.1282945</v>
      </c>
      <c r="M122" s="8">
        <v>2.9563052999999999</v>
      </c>
      <c r="N122" s="8">
        <v>4.8209400000000002</v>
      </c>
      <c r="O122" s="8">
        <v>3.0277500000000002</v>
      </c>
      <c r="P122" s="8">
        <v>4.8082799999999999</v>
      </c>
      <c r="Q122" s="8">
        <v>6.2465397999999999</v>
      </c>
      <c r="R122" s="8">
        <v>2.5581782</v>
      </c>
      <c r="S122" s="8">
        <f t="shared" si="1"/>
        <v>4.1024104266666663</v>
      </c>
    </row>
    <row r="123" spans="3:19" ht="1" customHeight="1">
      <c r="C123" s="8">
        <v>2012</v>
      </c>
      <c r="D123" s="8">
        <v>3.4931133999999999</v>
      </c>
      <c r="E123" s="8">
        <v>3.0712399000000001</v>
      </c>
      <c r="F123" s="8">
        <v>3.5233599999999998</v>
      </c>
      <c r="G123" s="8">
        <v>4.5971460000000004</v>
      </c>
      <c r="H123" s="8">
        <v>3.4074800000000001</v>
      </c>
      <c r="I123" s="8">
        <v>3.3792274</v>
      </c>
      <c r="J123" s="8">
        <v>4.6437502000000004</v>
      </c>
      <c r="K123" s="8">
        <v>5.9284300999999999</v>
      </c>
      <c r="L123" s="8">
        <v>5.1244268000000002</v>
      </c>
      <c r="M123" s="8">
        <v>2.8693922000000001</v>
      </c>
      <c r="N123" s="8">
        <v>4.8130999000000001</v>
      </c>
      <c r="O123" s="8">
        <v>2.9395498999999998</v>
      </c>
      <c r="P123" s="8">
        <v>4.5376801000000002</v>
      </c>
      <c r="Q123" s="8">
        <v>6.2382998000000001</v>
      </c>
      <c r="R123" s="8">
        <v>2.5445484999999999</v>
      </c>
      <c r="S123" s="8">
        <f t="shared" si="1"/>
        <v>4.0740496133333339</v>
      </c>
    </row>
    <row r="124" spans="3:19" ht="1" customHeight="1">
      <c r="C124" s="8">
        <v>2013</v>
      </c>
      <c r="D124" s="8">
        <v>3.5380001000000001</v>
      </c>
      <c r="E124" s="8">
        <v>2.6501801</v>
      </c>
      <c r="F124" s="8">
        <v>3.2410025999999998</v>
      </c>
      <c r="G124" s="8">
        <v>4.4676571000000003</v>
      </c>
      <c r="H124" s="8">
        <v>3.3665799999999999</v>
      </c>
      <c r="I124" s="8">
        <v>3.4853933000000001</v>
      </c>
      <c r="J124" s="8">
        <v>4.9145002</v>
      </c>
      <c r="K124" s="8">
        <v>6.0939202000000003</v>
      </c>
      <c r="L124" s="8">
        <v>5.1382836999999997</v>
      </c>
      <c r="M124" s="8">
        <v>2.7370595999999998</v>
      </c>
      <c r="N124" s="8">
        <v>4.9306102000000003</v>
      </c>
      <c r="O124" s="8">
        <v>2.8361926</v>
      </c>
      <c r="P124" s="8">
        <v>4.1256700000000004</v>
      </c>
      <c r="Q124" s="8">
        <v>6.2678193999999996</v>
      </c>
      <c r="R124" s="8">
        <v>2.4887567000000002</v>
      </c>
      <c r="S124" s="8">
        <f t="shared" si="1"/>
        <v>4.018775053333334</v>
      </c>
    </row>
  </sheetData>
  <mergeCells count="5">
    <mergeCell ref="B23:S23"/>
    <mergeCell ref="D44:G44"/>
    <mergeCell ref="C35:E35"/>
    <mergeCell ref="F35:I35"/>
    <mergeCell ref="E25:H25"/>
  </mergeCells>
  <pageMargins left="0.7" right="0.7" top="0.75" bottom="0.75" header="0.3" footer="0.3"/>
  <pageSetup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2"/>
  <sheetViews>
    <sheetView zoomScaleNormal="100" zoomScaleSheetLayoutView="100" workbookViewId="0"/>
  </sheetViews>
  <sheetFormatPr defaultColWidth="9.1796875" defaultRowHeight="14.5"/>
  <cols>
    <col min="1" max="1" width="3.54296875" style="9" customWidth="1"/>
    <col min="2" max="2" width="9.1796875" style="9"/>
    <col min="3" max="3" width="9.1796875" style="9" customWidth="1"/>
    <col min="4" max="17" width="9.1796875" style="9"/>
    <col min="18" max="18" width="3.7265625" style="9" customWidth="1"/>
    <col min="19" max="16384" width="9.1796875" style="9"/>
  </cols>
  <sheetData>
    <row r="1" spans="1:19">
      <c r="A1" s="1"/>
      <c r="B1" s="1"/>
      <c r="C1" s="1"/>
      <c r="D1" s="1"/>
      <c r="E1" s="1"/>
      <c r="F1" s="1"/>
      <c r="G1" s="1"/>
      <c r="H1" s="1"/>
      <c r="I1" s="1"/>
      <c r="J1" s="1"/>
      <c r="K1" s="1"/>
      <c r="L1" s="1"/>
      <c r="M1" s="1"/>
      <c r="N1" s="1"/>
      <c r="O1" s="1"/>
      <c r="P1" s="1"/>
      <c r="Q1" s="1"/>
      <c r="R1" s="1"/>
    </row>
    <row r="2" spans="1:19" ht="17.5">
      <c r="A2" s="1"/>
      <c r="B2" s="132" t="s">
        <v>250</v>
      </c>
      <c r="C2" s="1"/>
      <c r="D2" s="1"/>
      <c r="E2" s="1"/>
      <c r="F2" s="1"/>
      <c r="G2" s="134" t="str">
        <f>'F4.1'!G54</f>
        <v>Panama</v>
      </c>
      <c r="H2" s="1"/>
      <c r="I2" s="1"/>
      <c r="J2" s="1"/>
      <c r="K2" s="1"/>
      <c r="L2" s="1"/>
      <c r="M2" s="1"/>
      <c r="N2" s="1"/>
      <c r="O2" s="1"/>
      <c r="P2" s="1"/>
      <c r="Q2" s="1"/>
      <c r="R2" s="1"/>
    </row>
    <row r="3" spans="1:19">
      <c r="A3" s="1"/>
      <c r="B3" s="1"/>
      <c r="C3" s="1"/>
      <c r="D3" s="1"/>
      <c r="E3" s="1"/>
      <c r="F3" s="1"/>
      <c r="G3" s="1"/>
      <c r="H3" s="1"/>
      <c r="I3" s="1"/>
      <c r="J3" s="1"/>
      <c r="K3" s="1"/>
      <c r="L3" s="1"/>
      <c r="M3" s="1"/>
      <c r="N3" s="1"/>
      <c r="O3" s="1"/>
      <c r="P3" s="1"/>
      <c r="Q3" s="1"/>
      <c r="R3" s="1"/>
      <c r="S3" s="9" t="s">
        <v>1</v>
      </c>
    </row>
    <row r="4" spans="1:19">
      <c r="A4" s="1"/>
      <c r="B4" s="1"/>
      <c r="C4" s="1"/>
      <c r="D4" s="1"/>
      <c r="E4" s="1"/>
      <c r="F4" s="1"/>
      <c r="G4" s="1"/>
      <c r="H4" s="1"/>
      <c r="I4" s="1"/>
      <c r="J4" s="1"/>
      <c r="K4" s="1"/>
      <c r="L4" s="1"/>
      <c r="M4" s="1"/>
      <c r="N4" s="1"/>
      <c r="O4" s="1"/>
      <c r="P4" s="1"/>
      <c r="Q4" s="1"/>
      <c r="R4" s="1"/>
    </row>
    <row r="5" spans="1:19">
      <c r="A5" s="1"/>
      <c r="B5" s="1"/>
      <c r="C5" s="1"/>
      <c r="D5" s="1"/>
      <c r="E5" s="1"/>
      <c r="F5" s="1"/>
      <c r="G5" s="1"/>
      <c r="H5" s="1"/>
      <c r="I5" s="1"/>
      <c r="J5" s="1"/>
      <c r="K5" s="1"/>
      <c r="L5" s="1"/>
      <c r="M5" s="1"/>
      <c r="N5" s="1"/>
      <c r="O5" s="1"/>
      <c r="P5" s="1"/>
      <c r="Q5" s="1"/>
      <c r="R5" s="1"/>
    </row>
    <row r="6" spans="1:19">
      <c r="A6" s="1"/>
      <c r="B6" s="1"/>
      <c r="C6" s="1"/>
      <c r="D6" s="1"/>
      <c r="E6" s="1"/>
      <c r="F6" s="1"/>
      <c r="G6" s="1"/>
      <c r="H6" s="1"/>
      <c r="I6" s="1"/>
      <c r="J6" s="1"/>
      <c r="K6" s="1"/>
      <c r="L6" s="1"/>
      <c r="M6" s="1"/>
      <c r="N6" s="1"/>
      <c r="O6" s="1"/>
      <c r="P6" s="1"/>
      <c r="Q6" s="1"/>
      <c r="R6" s="1"/>
    </row>
    <row r="7" spans="1:19">
      <c r="A7" s="1"/>
      <c r="B7" s="1"/>
      <c r="C7" s="1"/>
      <c r="D7" s="1"/>
      <c r="E7" s="1"/>
      <c r="F7" s="1"/>
      <c r="G7" s="1"/>
      <c r="H7" s="1"/>
      <c r="I7" s="1"/>
      <c r="J7" s="1"/>
      <c r="K7" s="1"/>
      <c r="L7" s="1"/>
      <c r="M7" s="1"/>
      <c r="N7" s="1"/>
      <c r="O7" s="1"/>
      <c r="P7" s="1"/>
      <c r="Q7" s="1"/>
      <c r="R7" s="1"/>
    </row>
    <row r="8" spans="1:19">
      <c r="A8" s="1"/>
      <c r="B8" s="1"/>
      <c r="C8" s="1"/>
      <c r="D8" s="1"/>
      <c r="E8" s="1"/>
      <c r="F8" s="1"/>
      <c r="G8" s="1"/>
      <c r="H8" s="1"/>
      <c r="I8" s="1"/>
      <c r="J8" s="1"/>
      <c r="K8" s="1"/>
      <c r="L8" s="1"/>
      <c r="M8" s="1"/>
      <c r="N8" s="1"/>
      <c r="O8" s="1"/>
      <c r="P8" s="1"/>
      <c r="Q8" s="1"/>
      <c r="R8" s="1"/>
    </row>
    <row r="9" spans="1:19">
      <c r="A9" s="1"/>
      <c r="B9" s="1"/>
      <c r="C9" s="1"/>
      <c r="D9" s="1"/>
      <c r="E9" s="1"/>
      <c r="F9" s="1"/>
      <c r="G9" s="1"/>
      <c r="H9" s="1"/>
      <c r="I9" s="1"/>
      <c r="J9" s="1"/>
      <c r="K9" s="1"/>
      <c r="L9" s="1"/>
      <c r="M9" s="1"/>
      <c r="N9" s="1"/>
      <c r="O9" s="1"/>
      <c r="P9" s="1"/>
      <c r="Q9" s="1"/>
      <c r="R9" s="1"/>
    </row>
    <row r="10" spans="1:19">
      <c r="A10" s="1"/>
      <c r="B10" s="1"/>
      <c r="C10" s="1"/>
      <c r="D10" s="1"/>
      <c r="E10" s="1"/>
      <c r="F10" s="1"/>
      <c r="G10" s="1"/>
      <c r="H10" s="1"/>
      <c r="I10" s="1"/>
      <c r="J10" s="1"/>
      <c r="K10" s="1"/>
      <c r="L10" s="1"/>
      <c r="M10" s="1"/>
      <c r="N10" s="1"/>
      <c r="O10" s="1"/>
      <c r="P10" s="1"/>
      <c r="Q10" s="1"/>
      <c r="R10" s="1"/>
    </row>
    <row r="11" spans="1:19">
      <c r="A11" s="1"/>
      <c r="B11" s="1"/>
      <c r="C11" s="1"/>
      <c r="D11" s="1"/>
      <c r="E11" s="1"/>
      <c r="F11" s="1"/>
      <c r="G11" s="1"/>
      <c r="H11" s="1"/>
      <c r="I11" s="1"/>
      <c r="J11" s="1"/>
      <c r="K11" s="1"/>
      <c r="L11" s="1"/>
      <c r="M11" s="1"/>
      <c r="N11" s="1"/>
      <c r="O11" s="1"/>
      <c r="P11" s="1"/>
      <c r="Q11" s="1"/>
      <c r="R11" s="1"/>
    </row>
    <row r="12" spans="1:19">
      <c r="A12" s="1"/>
      <c r="B12" s="1"/>
      <c r="C12" s="1"/>
      <c r="D12" s="1"/>
      <c r="E12" s="1"/>
      <c r="F12" s="1"/>
      <c r="G12" s="1"/>
      <c r="H12" s="1"/>
      <c r="I12" s="1"/>
      <c r="J12" s="1"/>
      <c r="K12" s="1"/>
      <c r="L12" s="1"/>
      <c r="M12" s="1"/>
      <c r="N12" s="1"/>
      <c r="O12" s="1"/>
      <c r="P12" s="1"/>
      <c r="Q12" s="1"/>
      <c r="R12" s="1"/>
    </row>
    <row r="13" spans="1:19">
      <c r="A13" s="1"/>
      <c r="B13" s="1"/>
      <c r="C13" s="1"/>
      <c r="D13" s="1"/>
      <c r="E13" s="1"/>
      <c r="F13" s="1"/>
      <c r="G13" s="1"/>
      <c r="H13" s="1"/>
      <c r="I13" s="1"/>
      <c r="J13" s="1"/>
      <c r="K13" s="1"/>
      <c r="L13" s="1"/>
      <c r="M13" s="1"/>
      <c r="N13" s="1"/>
      <c r="O13" s="1"/>
      <c r="P13" s="1"/>
      <c r="Q13" s="1"/>
      <c r="R13" s="1"/>
    </row>
    <row r="14" spans="1:19">
      <c r="A14" s="1"/>
      <c r="B14" s="1"/>
      <c r="C14" s="1"/>
      <c r="D14" s="1"/>
      <c r="E14" s="1"/>
      <c r="F14" s="1"/>
      <c r="G14" s="1"/>
      <c r="H14" s="1"/>
      <c r="I14" s="1"/>
      <c r="J14" s="1"/>
      <c r="K14" s="1"/>
      <c r="L14" s="1"/>
      <c r="M14" s="1"/>
      <c r="N14" s="1"/>
      <c r="O14" s="1"/>
      <c r="P14" s="1"/>
      <c r="Q14" s="1"/>
      <c r="R14" s="1"/>
    </row>
    <row r="15" spans="1:19">
      <c r="A15" s="1"/>
      <c r="B15" s="1"/>
      <c r="C15" s="1"/>
      <c r="D15" s="1"/>
      <c r="E15" s="1"/>
      <c r="F15" s="1"/>
      <c r="G15" s="1"/>
      <c r="H15" s="1"/>
      <c r="I15" s="1"/>
      <c r="J15" s="1"/>
      <c r="K15" s="1"/>
      <c r="L15" s="1"/>
      <c r="M15" s="1"/>
      <c r="N15" s="1"/>
      <c r="O15" s="1"/>
      <c r="P15" s="1"/>
      <c r="Q15" s="1"/>
      <c r="R15" s="1"/>
    </row>
    <row r="16" spans="1:19">
      <c r="A16" s="1"/>
      <c r="B16" s="1"/>
      <c r="C16" s="1"/>
      <c r="D16" s="1"/>
      <c r="E16" s="1"/>
      <c r="F16" s="1"/>
      <c r="G16" s="1"/>
      <c r="H16" s="1"/>
      <c r="I16" s="1"/>
      <c r="J16" s="1"/>
      <c r="K16" s="1"/>
      <c r="L16" s="1"/>
      <c r="M16" s="1"/>
      <c r="N16" s="1"/>
      <c r="O16" s="1"/>
      <c r="P16" s="1"/>
      <c r="Q16" s="1"/>
      <c r="R16" s="1"/>
    </row>
    <row r="17" spans="1:18">
      <c r="A17" s="1"/>
      <c r="B17" s="1"/>
      <c r="C17" s="1"/>
      <c r="D17" s="1"/>
      <c r="E17" s="1"/>
      <c r="F17" s="1"/>
      <c r="G17" s="1"/>
      <c r="H17" s="1"/>
      <c r="I17" s="1"/>
      <c r="J17" s="1"/>
      <c r="K17" s="1"/>
      <c r="L17" s="1"/>
      <c r="M17" s="1"/>
      <c r="N17" s="1"/>
      <c r="O17" s="1"/>
      <c r="P17" s="1"/>
      <c r="Q17" s="1"/>
      <c r="R17" s="1"/>
    </row>
    <row r="18" spans="1:18">
      <c r="A18" s="1"/>
      <c r="B18" s="1"/>
      <c r="C18" s="1"/>
      <c r="D18" s="1"/>
      <c r="E18" s="1"/>
      <c r="F18" s="1"/>
      <c r="G18" s="1"/>
      <c r="H18" s="1"/>
      <c r="I18" s="1"/>
      <c r="J18" s="1"/>
      <c r="K18" s="1"/>
      <c r="L18" s="1"/>
      <c r="M18" s="1"/>
      <c r="N18" s="1"/>
      <c r="O18" s="1"/>
      <c r="P18" s="1"/>
      <c r="Q18" s="1"/>
      <c r="R18" s="1"/>
    </row>
    <row r="19" spans="1:18">
      <c r="A19" s="1"/>
      <c r="B19" s="1"/>
      <c r="C19" s="1"/>
      <c r="D19" s="1"/>
      <c r="E19" s="1"/>
      <c r="F19" s="1"/>
      <c r="G19" s="1"/>
      <c r="H19" s="1"/>
      <c r="I19" s="1"/>
      <c r="J19" s="1"/>
      <c r="K19" s="1"/>
      <c r="L19" s="1"/>
      <c r="M19" s="1"/>
      <c r="N19" s="1"/>
      <c r="O19" s="1"/>
      <c r="P19" s="1"/>
      <c r="Q19" s="1"/>
      <c r="R19" s="1"/>
    </row>
    <row r="20" spans="1:18">
      <c r="A20" s="1"/>
      <c r="B20" s="1"/>
      <c r="C20" s="1"/>
      <c r="D20" s="1"/>
      <c r="E20" s="1"/>
      <c r="F20" s="1"/>
      <c r="G20" s="1"/>
      <c r="H20" s="1"/>
      <c r="I20" s="1"/>
      <c r="J20" s="1"/>
      <c r="K20" s="1"/>
      <c r="L20" s="1"/>
      <c r="M20" s="1"/>
      <c r="N20" s="1"/>
      <c r="O20" s="1"/>
      <c r="P20" s="1"/>
      <c r="Q20" s="1"/>
      <c r="R20" s="1"/>
    </row>
    <row r="21" spans="1:18">
      <c r="A21" s="1"/>
      <c r="B21" s="1"/>
      <c r="C21" s="1"/>
      <c r="D21" s="1"/>
      <c r="E21" s="1"/>
      <c r="F21" s="1"/>
      <c r="G21" s="1"/>
      <c r="H21" s="1"/>
      <c r="I21" s="1"/>
      <c r="J21" s="1"/>
      <c r="K21" s="1"/>
      <c r="L21" s="1"/>
      <c r="M21" s="1"/>
      <c r="N21" s="1"/>
      <c r="O21" s="1"/>
      <c r="P21" s="1"/>
      <c r="Q21" s="1"/>
      <c r="R21" s="1"/>
    </row>
    <row r="22" spans="1:18">
      <c r="A22" s="1"/>
      <c r="B22" s="1"/>
      <c r="C22" s="1"/>
      <c r="D22" s="1"/>
      <c r="E22" s="1"/>
      <c r="F22" s="1"/>
      <c r="G22" s="1"/>
      <c r="H22" s="1"/>
      <c r="I22" s="1"/>
      <c r="J22" s="1"/>
      <c r="K22" s="1"/>
      <c r="L22" s="1"/>
      <c r="M22" s="1"/>
      <c r="N22" s="1"/>
      <c r="O22" s="1"/>
      <c r="P22" s="1"/>
      <c r="Q22" s="1"/>
      <c r="R22" s="1"/>
    </row>
    <row r="23" spans="1:18">
      <c r="A23" s="1"/>
      <c r="B23" s="1"/>
      <c r="C23" s="1"/>
      <c r="D23" s="1"/>
      <c r="E23" s="1"/>
      <c r="F23" s="1"/>
      <c r="G23" s="1"/>
      <c r="H23" s="1"/>
      <c r="I23" s="1"/>
      <c r="J23" s="1"/>
      <c r="K23" s="1"/>
      <c r="L23" s="1"/>
      <c r="M23" s="1"/>
      <c r="N23" s="1"/>
      <c r="O23" s="1"/>
      <c r="P23" s="1"/>
      <c r="Q23" s="1"/>
      <c r="R23" s="1"/>
    </row>
    <row r="24" spans="1:18">
      <c r="A24" s="1"/>
      <c r="B24" s="1"/>
      <c r="C24" s="1"/>
      <c r="D24" s="1"/>
      <c r="E24" s="1"/>
      <c r="F24" s="1"/>
      <c r="G24" s="1"/>
      <c r="H24" s="1"/>
      <c r="I24" s="1"/>
      <c r="J24" s="1"/>
      <c r="K24" s="1"/>
      <c r="L24" s="1"/>
      <c r="M24" s="1"/>
      <c r="N24" s="1"/>
      <c r="O24" s="1"/>
      <c r="P24" s="1"/>
      <c r="Q24" s="1"/>
      <c r="R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ht="25.5" customHeight="1">
      <c r="A43" s="1"/>
      <c r="B43" s="1"/>
      <c r="C43" s="1"/>
      <c r="D43" s="1"/>
      <c r="E43" s="1"/>
      <c r="F43" s="1"/>
      <c r="G43" s="1"/>
      <c r="H43" s="1"/>
      <c r="I43" s="1"/>
      <c r="J43" s="1"/>
      <c r="K43" s="1"/>
      <c r="L43" s="1"/>
      <c r="M43" s="1"/>
      <c r="N43" s="1"/>
      <c r="O43" s="1"/>
      <c r="P43" s="1"/>
      <c r="Q43" s="1"/>
      <c r="R43" s="1"/>
    </row>
    <row r="44" spans="1:18" ht="51" customHeight="1" thickBot="1">
      <c r="A44" s="84"/>
      <c r="B44" s="428" t="s">
        <v>241</v>
      </c>
      <c r="C44" s="428"/>
      <c r="D44" s="428"/>
      <c r="E44" s="428"/>
      <c r="F44" s="428"/>
      <c r="G44" s="428"/>
      <c r="H44" s="428"/>
      <c r="I44" s="428"/>
      <c r="J44" s="428"/>
      <c r="K44" s="428"/>
      <c r="L44" s="428"/>
      <c r="M44" s="428"/>
      <c r="N44" s="428"/>
      <c r="O44" s="428"/>
      <c r="P44" s="428"/>
      <c r="Q44" s="428"/>
      <c r="R44" s="84"/>
    </row>
    <row r="45" spans="1:18" ht="18" customHeight="1" thickTop="1">
      <c r="A45" s="1"/>
      <c r="B45" s="133"/>
      <c r="C45" s="133"/>
      <c r="D45" s="133"/>
      <c r="E45" s="133"/>
      <c r="F45" s="133"/>
      <c r="G45" s="133"/>
      <c r="H45" s="133"/>
      <c r="I45" s="133"/>
      <c r="J45" s="133"/>
      <c r="K45" s="133"/>
      <c r="L45" s="133"/>
      <c r="M45" s="133"/>
      <c r="N45" s="133"/>
      <c r="O45" s="133"/>
      <c r="P45" s="133"/>
      <c r="Q45" s="133"/>
      <c r="R45" s="1"/>
    </row>
    <row r="46" spans="1:18" ht="18" customHeight="1">
      <c r="A46" s="1"/>
      <c r="B46" s="133"/>
      <c r="C46" s="133"/>
      <c r="D46" s="194"/>
      <c r="E46" s="429">
        <v>1995</v>
      </c>
      <c r="F46" s="429"/>
      <c r="G46" s="430"/>
      <c r="H46" s="433">
        <v>2005</v>
      </c>
      <c r="I46" s="429"/>
      <c r="J46" s="430"/>
      <c r="K46" s="433">
        <v>2014</v>
      </c>
      <c r="L46" s="429"/>
      <c r="M46" s="430"/>
      <c r="N46" s="133"/>
      <c r="O46" s="133"/>
      <c r="P46" s="133"/>
      <c r="Q46" s="133"/>
      <c r="R46" s="1"/>
    </row>
    <row r="47" spans="1:18" ht="18" customHeight="1">
      <c r="A47" s="1"/>
      <c r="B47" s="133"/>
      <c r="C47" s="133"/>
      <c r="D47" s="194"/>
      <c r="E47" s="431" t="s">
        <v>402</v>
      </c>
      <c r="F47" s="431"/>
      <c r="G47" s="432"/>
      <c r="H47" s="434" t="s">
        <v>402</v>
      </c>
      <c r="I47" s="431"/>
      <c r="J47" s="432"/>
      <c r="K47" s="434" t="s">
        <v>402</v>
      </c>
      <c r="L47" s="431"/>
      <c r="M47" s="432"/>
      <c r="N47" s="133"/>
      <c r="O47" s="133"/>
      <c r="P47" s="133"/>
      <c r="Q47" s="133"/>
      <c r="R47" s="1"/>
    </row>
    <row r="48" spans="1:18" ht="18" customHeight="1">
      <c r="A48" s="1"/>
      <c r="B48" s="133"/>
      <c r="C48" s="133"/>
      <c r="D48" s="194"/>
      <c r="E48" s="191" t="s">
        <v>252</v>
      </c>
      <c r="F48" s="191" t="s">
        <v>242</v>
      </c>
      <c r="G48" s="192" t="s">
        <v>243</v>
      </c>
      <c r="H48" s="193" t="s">
        <v>252</v>
      </c>
      <c r="I48" s="191" t="s">
        <v>242</v>
      </c>
      <c r="J48" s="192" t="s">
        <v>243</v>
      </c>
      <c r="K48" s="193" t="s">
        <v>252</v>
      </c>
      <c r="L48" s="191" t="s">
        <v>242</v>
      </c>
      <c r="M48" s="192" t="s">
        <v>243</v>
      </c>
      <c r="N48" s="133"/>
      <c r="O48" s="133"/>
      <c r="P48" s="133"/>
      <c r="Q48" s="133"/>
      <c r="R48" s="1"/>
    </row>
    <row r="49" spans="1:18" ht="18" customHeight="1">
      <c r="A49" s="1"/>
      <c r="B49" s="133"/>
      <c r="C49" s="133" t="str">
        <f>G54</f>
        <v>Panama</v>
      </c>
      <c r="D49" s="194"/>
      <c r="E49" s="195">
        <f>F58</f>
        <v>0.11215242</v>
      </c>
      <c r="F49" s="195">
        <f>I58</f>
        <v>9.7752980000000003E-2</v>
      </c>
      <c r="G49" s="196">
        <f>L58</f>
        <v>0.13794049999999999</v>
      </c>
      <c r="H49" s="197">
        <f>E68</f>
        <v>0.13666382999999999</v>
      </c>
      <c r="I49" s="195">
        <f>I68</f>
        <v>0.11742295</v>
      </c>
      <c r="J49" s="196">
        <f>L68</f>
        <v>0.15882103</v>
      </c>
      <c r="K49" s="197">
        <f>E77</f>
        <v>0.12036380000000001</v>
      </c>
      <c r="L49" s="195">
        <f>I77</f>
        <v>9.7480300000000006E-2</v>
      </c>
      <c r="M49" s="196">
        <f>L77</f>
        <v>0.14295731</v>
      </c>
      <c r="N49" s="133"/>
      <c r="O49" s="133"/>
      <c r="P49" s="133"/>
      <c r="Q49" s="133"/>
      <c r="R49" s="1"/>
    </row>
    <row r="50" spans="1:18" ht="18" customHeight="1">
      <c r="A50" s="1"/>
      <c r="B50" s="133"/>
      <c r="C50" s="133" t="s">
        <v>60</v>
      </c>
      <c r="D50" s="194"/>
      <c r="E50" s="195">
        <f>E83</f>
        <v>0.11561272</v>
      </c>
      <c r="F50" s="195">
        <f>H83</f>
        <v>0.11000465</v>
      </c>
      <c r="G50" s="196">
        <f>K83</f>
        <v>0.12450885</v>
      </c>
      <c r="H50" s="197">
        <f>E93</f>
        <v>0.10722399000000001</v>
      </c>
      <c r="I50" s="195">
        <f>H93</f>
        <v>9.8620970000000002E-2</v>
      </c>
      <c r="J50" s="196">
        <f>K93</f>
        <v>0.11935610000000001</v>
      </c>
      <c r="K50" s="197">
        <f>E102</f>
        <v>0.10075497999999999</v>
      </c>
      <c r="L50" s="195">
        <f>H102</f>
        <v>8.9758489999999996E-2</v>
      </c>
      <c r="M50" s="196">
        <f>K102</f>
        <v>0.11551636999999999</v>
      </c>
      <c r="N50" s="133"/>
      <c r="O50" s="133"/>
      <c r="P50" s="133"/>
      <c r="Q50" s="133"/>
      <c r="R50" s="1"/>
    </row>
    <row r="51" spans="1:18" ht="18" customHeight="1">
      <c r="A51" s="1"/>
      <c r="B51" s="133"/>
      <c r="C51" s="133"/>
      <c r="D51" s="133"/>
      <c r="E51" s="133"/>
      <c r="F51" s="133"/>
      <c r="G51" s="133"/>
      <c r="H51" s="133"/>
      <c r="I51" s="133"/>
      <c r="J51" s="133"/>
      <c r="K51" s="133"/>
      <c r="L51" s="133"/>
      <c r="M51" s="133"/>
      <c r="N51" s="133"/>
      <c r="O51" s="133"/>
      <c r="P51" s="133"/>
      <c r="Q51" s="133"/>
      <c r="R51" s="1"/>
    </row>
    <row r="54" spans="1:18" hidden="1">
      <c r="D54" s="413" t="s">
        <v>73</v>
      </c>
      <c r="E54" s="413"/>
      <c r="F54" s="413"/>
      <c r="G54" s="413" t="str">
        <f>'Country Selection'!C5</f>
        <v>Panama</v>
      </c>
      <c r="H54" s="413"/>
      <c r="I54" s="413"/>
      <c r="J54" s="413"/>
    </row>
    <row r="56" spans="1:18" ht="1" customHeight="1">
      <c r="C56" s="63"/>
      <c r="D56" s="63"/>
      <c r="E56" s="414" t="s">
        <v>252</v>
      </c>
      <c r="F56" s="414"/>
      <c r="G56" s="414"/>
      <c r="H56" s="414" t="s">
        <v>242</v>
      </c>
      <c r="I56" s="414"/>
      <c r="J56" s="414"/>
      <c r="K56" s="414" t="s">
        <v>243</v>
      </c>
      <c r="L56" s="414"/>
      <c r="M56" s="414"/>
    </row>
    <row r="57" spans="1:18" ht="1" customHeight="1">
      <c r="B57" s="9" t="s">
        <v>31</v>
      </c>
      <c r="C57" s="9" t="s">
        <v>251</v>
      </c>
      <c r="D57" s="9" t="s">
        <v>17</v>
      </c>
      <c r="E57" s="9" t="s">
        <v>244</v>
      </c>
      <c r="F57" s="9" t="s">
        <v>245</v>
      </c>
      <c r="G57" s="9" t="s">
        <v>246</v>
      </c>
      <c r="H57" s="9" t="s">
        <v>244</v>
      </c>
      <c r="I57" s="9" t="s">
        <v>245</v>
      </c>
      <c r="J57" s="9" t="s">
        <v>246</v>
      </c>
      <c r="K57" s="9" t="s">
        <v>244</v>
      </c>
      <c r="L57" s="9" t="s">
        <v>245</v>
      </c>
      <c r="M57" s="9" t="s">
        <v>246</v>
      </c>
    </row>
    <row r="58" spans="1:18" ht="1" customHeight="1">
      <c r="B58" s="9" t="str">
        <f>$G$54</f>
        <v>Panama</v>
      </c>
      <c r="C58" s="9" t="str">
        <f>CONCATENATE(B58,D58)</f>
        <v>Panama1995</v>
      </c>
      <c r="D58" s="9">
        <v>1995</v>
      </c>
      <c r="E58" s="9">
        <f>VLOOKUP($C58,$C$83:$G$422,5,FALSE)</f>
        <v>0.11526670999999999</v>
      </c>
      <c r="F58" s="9">
        <f>VLOOKUP($C58,$C$83:$G$422,3,FALSE)</f>
        <v>0.11215242</v>
      </c>
      <c r="G58" s="9">
        <f>VLOOKUP($C58,$C$83:$G$422,4,FALSE)</f>
        <v>0.10903813</v>
      </c>
      <c r="H58" s="9">
        <f>VLOOKUP($C58,$C$83:$J$422,8,FALSE)</f>
        <v>0.10157135</v>
      </c>
      <c r="I58" s="9">
        <f>VLOOKUP($C58,$C$83:$J$422,6,FALSE)</f>
        <v>9.7752980000000003E-2</v>
      </c>
      <c r="J58" s="9">
        <f>VLOOKUP($C58,$C$83:$J$422,7,FALSE)</f>
        <v>9.3934610000000002E-2</v>
      </c>
      <c r="K58" s="9">
        <f>VLOOKUP($C58,$C$83:$M$422,11,FALSE)</f>
        <v>0.14326306999999999</v>
      </c>
      <c r="L58" s="9">
        <f>VLOOKUP($C58,$C$83:$M$422,9,FALSE)</f>
        <v>0.13794049999999999</v>
      </c>
      <c r="M58" s="9">
        <f>VLOOKUP($C58,$C$83:$M$422,10,FALSE)</f>
        <v>0.13261792999999999</v>
      </c>
    </row>
    <row r="59" spans="1:18" ht="1" customHeight="1">
      <c r="B59" s="9" t="str">
        <f t="shared" ref="B59:B77" si="0">$G$54</f>
        <v>Panama</v>
      </c>
      <c r="C59" s="9" t="str">
        <f t="shared" ref="C59:C77" si="1">CONCATENATE(B59,D59)</f>
        <v>Panama1996</v>
      </c>
      <c r="D59" s="9">
        <v>1996</v>
      </c>
      <c r="E59" s="9">
        <f t="shared" ref="E59:E77" si="2">VLOOKUP($C59,$C$83:$G$422,5,FALSE)</f>
        <v>0.12967085</v>
      </c>
      <c r="F59" s="9">
        <f t="shared" ref="F59:F77" si="3">VLOOKUP($C59,$C$83:$G$422,3,FALSE)</f>
        <v>0.12631116000000001</v>
      </c>
      <c r="G59" s="9">
        <f t="shared" ref="G59:G77" si="4">VLOOKUP($C59,$C$83:$G$422,4,FALSE)</f>
        <v>0.12295148</v>
      </c>
      <c r="H59" s="9">
        <f t="shared" ref="H59:H77" si="5">VLOOKUP($C59,$C$83:$J$422,8,FALSE)</f>
        <v>0.12044802</v>
      </c>
      <c r="I59" s="9">
        <f t="shared" ref="I59:I77" si="6">VLOOKUP($C59,$C$83:$J$422,6,FALSE)</f>
        <v>0.11625719</v>
      </c>
      <c r="J59" s="9">
        <f t="shared" ref="J59:J77" si="7">VLOOKUP($C59,$C$83:$J$422,7,FALSE)</f>
        <v>0.11206637</v>
      </c>
      <c r="K59" s="9">
        <f t="shared" ref="K59:K77" si="8">VLOOKUP($C59,$C$83:$M$422,11,FALSE)</f>
        <v>0.15077454000000001</v>
      </c>
      <c r="L59" s="9">
        <f t="shared" ref="L59:L77" si="9">VLOOKUP($C59,$C$83:$M$422,9,FALSE)</f>
        <v>0.14516677</v>
      </c>
      <c r="M59" s="9">
        <f t="shared" ref="M59:M77" si="10">VLOOKUP($C59,$C$83:$M$422,10,FALSE)</f>
        <v>0.13955901000000001</v>
      </c>
    </row>
    <row r="60" spans="1:18" ht="1" customHeight="1">
      <c r="B60" s="9" t="str">
        <f t="shared" si="0"/>
        <v>Panama</v>
      </c>
      <c r="C60" s="9" t="str">
        <f t="shared" si="1"/>
        <v>Panama1997</v>
      </c>
      <c r="D60" s="9">
        <v>1997</v>
      </c>
      <c r="E60" s="9">
        <f t="shared" si="2"/>
        <v>0.12844668000000001</v>
      </c>
      <c r="F60" s="9">
        <f t="shared" si="3"/>
        <v>0.12514232</v>
      </c>
      <c r="G60" s="9">
        <f t="shared" si="4"/>
        <v>0.12183796</v>
      </c>
      <c r="H60" s="9">
        <f t="shared" si="5"/>
        <v>0.12154007999999999</v>
      </c>
      <c r="I60" s="9">
        <f t="shared" si="6"/>
        <v>0.1172409</v>
      </c>
      <c r="J60" s="9">
        <f t="shared" si="7"/>
        <v>0.11294171</v>
      </c>
      <c r="K60" s="9">
        <f t="shared" si="8"/>
        <v>0.14339695999999999</v>
      </c>
      <c r="L60" s="9">
        <f t="shared" si="9"/>
        <v>0.13830580000000001</v>
      </c>
      <c r="M60" s="9">
        <f t="shared" si="10"/>
        <v>0.13321463</v>
      </c>
    </row>
    <row r="61" spans="1:18" ht="1" customHeight="1">
      <c r="B61" s="9" t="str">
        <f t="shared" si="0"/>
        <v>Panama</v>
      </c>
      <c r="C61" s="9" t="str">
        <f t="shared" si="1"/>
        <v>Panama1998</v>
      </c>
      <c r="D61" s="9">
        <v>1998</v>
      </c>
      <c r="E61" s="9">
        <f t="shared" si="2"/>
        <v>0.12911879000000001</v>
      </c>
      <c r="F61" s="9">
        <f t="shared" si="3"/>
        <v>0.12568509</v>
      </c>
      <c r="G61" s="9">
        <f t="shared" si="4"/>
        <v>0.12225139</v>
      </c>
      <c r="H61" s="9">
        <f t="shared" si="5"/>
        <v>0.12236319</v>
      </c>
      <c r="I61" s="9">
        <f t="shared" si="6"/>
        <v>0.11801196</v>
      </c>
      <c r="J61" s="9">
        <f t="shared" si="7"/>
        <v>0.11366072000000001</v>
      </c>
      <c r="K61" s="9">
        <f t="shared" si="8"/>
        <v>0.14546875000000001</v>
      </c>
      <c r="L61" s="9">
        <f t="shared" si="9"/>
        <v>0.13991822000000001</v>
      </c>
      <c r="M61" s="9">
        <f t="shared" si="10"/>
        <v>0.13436769000000001</v>
      </c>
    </row>
    <row r="62" spans="1:18" ht="1" customHeight="1">
      <c r="B62" s="9" t="str">
        <f t="shared" si="0"/>
        <v>Panama</v>
      </c>
      <c r="C62" s="9" t="str">
        <f t="shared" si="1"/>
        <v>Panama1999</v>
      </c>
      <c r="D62" s="9">
        <v>1999</v>
      </c>
      <c r="E62" s="9">
        <f t="shared" si="2"/>
        <v>0.12957969999999999</v>
      </c>
      <c r="F62" s="9">
        <f t="shared" si="3"/>
        <v>0.12636538</v>
      </c>
      <c r="G62" s="9">
        <f t="shared" si="4"/>
        <v>0.12315106000000001</v>
      </c>
      <c r="H62" s="9">
        <f t="shared" si="5"/>
        <v>0.12232187</v>
      </c>
      <c r="I62" s="9">
        <f t="shared" si="6"/>
        <v>0.11833200000000001</v>
      </c>
      <c r="J62" s="9">
        <f t="shared" si="7"/>
        <v>0.11434213</v>
      </c>
      <c r="K62" s="9">
        <f t="shared" si="8"/>
        <v>0.14679629999999999</v>
      </c>
      <c r="L62" s="9">
        <f t="shared" si="9"/>
        <v>0.14134278</v>
      </c>
      <c r="M62" s="9">
        <f t="shared" si="10"/>
        <v>0.13588926000000001</v>
      </c>
    </row>
    <row r="63" spans="1:18" ht="1" customHeight="1">
      <c r="B63" s="9" t="str">
        <f t="shared" si="0"/>
        <v>Panama</v>
      </c>
      <c r="C63" s="9" t="str">
        <f t="shared" si="1"/>
        <v>Panama2000</v>
      </c>
      <c r="D63" s="9">
        <v>2000</v>
      </c>
      <c r="E63" s="9">
        <f t="shared" si="2"/>
        <v>0.12672839999999999</v>
      </c>
      <c r="F63" s="9">
        <f t="shared" si="3"/>
        <v>0.12340009</v>
      </c>
      <c r="G63" s="9">
        <f t="shared" si="4"/>
        <v>0.12007178</v>
      </c>
      <c r="H63" s="9">
        <f t="shared" si="5"/>
        <v>0.12059699</v>
      </c>
      <c r="I63" s="9">
        <f t="shared" si="6"/>
        <v>0.11641636</v>
      </c>
      <c r="J63" s="9">
        <f t="shared" si="7"/>
        <v>0.11223572</v>
      </c>
      <c r="K63" s="9">
        <f t="shared" si="8"/>
        <v>0.14162680999999999</v>
      </c>
      <c r="L63" s="9">
        <f t="shared" si="9"/>
        <v>0.13609968</v>
      </c>
      <c r="M63" s="9">
        <f t="shared" si="10"/>
        <v>0.13057256</v>
      </c>
    </row>
    <row r="64" spans="1:18" ht="1" customHeight="1">
      <c r="B64" s="9" t="str">
        <f t="shared" si="0"/>
        <v>Panama</v>
      </c>
      <c r="C64" s="9" t="str">
        <f t="shared" si="1"/>
        <v>Panama2001</v>
      </c>
      <c r="D64" s="9">
        <v>2001</v>
      </c>
      <c r="E64" s="9">
        <f t="shared" si="2"/>
        <v>0.13020849000000001</v>
      </c>
      <c r="F64" s="9">
        <f t="shared" si="3"/>
        <v>0.12702843</v>
      </c>
      <c r="G64" s="9">
        <f t="shared" si="4"/>
        <v>0.12384837999999999</v>
      </c>
      <c r="H64" s="9">
        <f t="shared" si="5"/>
        <v>0.12119344999999999</v>
      </c>
      <c r="I64" s="9">
        <f t="shared" si="6"/>
        <v>0.1172236</v>
      </c>
      <c r="J64" s="9">
        <f t="shared" si="7"/>
        <v>0.11325374000000001</v>
      </c>
      <c r="K64" s="9">
        <f t="shared" si="8"/>
        <v>0.15015899999999999</v>
      </c>
      <c r="L64" s="9">
        <f t="shared" si="9"/>
        <v>0.14480075000000001</v>
      </c>
      <c r="M64" s="9">
        <f t="shared" si="10"/>
        <v>0.1394425</v>
      </c>
    </row>
    <row r="65" spans="2:13" ht="1" customHeight="1">
      <c r="B65" s="9" t="str">
        <f t="shared" si="0"/>
        <v>Panama</v>
      </c>
      <c r="C65" s="9" t="str">
        <f t="shared" si="1"/>
        <v>Panama2002</v>
      </c>
      <c r="D65" s="9">
        <v>2002</v>
      </c>
      <c r="E65" s="9">
        <f t="shared" si="2"/>
        <v>0.13843875999999999</v>
      </c>
      <c r="F65" s="9">
        <f t="shared" si="3"/>
        <v>0.13518231</v>
      </c>
      <c r="G65" s="9">
        <f t="shared" si="4"/>
        <v>0.13192587</v>
      </c>
      <c r="H65" s="9">
        <f t="shared" si="5"/>
        <v>0.12948745</v>
      </c>
      <c r="I65" s="9">
        <f t="shared" si="6"/>
        <v>0.12550521000000001</v>
      </c>
      <c r="J65" s="9">
        <f t="shared" si="7"/>
        <v>0.12152296999999999</v>
      </c>
      <c r="K65" s="9">
        <f t="shared" si="8"/>
        <v>0.15932995999999999</v>
      </c>
      <c r="L65" s="9">
        <f t="shared" si="9"/>
        <v>0.15371615999999999</v>
      </c>
      <c r="M65" s="9">
        <f t="shared" si="10"/>
        <v>0.14810237000000001</v>
      </c>
    </row>
    <row r="66" spans="2:13" ht="1" customHeight="1">
      <c r="B66" s="9" t="str">
        <f t="shared" si="0"/>
        <v>Panama</v>
      </c>
      <c r="C66" s="9" t="str">
        <f t="shared" si="1"/>
        <v>Panama2003</v>
      </c>
      <c r="D66" s="9">
        <v>2003</v>
      </c>
      <c r="E66" s="9">
        <f t="shared" si="2"/>
        <v>0.13260590999999999</v>
      </c>
      <c r="F66" s="9">
        <f t="shared" si="3"/>
        <v>0.12945153000000001</v>
      </c>
      <c r="G66" s="9">
        <f t="shared" si="4"/>
        <v>0.12629715999999999</v>
      </c>
      <c r="H66" s="9">
        <f t="shared" si="5"/>
        <v>0.12202882</v>
      </c>
      <c r="I66" s="9">
        <f t="shared" si="6"/>
        <v>0.11815458</v>
      </c>
      <c r="J66" s="9">
        <f t="shared" si="7"/>
        <v>0.11428033999999999</v>
      </c>
      <c r="K66" s="9">
        <f t="shared" si="8"/>
        <v>0.15498050999999999</v>
      </c>
      <c r="L66" s="9">
        <f t="shared" si="9"/>
        <v>0.14957867999999999</v>
      </c>
      <c r="M66" s="9">
        <f t="shared" si="10"/>
        <v>0.14417685</v>
      </c>
    </row>
    <row r="67" spans="2:13" ht="1" customHeight="1">
      <c r="B67" s="9" t="str">
        <f t="shared" si="0"/>
        <v>Panama</v>
      </c>
      <c r="C67" s="9" t="str">
        <f t="shared" si="1"/>
        <v>Panama2004</v>
      </c>
      <c r="D67" s="9">
        <v>2004</v>
      </c>
      <c r="E67" s="9">
        <f t="shared" si="2"/>
        <v>0.13816841999999999</v>
      </c>
      <c r="F67" s="9">
        <f t="shared" si="3"/>
        <v>0.13482324000000001</v>
      </c>
      <c r="G67" s="9">
        <f t="shared" si="4"/>
        <v>0.13147806000000001</v>
      </c>
      <c r="H67" s="9">
        <f t="shared" si="5"/>
        <v>0.12292338999999999</v>
      </c>
      <c r="I67" s="9">
        <f t="shared" si="6"/>
        <v>0.11875426</v>
      </c>
      <c r="J67" s="9">
        <f t="shared" si="7"/>
        <v>0.11458512</v>
      </c>
      <c r="K67" s="9">
        <f t="shared" si="8"/>
        <v>0.16639958999999999</v>
      </c>
      <c r="L67" s="9">
        <f t="shared" si="9"/>
        <v>0.1609758</v>
      </c>
      <c r="M67" s="9">
        <f t="shared" si="10"/>
        <v>0.15555200999999999</v>
      </c>
    </row>
    <row r="68" spans="2:13" ht="1" customHeight="1">
      <c r="B68" s="9" t="str">
        <f t="shared" si="0"/>
        <v>Panama</v>
      </c>
      <c r="C68" s="9" t="str">
        <f t="shared" si="1"/>
        <v>Panama2005</v>
      </c>
      <c r="D68" s="9">
        <v>2005</v>
      </c>
      <c r="E68" s="9">
        <f t="shared" si="2"/>
        <v>0.13666382999999999</v>
      </c>
      <c r="F68" s="9">
        <f t="shared" si="3"/>
        <v>0.13319438</v>
      </c>
      <c r="G68" s="9">
        <f t="shared" si="4"/>
        <v>0.12972492999999999</v>
      </c>
      <c r="H68" s="9">
        <f t="shared" si="5"/>
        <v>0.12163188</v>
      </c>
      <c r="I68" s="9">
        <f t="shared" si="6"/>
        <v>0.11742295</v>
      </c>
      <c r="J68" s="9">
        <f t="shared" si="7"/>
        <v>0.11321402</v>
      </c>
      <c r="K68" s="9">
        <f t="shared" si="8"/>
        <v>0.16459858999999999</v>
      </c>
      <c r="L68" s="9">
        <f t="shared" si="9"/>
        <v>0.15882103</v>
      </c>
      <c r="M68" s="9">
        <f t="shared" si="10"/>
        <v>0.15304348000000001</v>
      </c>
    </row>
    <row r="69" spans="2:13" ht="1" customHeight="1">
      <c r="B69" s="9" t="str">
        <f t="shared" si="0"/>
        <v>Panama</v>
      </c>
      <c r="C69" s="9" t="str">
        <f t="shared" si="1"/>
        <v>Panama2006</v>
      </c>
      <c r="D69" s="9">
        <v>2006</v>
      </c>
      <c r="E69" s="9">
        <f t="shared" si="2"/>
        <v>0.13884236999999999</v>
      </c>
      <c r="F69" s="9">
        <f t="shared" si="3"/>
        <v>0.13527313999999999</v>
      </c>
      <c r="G69" s="9">
        <f t="shared" si="4"/>
        <v>0.13170392</v>
      </c>
      <c r="H69" s="9">
        <f t="shared" si="5"/>
        <v>0.12312774999999999</v>
      </c>
      <c r="I69" s="9">
        <f t="shared" si="6"/>
        <v>0.11870053</v>
      </c>
      <c r="J69" s="9">
        <f t="shared" si="7"/>
        <v>0.11427331</v>
      </c>
      <c r="K69" s="9">
        <f t="shared" si="8"/>
        <v>0.16775819</v>
      </c>
      <c r="L69" s="9">
        <f t="shared" si="9"/>
        <v>0.16187510999999999</v>
      </c>
      <c r="M69" s="9">
        <f t="shared" si="10"/>
        <v>0.15599203</v>
      </c>
    </row>
    <row r="70" spans="2:13" ht="1" customHeight="1">
      <c r="B70" s="9" t="str">
        <f t="shared" si="0"/>
        <v>Panama</v>
      </c>
      <c r="C70" s="9" t="str">
        <f t="shared" si="1"/>
        <v>Panama2007</v>
      </c>
      <c r="D70" s="9">
        <v>2007</v>
      </c>
      <c r="E70" s="9">
        <f t="shared" si="2"/>
        <v>0.12849431</v>
      </c>
      <c r="F70" s="9">
        <f t="shared" si="3"/>
        <v>0.12531661999999999</v>
      </c>
      <c r="G70" s="9">
        <f t="shared" si="4"/>
        <v>0.12213894</v>
      </c>
      <c r="H70" s="9">
        <f t="shared" si="5"/>
        <v>0.11182801000000001</v>
      </c>
      <c r="I70" s="9">
        <f t="shared" si="6"/>
        <v>0.10794263</v>
      </c>
      <c r="J70" s="9">
        <f t="shared" si="7"/>
        <v>0.10405726</v>
      </c>
      <c r="K70" s="9">
        <f t="shared" si="8"/>
        <v>0.15646283</v>
      </c>
      <c r="L70" s="9">
        <f t="shared" si="9"/>
        <v>0.15113679999999999</v>
      </c>
      <c r="M70" s="9">
        <f t="shared" si="10"/>
        <v>0.14581076000000001</v>
      </c>
    </row>
    <row r="71" spans="2:13" ht="1" customHeight="1">
      <c r="B71" s="9" t="str">
        <f t="shared" si="0"/>
        <v>Panama</v>
      </c>
      <c r="C71" s="9" t="str">
        <f t="shared" si="1"/>
        <v>Panama2008</v>
      </c>
      <c r="D71" s="9">
        <v>2008</v>
      </c>
      <c r="E71" s="9">
        <f t="shared" si="2"/>
        <v>0.12996694</v>
      </c>
      <c r="F71" s="9">
        <f t="shared" si="3"/>
        <v>0.12648648000000001</v>
      </c>
      <c r="G71" s="9">
        <f t="shared" si="4"/>
        <v>0.12300603</v>
      </c>
      <c r="H71" s="9">
        <f t="shared" si="5"/>
        <v>0.11463225</v>
      </c>
      <c r="I71" s="9">
        <f t="shared" si="6"/>
        <v>0.11029016</v>
      </c>
      <c r="J71" s="9">
        <f t="shared" si="7"/>
        <v>0.10594806</v>
      </c>
      <c r="K71" s="9">
        <f t="shared" si="8"/>
        <v>0.15637403</v>
      </c>
      <c r="L71" s="9">
        <f t="shared" si="9"/>
        <v>0.15065353000000001</v>
      </c>
      <c r="M71" s="9">
        <f t="shared" si="10"/>
        <v>0.14493302</v>
      </c>
    </row>
    <row r="72" spans="2:13" ht="1" customHeight="1">
      <c r="B72" s="9" t="str">
        <f t="shared" si="0"/>
        <v>Panama</v>
      </c>
      <c r="C72" s="9" t="str">
        <f t="shared" si="1"/>
        <v>Panama2009</v>
      </c>
      <c r="D72" s="9">
        <v>2009</v>
      </c>
      <c r="E72" s="9">
        <f t="shared" si="2"/>
        <v>0.130583</v>
      </c>
      <c r="F72" s="9">
        <f t="shared" si="3"/>
        <v>0.12723587</v>
      </c>
      <c r="G72" s="9">
        <f t="shared" si="4"/>
        <v>0.12388873</v>
      </c>
      <c r="H72" s="9">
        <f t="shared" si="5"/>
        <v>0.1142947</v>
      </c>
      <c r="I72" s="9">
        <f t="shared" si="6"/>
        <v>0.11016708</v>
      </c>
      <c r="J72" s="9">
        <f t="shared" si="7"/>
        <v>0.10603946</v>
      </c>
      <c r="K72" s="9">
        <f t="shared" si="8"/>
        <v>0.1571475</v>
      </c>
      <c r="L72" s="9">
        <f t="shared" si="9"/>
        <v>0.15171275000000001</v>
      </c>
      <c r="M72" s="9">
        <f t="shared" si="10"/>
        <v>0.14627799999999999</v>
      </c>
    </row>
    <row r="73" spans="2:13" ht="1" customHeight="1">
      <c r="B73" s="9" t="str">
        <f t="shared" si="0"/>
        <v>Panama</v>
      </c>
      <c r="C73" s="9" t="str">
        <f t="shared" si="1"/>
        <v>Panama2010</v>
      </c>
      <c r="D73" s="9">
        <v>2010</v>
      </c>
      <c r="E73" s="9">
        <f t="shared" si="2"/>
        <v>0.12961352000000001</v>
      </c>
      <c r="F73" s="9">
        <f t="shared" si="3"/>
        <v>0.12615317000000001</v>
      </c>
      <c r="G73" s="9">
        <f t="shared" si="4"/>
        <v>0.12269281999999999</v>
      </c>
      <c r="H73" s="9">
        <f t="shared" si="5"/>
        <v>0.11691261999999999</v>
      </c>
      <c r="I73" s="9">
        <f t="shared" si="6"/>
        <v>0.11265712</v>
      </c>
      <c r="J73" s="9">
        <f t="shared" si="7"/>
        <v>0.10840163</v>
      </c>
      <c r="K73" s="9">
        <f t="shared" si="8"/>
        <v>0.15140957999999999</v>
      </c>
      <c r="L73" s="9">
        <f t="shared" si="9"/>
        <v>0.14566925999999999</v>
      </c>
      <c r="M73" s="9">
        <f t="shared" si="10"/>
        <v>0.13992894</v>
      </c>
    </row>
    <row r="74" spans="2:13" ht="1" customHeight="1">
      <c r="B74" s="9" t="str">
        <f t="shared" si="0"/>
        <v>Panama</v>
      </c>
      <c r="C74" s="9" t="str">
        <f t="shared" si="1"/>
        <v>Panama2011</v>
      </c>
      <c r="D74" s="9">
        <v>2011</v>
      </c>
      <c r="E74" s="9">
        <f t="shared" si="2"/>
        <v>0.12184526</v>
      </c>
      <c r="F74" s="9">
        <f t="shared" si="3"/>
        <v>0.11839309000000001</v>
      </c>
      <c r="G74" s="9">
        <f t="shared" si="4"/>
        <v>0.11494093</v>
      </c>
      <c r="H74" s="9">
        <f t="shared" si="5"/>
        <v>0.10796910999999999</v>
      </c>
      <c r="I74" s="9">
        <f t="shared" si="6"/>
        <v>0.1036711</v>
      </c>
      <c r="J74" s="9">
        <f t="shared" si="7"/>
        <v>9.9373100000000006E-2</v>
      </c>
      <c r="K74" s="9">
        <f t="shared" si="8"/>
        <v>0.14604867999999999</v>
      </c>
      <c r="L74" s="9">
        <f t="shared" si="9"/>
        <v>0.14033219999999999</v>
      </c>
      <c r="M74" s="9">
        <f t="shared" si="10"/>
        <v>0.13461571</v>
      </c>
    </row>
    <row r="75" spans="2:13" ht="1" customHeight="1">
      <c r="B75" s="9" t="str">
        <f t="shared" si="0"/>
        <v>Panama</v>
      </c>
      <c r="C75" s="9" t="str">
        <f t="shared" si="1"/>
        <v>Panama2012</v>
      </c>
      <c r="D75" s="9">
        <v>2012</v>
      </c>
      <c r="E75" s="9">
        <f t="shared" si="2"/>
        <v>0.12315624999999999</v>
      </c>
      <c r="F75" s="9">
        <f t="shared" si="3"/>
        <v>0.119868</v>
      </c>
      <c r="G75" s="9">
        <f t="shared" si="4"/>
        <v>0.11657974</v>
      </c>
      <c r="H75" s="9">
        <f t="shared" si="5"/>
        <v>0.10777866</v>
      </c>
      <c r="I75" s="9">
        <f t="shared" si="6"/>
        <v>0.10374313</v>
      </c>
      <c r="J75" s="9">
        <f t="shared" si="7"/>
        <v>9.9707589999999999E-2</v>
      </c>
      <c r="K75" s="9">
        <f t="shared" si="8"/>
        <v>0.14858901999999999</v>
      </c>
      <c r="L75" s="9">
        <f t="shared" si="9"/>
        <v>0.14306455000000001</v>
      </c>
      <c r="M75" s="9">
        <f t="shared" si="10"/>
        <v>0.13754008000000001</v>
      </c>
    </row>
    <row r="76" spans="2:13" ht="1" customHeight="1">
      <c r="B76" s="9" t="str">
        <f t="shared" si="0"/>
        <v>Panama</v>
      </c>
      <c r="C76" s="9" t="str">
        <f t="shared" si="1"/>
        <v>Panama2013</v>
      </c>
      <c r="D76" s="9">
        <v>2013</v>
      </c>
      <c r="E76" s="9">
        <f t="shared" si="2"/>
        <v>0.12315727999999999</v>
      </c>
      <c r="F76" s="9">
        <f t="shared" si="3"/>
        <v>0.11969531</v>
      </c>
      <c r="G76" s="9">
        <f t="shared" si="4"/>
        <v>0.11623334</v>
      </c>
      <c r="H76" s="9">
        <f t="shared" si="5"/>
        <v>0.10530644</v>
      </c>
      <c r="I76" s="9">
        <f t="shared" si="6"/>
        <v>0.10114945</v>
      </c>
      <c r="J76" s="9">
        <f t="shared" si="7"/>
        <v>9.6992449999999994E-2</v>
      </c>
      <c r="K76" s="9">
        <f t="shared" si="8"/>
        <v>0.15409054999999999</v>
      </c>
      <c r="L76" s="9">
        <f t="shared" si="9"/>
        <v>0.14825384999999999</v>
      </c>
      <c r="M76" s="9">
        <f t="shared" si="10"/>
        <v>0.14241715999999999</v>
      </c>
    </row>
    <row r="77" spans="2:13" ht="1" customHeight="1">
      <c r="B77" s="9" t="str">
        <f t="shared" si="0"/>
        <v>Panama</v>
      </c>
      <c r="C77" s="9" t="str">
        <f t="shared" si="1"/>
        <v>Panama2014</v>
      </c>
      <c r="D77" s="9">
        <v>2014</v>
      </c>
      <c r="E77" s="9">
        <f t="shared" si="2"/>
        <v>0.12036380000000001</v>
      </c>
      <c r="F77" s="9">
        <f t="shared" si="3"/>
        <v>0.11685710000000001</v>
      </c>
      <c r="G77" s="9">
        <f t="shared" si="4"/>
        <v>0.11335041</v>
      </c>
      <c r="H77" s="9">
        <f t="shared" si="5"/>
        <v>0.10206156</v>
      </c>
      <c r="I77" s="9">
        <f t="shared" si="6"/>
        <v>9.7480300000000006E-2</v>
      </c>
      <c r="J77" s="9">
        <f t="shared" si="7"/>
        <v>9.2899040000000002E-2</v>
      </c>
      <c r="K77" s="9">
        <f t="shared" si="8"/>
        <v>0.14833679</v>
      </c>
      <c r="L77" s="9">
        <f t="shared" si="9"/>
        <v>0.14295731</v>
      </c>
      <c r="M77" s="9">
        <f t="shared" si="10"/>
        <v>0.13757783000000001</v>
      </c>
    </row>
    <row r="78" spans="2:13" ht="1" customHeight="1"/>
    <row r="79" spans="2:13" ht="1" customHeight="1"/>
    <row r="80" spans="2:13" ht="1" customHeight="1"/>
    <row r="81" spans="2:13" ht="1" customHeight="1"/>
    <row r="82" spans="2:13" ht="1" customHeight="1">
      <c r="B82" s="9" t="s">
        <v>31</v>
      </c>
      <c r="C82" s="9" t="s">
        <v>251</v>
      </c>
      <c r="D82" s="9" t="s">
        <v>17</v>
      </c>
      <c r="E82" s="9" t="s">
        <v>245</v>
      </c>
      <c r="F82" s="9" t="s">
        <v>246</v>
      </c>
      <c r="G82" s="9" t="s">
        <v>244</v>
      </c>
      <c r="H82" s="9" t="s">
        <v>245</v>
      </c>
      <c r="I82" s="9" t="s">
        <v>246</v>
      </c>
      <c r="J82" s="9" t="s">
        <v>244</v>
      </c>
      <c r="K82" s="9" t="s">
        <v>245</v>
      </c>
      <c r="L82" s="9" t="s">
        <v>246</v>
      </c>
      <c r="M82" s="9" t="s">
        <v>244</v>
      </c>
    </row>
    <row r="83" spans="2:13" ht="1" customHeight="1">
      <c r="B83" s="9" t="s">
        <v>20</v>
      </c>
      <c r="C83" s="9" t="str">
        <f>CONCATENATE(B83,D83)</f>
        <v>Latin America and the Caribbean1995</v>
      </c>
      <c r="D83" s="9">
        <v>1995</v>
      </c>
      <c r="E83" s="9">
        <v>0.11561272</v>
      </c>
      <c r="F83" s="9">
        <v>0.11451585</v>
      </c>
      <c r="G83" s="9">
        <v>0.11670959</v>
      </c>
      <c r="H83" s="9">
        <v>0.11000465</v>
      </c>
      <c r="I83" s="9">
        <v>0.10869522</v>
      </c>
      <c r="J83" s="9">
        <v>0.11131408</v>
      </c>
      <c r="K83" s="9">
        <v>0.12450885</v>
      </c>
      <c r="L83" s="9">
        <v>0.12259006</v>
      </c>
      <c r="M83" s="9">
        <v>0.12642763000000001</v>
      </c>
    </row>
    <row r="84" spans="2:13" ht="1" customHeight="1">
      <c r="B84" s="9" t="s">
        <v>20</v>
      </c>
      <c r="C84" s="9" t="str">
        <f t="shared" ref="C84:C147" si="11">CONCATENATE(B84,D84)</f>
        <v>Latin America and the Caribbean1996</v>
      </c>
      <c r="D84" s="9">
        <v>1996</v>
      </c>
      <c r="E84" s="9">
        <v>0.11432508</v>
      </c>
      <c r="F84" s="9">
        <v>0.11321753</v>
      </c>
      <c r="G84" s="9">
        <v>0.11543262999999999</v>
      </c>
      <c r="H84" s="9">
        <v>0.10912705</v>
      </c>
      <c r="I84" s="9">
        <v>0.10780445</v>
      </c>
      <c r="J84" s="9">
        <v>0.11044964</v>
      </c>
      <c r="K84" s="9">
        <v>0.12253205</v>
      </c>
      <c r="L84" s="9">
        <v>0.12059217</v>
      </c>
      <c r="M84" s="9">
        <v>0.12447192999999999</v>
      </c>
    </row>
    <row r="85" spans="2:13" ht="1" customHeight="1">
      <c r="B85" s="9" t="s">
        <v>20</v>
      </c>
      <c r="C85" s="9" t="str">
        <f t="shared" si="11"/>
        <v>Latin America and the Caribbean1997</v>
      </c>
      <c r="D85" s="9">
        <v>1997</v>
      </c>
      <c r="E85" s="9">
        <v>0.12029078999999999</v>
      </c>
      <c r="F85" s="9">
        <v>0.11908448000000001</v>
      </c>
      <c r="G85" s="9">
        <v>0.1214971</v>
      </c>
      <c r="H85" s="9">
        <v>0.11395738</v>
      </c>
      <c r="I85" s="9">
        <v>0.11250507999999999</v>
      </c>
      <c r="J85" s="9">
        <v>0.11540968</v>
      </c>
      <c r="K85" s="9">
        <v>0.13014100000000001</v>
      </c>
      <c r="L85" s="9">
        <v>0.12806289000000001</v>
      </c>
      <c r="M85" s="9">
        <v>0.13221911</v>
      </c>
    </row>
    <row r="86" spans="2:13" ht="1" customHeight="1">
      <c r="B86" s="9" t="s">
        <v>20</v>
      </c>
      <c r="C86" s="9" t="str">
        <f t="shared" si="11"/>
        <v>Latin America and the Caribbean1998</v>
      </c>
      <c r="D86" s="9">
        <v>1998</v>
      </c>
      <c r="E86" s="9">
        <v>0.12725736000000001</v>
      </c>
      <c r="F86" s="9">
        <v>0.12468345</v>
      </c>
      <c r="G86" s="9">
        <v>0.12983126</v>
      </c>
      <c r="H86" s="9">
        <v>0.12491059</v>
      </c>
      <c r="I86" s="9">
        <v>0.12158125</v>
      </c>
      <c r="J86" s="9">
        <v>0.12823994</v>
      </c>
      <c r="K86" s="9">
        <v>0.13221844999999999</v>
      </c>
      <c r="L86" s="9">
        <v>0.12811660999999999</v>
      </c>
      <c r="M86" s="9">
        <v>0.13632029000000001</v>
      </c>
    </row>
    <row r="87" spans="2:13" ht="1" customHeight="1">
      <c r="B87" s="9" t="s">
        <v>20</v>
      </c>
      <c r="C87" s="9" t="str">
        <f t="shared" si="11"/>
        <v>Latin America and the Caribbean1999</v>
      </c>
      <c r="D87" s="9">
        <v>1999</v>
      </c>
      <c r="E87" s="9">
        <v>0.11711921</v>
      </c>
      <c r="F87" s="9">
        <v>0.11569063</v>
      </c>
      <c r="G87" s="9">
        <v>0.11854779</v>
      </c>
      <c r="H87" s="9">
        <v>0.10922047999999999</v>
      </c>
      <c r="I87" s="9">
        <v>0.10740168999999999</v>
      </c>
      <c r="J87" s="9">
        <v>0.11103926</v>
      </c>
      <c r="K87" s="9">
        <v>0.12954853</v>
      </c>
      <c r="L87" s="9">
        <v>0.12726625</v>
      </c>
      <c r="M87" s="9">
        <v>0.13183080999999999</v>
      </c>
    </row>
    <row r="88" spans="2:13" ht="1" customHeight="1">
      <c r="B88" s="9" t="s">
        <v>20</v>
      </c>
      <c r="C88" s="9" t="str">
        <f t="shared" si="11"/>
        <v>Latin America and the Caribbean2000</v>
      </c>
      <c r="D88" s="9">
        <v>2000</v>
      </c>
      <c r="E88" s="9">
        <v>0.11490199</v>
      </c>
      <c r="F88" s="9">
        <v>0.11356198000000001</v>
      </c>
      <c r="G88" s="9">
        <v>0.116242</v>
      </c>
      <c r="H88" s="9">
        <v>0.10759078</v>
      </c>
      <c r="I88" s="9">
        <v>0.10588229</v>
      </c>
      <c r="J88" s="9">
        <v>0.10929927</v>
      </c>
      <c r="K88" s="9">
        <v>0.12603944</v>
      </c>
      <c r="L88" s="9">
        <v>0.12391276</v>
      </c>
      <c r="M88" s="9">
        <v>0.12816612999999999</v>
      </c>
    </row>
    <row r="89" spans="2:13" ht="1" customHeight="1">
      <c r="B89" s="9" t="s">
        <v>20</v>
      </c>
      <c r="C89" s="9" t="str">
        <f t="shared" si="11"/>
        <v>Latin America and the Caribbean2001</v>
      </c>
      <c r="D89" s="9">
        <v>2001</v>
      </c>
      <c r="E89" s="9">
        <v>0.11762678999999999</v>
      </c>
      <c r="F89" s="9">
        <v>0.11639322000000001</v>
      </c>
      <c r="G89" s="9">
        <v>0.11886037000000001</v>
      </c>
      <c r="H89" s="9">
        <v>0.10939705</v>
      </c>
      <c r="I89" s="9">
        <v>0.1080011</v>
      </c>
      <c r="J89" s="9">
        <v>0.11079298999999999</v>
      </c>
      <c r="K89" s="9">
        <v>0.12931988999999999</v>
      </c>
      <c r="L89" s="9">
        <v>0.12711876999999999</v>
      </c>
      <c r="M89" s="9">
        <v>0.131521</v>
      </c>
    </row>
    <row r="90" spans="2:13" ht="1" customHeight="1">
      <c r="B90" s="9" t="s">
        <v>20</v>
      </c>
      <c r="C90" s="9" t="str">
        <f t="shared" si="11"/>
        <v>Latin America and the Caribbean2002</v>
      </c>
      <c r="D90" s="9">
        <v>2002</v>
      </c>
      <c r="E90" s="9">
        <v>0.11706968</v>
      </c>
      <c r="F90" s="9">
        <v>0.11588133</v>
      </c>
      <c r="G90" s="9">
        <v>0.11825803999999999</v>
      </c>
      <c r="H90" s="9">
        <v>0.10876094</v>
      </c>
      <c r="I90" s="9">
        <v>0.10740825</v>
      </c>
      <c r="J90" s="9">
        <v>0.11011362</v>
      </c>
      <c r="K90" s="9">
        <v>0.12926001000000001</v>
      </c>
      <c r="L90" s="9">
        <v>0.12715419</v>
      </c>
      <c r="M90" s="9">
        <v>0.13136581999999999</v>
      </c>
    </row>
    <row r="91" spans="2:13" ht="1" customHeight="1">
      <c r="B91" s="9" t="s">
        <v>20</v>
      </c>
      <c r="C91" s="9" t="str">
        <f t="shared" si="11"/>
        <v>Latin America and the Caribbean2003</v>
      </c>
      <c r="D91" s="9">
        <v>2003</v>
      </c>
      <c r="E91" s="9">
        <v>0.11073470000000001</v>
      </c>
      <c r="F91" s="9">
        <v>0.10962812</v>
      </c>
      <c r="G91" s="9">
        <v>0.11184127000000001</v>
      </c>
      <c r="H91" s="9">
        <v>0.10351115</v>
      </c>
      <c r="I91" s="9">
        <v>0.10224936</v>
      </c>
      <c r="J91" s="9">
        <v>0.10477293999999999</v>
      </c>
      <c r="K91" s="9">
        <v>0.12114104000000001</v>
      </c>
      <c r="L91" s="9">
        <v>0.11909330999999999</v>
      </c>
      <c r="M91" s="9">
        <v>0.12318878</v>
      </c>
    </row>
    <row r="92" spans="2:13" ht="1" customHeight="1">
      <c r="B92" s="9" t="s">
        <v>20</v>
      </c>
      <c r="C92" s="9" t="str">
        <f t="shared" si="11"/>
        <v>Latin America and the Caribbean2004</v>
      </c>
      <c r="D92" s="9">
        <v>2004</v>
      </c>
      <c r="E92" s="9">
        <v>0.1087027</v>
      </c>
      <c r="F92" s="9">
        <v>0.10764501</v>
      </c>
      <c r="G92" s="9">
        <v>0.10976039</v>
      </c>
      <c r="H92" s="9">
        <v>0.10161965000000001</v>
      </c>
      <c r="I92" s="9">
        <v>0.10041507</v>
      </c>
      <c r="J92" s="9">
        <v>0.10282421999999999</v>
      </c>
      <c r="K92" s="9">
        <v>0.11893032000000001</v>
      </c>
      <c r="L92" s="9">
        <v>0.11698111999999999</v>
      </c>
      <c r="M92" s="9">
        <v>0.12087953</v>
      </c>
    </row>
    <row r="93" spans="2:13" ht="1" customHeight="1">
      <c r="B93" s="9" t="s">
        <v>20</v>
      </c>
      <c r="C93" s="9" t="str">
        <f t="shared" si="11"/>
        <v>Latin America and the Caribbean2005</v>
      </c>
      <c r="D93" s="9">
        <v>2005</v>
      </c>
      <c r="E93" s="9">
        <v>0.10722399000000001</v>
      </c>
      <c r="F93" s="9">
        <v>0.10634093999999999</v>
      </c>
      <c r="G93" s="9">
        <v>0.10810704</v>
      </c>
      <c r="H93" s="9">
        <v>9.8620970000000002E-2</v>
      </c>
      <c r="I93" s="9">
        <v>9.7544359999999997E-2</v>
      </c>
      <c r="J93" s="9">
        <v>9.9697590000000003E-2</v>
      </c>
      <c r="K93" s="9">
        <v>0.11935610000000001</v>
      </c>
      <c r="L93" s="9">
        <v>0.11787329000000001</v>
      </c>
      <c r="M93" s="9">
        <v>0.12083890999999999</v>
      </c>
    </row>
    <row r="94" spans="2:13" ht="1" customHeight="1">
      <c r="B94" s="9" t="s">
        <v>20</v>
      </c>
      <c r="C94" s="9" t="str">
        <f t="shared" si="11"/>
        <v>Latin America and the Caribbean2006</v>
      </c>
      <c r="D94" s="9">
        <v>2006</v>
      </c>
      <c r="E94" s="9">
        <v>0.10751868000000001</v>
      </c>
      <c r="F94" s="9">
        <v>0.10649959000000001</v>
      </c>
      <c r="G94" s="9">
        <v>0.10853778</v>
      </c>
      <c r="H94" s="9">
        <v>9.6480949999999996E-2</v>
      </c>
      <c r="I94" s="9">
        <v>9.5305189999999998E-2</v>
      </c>
      <c r="J94" s="9">
        <v>9.7656699999999999E-2</v>
      </c>
      <c r="K94" s="9">
        <v>0.1223838</v>
      </c>
      <c r="L94" s="9">
        <v>0.12060113</v>
      </c>
      <c r="M94" s="9">
        <v>0.12416648</v>
      </c>
    </row>
    <row r="95" spans="2:13" ht="1" customHeight="1">
      <c r="B95" s="9" t="s">
        <v>20</v>
      </c>
      <c r="C95" s="9" t="str">
        <f t="shared" si="11"/>
        <v>Latin America and the Caribbean2007</v>
      </c>
      <c r="D95" s="9">
        <v>2007</v>
      </c>
      <c r="E95" s="9">
        <v>0.10445793</v>
      </c>
      <c r="F95" s="9">
        <v>0.10361430000000001</v>
      </c>
      <c r="G95" s="9">
        <v>0.10530154999999999</v>
      </c>
      <c r="H95" s="9">
        <v>9.5247239999999997E-2</v>
      </c>
      <c r="I95" s="9">
        <v>9.4182119999999994E-2</v>
      </c>
      <c r="J95" s="9">
        <v>9.631236E-2</v>
      </c>
      <c r="K95" s="9">
        <v>0.11727002</v>
      </c>
      <c r="L95" s="9">
        <v>0.11590043</v>
      </c>
      <c r="M95" s="9">
        <v>0.1186396</v>
      </c>
    </row>
    <row r="96" spans="2:13" ht="1" customHeight="1">
      <c r="B96" s="9" t="s">
        <v>20</v>
      </c>
      <c r="C96" s="9" t="str">
        <f t="shared" si="11"/>
        <v>Latin America and the Caribbean2008</v>
      </c>
      <c r="D96" s="9">
        <v>2008</v>
      </c>
      <c r="E96" s="9">
        <v>0.10299766</v>
      </c>
      <c r="F96" s="9">
        <v>0.10214694000000001</v>
      </c>
      <c r="G96" s="9">
        <v>0.10384838</v>
      </c>
      <c r="H96" s="9">
        <v>9.3372269999999993E-2</v>
      </c>
      <c r="I96" s="9">
        <v>9.2307420000000001E-2</v>
      </c>
      <c r="J96" s="9">
        <v>9.4437119999999999E-2</v>
      </c>
      <c r="K96" s="9">
        <v>0.11665781</v>
      </c>
      <c r="L96" s="9">
        <v>0.11525779999999999</v>
      </c>
      <c r="M96" s="9">
        <v>0.11805781</v>
      </c>
    </row>
    <row r="97" spans="2:13" ht="1" customHeight="1">
      <c r="B97" s="9" t="s">
        <v>20</v>
      </c>
      <c r="C97" s="9" t="str">
        <f t="shared" si="11"/>
        <v>Latin America and the Caribbean2009</v>
      </c>
      <c r="D97" s="9">
        <v>2009</v>
      </c>
      <c r="E97" s="9">
        <v>0.10157594</v>
      </c>
      <c r="F97" s="9">
        <v>0.10072182</v>
      </c>
      <c r="G97" s="9">
        <v>0.10243004999999999</v>
      </c>
      <c r="H97" s="9">
        <v>9.1853229999999994E-2</v>
      </c>
      <c r="I97" s="9">
        <v>9.0792700000000004E-2</v>
      </c>
      <c r="J97" s="9">
        <v>9.2913759999999998E-2</v>
      </c>
      <c r="K97" s="9">
        <v>0.11513165</v>
      </c>
      <c r="L97" s="9">
        <v>0.11371584</v>
      </c>
      <c r="M97" s="9">
        <v>0.11654745</v>
      </c>
    </row>
    <row r="98" spans="2:13" ht="1" customHeight="1">
      <c r="B98" s="9" t="s">
        <v>20</v>
      </c>
      <c r="C98" s="9" t="str">
        <f t="shared" si="11"/>
        <v>Latin America and the Caribbean2010</v>
      </c>
      <c r="D98" s="9">
        <v>2010</v>
      </c>
      <c r="E98" s="9">
        <v>9.689826E-2</v>
      </c>
      <c r="F98" s="9">
        <v>9.6051280000000003E-2</v>
      </c>
      <c r="G98" s="9">
        <v>9.7745239999999997E-2</v>
      </c>
      <c r="H98" s="9">
        <v>8.7618050000000003E-2</v>
      </c>
      <c r="I98" s="9">
        <v>8.6570350000000004E-2</v>
      </c>
      <c r="J98" s="9">
        <v>8.8665750000000002E-2</v>
      </c>
      <c r="K98" s="9">
        <v>0.10963008</v>
      </c>
      <c r="L98" s="9">
        <v>0.1082169</v>
      </c>
      <c r="M98" s="9">
        <v>0.11104327</v>
      </c>
    </row>
    <row r="99" spans="2:13" ht="1" customHeight="1">
      <c r="B99" s="9" t="s">
        <v>20</v>
      </c>
      <c r="C99" s="9" t="str">
        <f t="shared" si="11"/>
        <v>Latin America and the Caribbean2011</v>
      </c>
      <c r="D99" s="9">
        <v>2011</v>
      </c>
      <c r="E99" s="9">
        <v>9.887021E-2</v>
      </c>
      <c r="F99" s="9">
        <v>9.75409E-2</v>
      </c>
      <c r="G99" s="9">
        <v>0.10019952</v>
      </c>
      <c r="H99" s="9">
        <v>8.7276210000000007E-2</v>
      </c>
      <c r="I99" s="9">
        <v>8.5743760000000002E-2</v>
      </c>
      <c r="J99" s="9">
        <v>8.8808659999999998E-2</v>
      </c>
      <c r="K99" s="9">
        <v>0.11415723999999999</v>
      </c>
      <c r="L99" s="9">
        <v>0.1118031</v>
      </c>
      <c r="M99" s="9">
        <v>0.11651139000000001</v>
      </c>
    </row>
    <row r="100" spans="2:13" ht="1" customHeight="1">
      <c r="B100" s="9" t="s">
        <v>20</v>
      </c>
      <c r="C100" s="9" t="str">
        <f t="shared" si="11"/>
        <v>Latin America and the Caribbean2012</v>
      </c>
      <c r="D100" s="9">
        <v>2012</v>
      </c>
      <c r="E100" s="9">
        <v>0.10083795</v>
      </c>
      <c r="F100" s="9">
        <v>9.9507380000000006E-2</v>
      </c>
      <c r="G100" s="9">
        <v>0.10216852999999999</v>
      </c>
      <c r="H100" s="9">
        <v>8.9557979999999995E-2</v>
      </c>
      <c r="I100" s="9">
        <v>8.802169E-2</v>
      </c>
      <c r="J100" s="9">
        <v>9.1094259999999996E-2</v>
      </c>
      <c r="K100" s="9">
        <v>0.11571895</v>
      </c>
      <c r="L100" s="9">
        <v>0.11336722</v>
      </c>
      <c r="M100" s="9">
        <v>0.11807067</v>
      </c>
    </row>
    <row r="101" spans="2:13" ht="1" customHeight="1">
      <c r="B101" s="9" t="s">
        <v>20</v>
      </c>
      <c r="C101" s="9" t="str">
        <f t="shared" si="11"/>
        <v>Latin America and the Caribbean2013</v>
      </c>
      <c r="D101" s="9">
        <v>2013</v>
      </c>
      <c r="E101" s="9">
        <v>0.10035483000000001</v>
      </c>
      <c r="F101" s="9">
        <v>9.9418039999999999E-2</v>
      </c>
      <c r="G101" s="9">
        <v>0.10129161</v>
      </c>
      <c r="H101" s="9">
        <v>8.9160790000000004E-2</v>
      </c>
      <c r="I101" s="9">
        <v>8.8038859999999997E-2</v>
      </c>
      <c r="J101" s="9">
        <v>9.0282730000000005E-2</v>
      </c>
      <c r="K101" s="9">
        <v>0.11540069999999999</v>
      </c>
      <c r="L101" s="9">
        <v>0.11379623</v>
      </c>
      <c r="M101" s="9">
        <v>0.11700518</v>
      </c>
    </row>
    <row r="102" spans="2:13" ht="1" customHeight="1">
      <c r="B102" s="9" t="s">
        <v>20</v>
      </c>
      <c r="C102" s="9" t="str">
        <f t="shared" si="11"/>
        <v>Latin America and the Caribbean2014</v>
      </c>
      <c r="D102" s="9">
        <v>2014</v>
      </c>
      <c r="E102" s="9">
        <v>0.10075497999999999</v>
      </c>
      <c r="F102" s="9">
        <v>9.9813789999999999E-2</v>
      </c>
      <c r="G102" s="9">
        <v>0.10169617</v>
      </c>
      <c r="H102" s="9">
        <v>8.9758489999999996E-2</v>
      </c>
      <c r="I102" s="9">
        <v>8.8619240000000002E-2</v>
      </c>
      <c r="J102" s="9">
        <v>9.0897729999999996E-2</v>
      </c>
      <c r="K102" s="9">
        <v>0.11551636999999999</v>
      </c>
      <c r="L102" s="9">
        <v>0.11392007</v>
      </c>
      <c r="M102" s="9">
        <v>0.11711265999999999</v>
      </c>
    </row>
    <row r="103" spans="2:13" ht="1" customHeight="1">
      <c r="B103" s="9" t="s">
        <v>36</v>
      </c>
      <c r="C103" s="9" t="str">
        <f t="shared" si="11"/>
        <v>Argentina1995</v>
      </c>
      <c r="D103" s="9">
        <v>1995</v>
      </c>
      <c r="E103" s="9">
        <v>8.151746E-2</v>
      </c>
      <c r="F103" s="9">
        <v>7.7937140000000002E-2</v>
      </c>
      <c r="G103" s="9">
        <v>8.5097790000000006E-2</v>
      </c>
      <c r="H103" s="9">
        <v>8.0053509999999994E-2</v>
      </c>
      <c r="I103" s="9">
        <v>7.5564930000000002E-2</v>
      </c>
      <c r="J103" s="9">
        <v>8.454209E-2</v>
      </c>
      <c r="K103" s="9">
        <v>8.2917969999999994E-2</v>
      </c>
      <c r="L103" s="9">
        <v>7.7038960000000004E-2</v>
      </c>
      <c r="M103" s="9">
        <v>8.8796990000000006E-2</v>
      </c>
    </row>
    <row r="104" spans="2:13" ht="1" customHeight="1">
      <c r="B104" s="9" t="s">
        <v>36</v>
      </c>
      <c r="C104" s="9" t="str">
        <f t="shared" si="11"/>
        <v>Argentina1996</v>
      </c>
      <c r="D104" s="9">
        <v>1996</v>
      </c>
      <c r="E104" s="9">
        <v>8.7723540000000003E-2</v>
      </c>
      <c r="F104" s="9">
        <v>8.3967059999999996E-2</v>
      </c>
      <c r="G104" s="9">
        <v>9.1480030000000004E-2</v>
      </c>
      <c r="H104" s="9">
        <v>8.1570950000000003E-2</v>
      </c>
      <c r="I104" s="9">
        <v>7.6845220000000006E-2</v>
      </c>
      <c r="J104" s="9">
        <v>8.6296670000000006E-2</v>
      </c>
      <c r="K104" s="9">
        <v>9.6098909999999996E-2</v>
      </c>
      <c r="L104" s="9">
        <v>8.9938770000000001E-2</v>
      </c>
      <c r="M104" s="9">
        <v>0.10225904</v>
      </c>
    </row>
    <row r="105" spans="2:13" ht="1" customHeight="1">
      <c r="B105" s="9" t="s">
        <v>36</v>
      </c>
      <c r="C105" s="9" t="str">
        <f t="shared" si="11"/>
        <v>Argentina1997</v>
      </c>
      <c r="D105" s="9">
        <v>1997</v>
      </c>
      <c r="E105" s="9">
        <v>8.9469800000000002E-2</v>
      </c>
      <c r="F105" s="9">
        <v>8.6154549999999996E-2</v>
      </c>
      <c r="G105" s="9">
        <v>9.2785049999999994E-2</v>
      </c>
      <c r="H105" s="9">
        <v>8.5705450000000002E-2</v>
      </c>
      <c r="I105" s="9">
        <v>8.1496269999999996E-2</v>
      </c>
      <c r="J105" s="9">
        <v>8.9914640000000004E-2</v>
      </c>
      <c r="K105" s="9">
        <v>9.4131530000000005E-2</v>
      </c>
      <c r="L105" s="9">
        <v>8.8705229999999996E-2</v>
      </c>
      <c r="M105" s="9">
        <v>9.9557839999999995E-2</v>
      </c>
    </row>
    <row r="106" spans="2:13" ht="1" customHeight="1">
      <c r="B106" s="9" t="s">
        <v>36</v>
      </c>
      <c r="C106" s="9" t="str">
        <f t="shared" si="11"/>
        <v>Argentina1998</v>
      </c>
      <c r="D106" s="9">
        <v>1998</v>
      </c>
      <c r="E106" s="9">
        <v>9.3392320000000001E-2</v>
      </c>
      <c r="F106" s="9">
        <v>9.0099689999999996E-2</v>
      </c>
      <c r="G106" s="9">
        <v>9.6684950000000006E-2</v>
      </c>
      <c r="H106" s="9">
        <v>9.0539460000000002E-2</v>
      </c>
      <c r="I106" s="9">
        <v>8.6390309999999998E-2</v>
      </c>
      <c r="J106" s="9">
        <v>9.4688610000000006E-2</v>
      </c>
      <c r="K106" s="9">
        <v>9.710075E-2</v>
      </c>
      <c r="L106" s="9">
        <v>9.1691380000000003E-2</v>
      </c>
      <c r="M106" s="9">
        <v>0.10251013</v>
      </c>
    </row>
    <row r="107" spans="2:13" ht="1" customHeight="1">
      <c r="B107" s="9" t="s">
        <v>36</v>
      </c>
      <c r="C107" s="9" t="str">
        <f t="shared" si="11"/>
        <v>Argentina1999</v>
      </c>
      <c r="D107" s="9">
        <v>1999</v>
      </c>
      <c r="E107" s="9">
        <v>9.2881270000000002E-2</v>
      </c>
      <c r="F107" s="9">
        <v>8.9475150000000003E-2</v>
      </c>
      <c r="G107" s="9">
        <v>9.6287380000000006E-2</v>
      </c>
      <c r="H107" s="9">
        <v>8.7368559999999998E-2</v>
      </c>
      <c r="I107" s="9">
        <v>8.3101320000000006E-2</v>
      </c>
      <c r="J107" s="9">
        <v>9.1635809999999998E-2</v>
      </c>
      <c r="K107" s="9">
        <v>9.9488729999999997E-2</v>
      </c>
      <c r="L107" s="9">
        <v>9.3904959999999996E-2</v>
      </c>
      <c r="M107" s="9">
        <v>0.1050725</v>
      </c>
    </row>
    <row r="108" spans="2:13" ht="1" customHeight="1">
      <c r="B108" s="9" t="s">
        <v>36</v>
      </c>
      <c r="C108" s="9" t="str">
        <f t="shared" si="11"/>
        <v>Argentina2000</v>
      </c>
      <c r="D108" s="9">
        <v>2000</v>
      </c>
      <c r="E108" s="9">
        <v>0.10022150000000001</v>
      </c>
      <c r="F108" s="9">
        <v>9.6796359999999998E-2</v>
      </c>
      <c r="G108" s="9">
        <v>0.10364665000000001</v>
      </c>
      <c r="H108" s="9">
        <v>9.3538670000000004E-2</v>
      </c>
      <c r="I108" s="9">
        <v>8.9195940000000001E-2</v>
      </c>
      <c r="J108" s="9">
        <v>9.7881399999999993E-2</v>
      </c>
      <c r="K108" s="9">
        <v>0.10874418</v>
      </c>
      <c r="L108" s="9">
        <v>0.10321287</v>
      </c>
      <c r="M108" s="9">
        <v>0.1142755</v>
      </c>
    </row>
    <row r="109" spans="2:13" ht="1" customHeight="1">
      <c r="B109" s="9" t="s">
        <v>36</v>
      </c>
      <c r="C109" s="9" t="str">
        <f t="shared" si="11"/>
        <v>Argentina2001</v>
      </c>
      <c r="D109" s="9">
        <v>2001</v>
      </c>
      <c r="E109" s="9">
        <v>0.10446465000000001</v>
      </c>
      <c r="F109" s="9">
        <v>0.10066006</v>
      </c>
      <c r="G109" s="9">
        <v>0.10826922999999999</v>
      </c>
      <c r="H109" s="9">
        <v>9.8976649999999999E-2</v>
      </c>
      <c r="I109" s="9">
        <v>9.4177079999999996E-2</v>
      </c>
      <c r="J109" s="9">
        <v>0.10377623</v>
      </c>
      <c r="K109" s="9">
        <v>0.11192294999999999</v>
      </c>
      <c r="L109" s="9">
        <v>0.10571496</v>
      </c>
      <c r="M109" s="9">
        <v>0.11813095</v>
      </c>
    </row>
    <row r="110" spans="2:13" ht="1" customHeight="1">
      <c r="B110" s="9" t="s">
        <v>36</v>
      </c>
      <c r="C110" s="9" t="str">
        <f t="shared" si="11"/>
        <v>Argentina2002</v>
      </c>
      <c r="D110" s="9">
        <v>2002</v>
      </c>
      <c r="E110" s="9">
        <v>0.10723998</v>
      </c>
      <c r="F110" s="9">
        <v>0.10246677</v>
      </c>
      <c r="G110" s="9">
        <v>0.11201319</v>
      </c>
      <c r="H110" s="9">
        <v>9.9452209999999999E-2</v>
      </c>
      <c r="I110" s="9">
        <v>9.2923069999999997E-2</v>
      </c>
      <c r="J110" s="9">
        <v>0.10598136</v>
      </c>
      <c r="K110" s="9">
        <v>0.11724962999999999</v>
      </c>
      <c r="L110" s="9">
        <v>0.11029319</v>
      </c>
      <c r="M110" s="9">
        <v>0.12420608</v>
      </c>
    </row>
    <row r="111" spans="2:13" ht="1" customHeight="1">
      <c r="B111" s="9" t="s">
        <v>36</v>
      </c>
      <c r="C111" s="9" t="str">
        <f t="shared" si="11"/>
        <v>Argentina2003</v>
      </c>
      <c r="D111" s="9">
        <v>2003</v>
      </c>
      <c r="E111" s="9">
        <v>9.0389940000000002E-2</v>
      </c>
      <c r="F111" s="9">
        <v>8.7093649999999995E-2</v>
      </c>
      <c r="G111" s="9">
        <v>9.3686220000000001E-2</v>
      </c>
      <c r="H111" s="9">
        <v>8.1633609999999995E-2</v>
      </c>
      <c r="I111" s="9">
        <v>7.7175839999999996E-2</v>
      </c>
      <c r="J111" s="9">
        <v>8.6091379999999995E-2</v>
      </c>
      <c r="K111" s="9">
        <v>0.10021407</v>
      </c>
      <c r="L111" s="9">
        <v>9.5231609999999994E-2</v>
      </c>
      <c r="M111" s="9">
        <v>0.10519654000000001</v>
      </c>
    </row>
    <row r="112" spans="2:13" ht="1" customHeight="1">
      <c r="B112" s="9" t="s">
        <v>36</v>
      </c>
      <c r="C112" s="9" t="str">
        <f t="shared" si="11"/>
        <v>Argentina2004</v>
      </c>
      <c r="D112" s="9">
        <v>2004</v>
      </c>
      <c r="E112" s="9">
        <v>9.2756790000000006E-2</v>
      </c>
      <c r="F112" s="9">
        <v>9.0015120000000004E-2</v>
      </c>
      <c r="G112" s="9">
        <v>9.5498459999999993E-2</v>
      </c>
      <c r="H112" s="9">
        <v>8.0113489999999996E-2</v>
      </c>
      <c r="I112" s="9">
        <v>7.6574439999999994E-2</v>
      </c>
      <c r="J112" s="9">
        <v>8.3652550000000006E-2</v>
      </c>
      <c r="K112" s="9">
        <v>0.10786144</v>
      </c>
      <c r="L112" s="9">
        <v>0.10355677000000001</v>
      </c>
      <c r="M112" s="9">
        <v>0.11216611</v>
      </c>
    </row>
    <row r="113" spans="2:13" ht="1" customHeight="1">
      <c r="B113" s="9" t="s">
        <v>36</v>
      </c>
      <c r="C113" s="9" t="str">
        <f t="shared" si="11"/>
        <v>Argentina2005</v>
      </c>
      <c r="D113" s="9">
        <v>2005</v>
      </c>
      <c r="E113" s="9">
        <v>9.6095949999999999E-2</v>
      </c>
      <c r="F113" s="9">
        <v>9.3550700000000001E-2</v>
      </c>
      <c r="G113" s="9">
        <v>9.8641199999999998E-2</v>
      </c>
      <c r="H113" s="9">
        <v>8.2942429999999998E-2</v>
      </c>
      <c r="I113" s="9">
        <v>7.9524860000000003E-2</v>
      </c>
      <c r="J113" s="9">
        <v>8.6359989999999998E-2</v>
      </c>
      <c r="K113" s="9">
        <v>0.11212424999999999</v>
      </c>
      <c r="L113" s="9">
        <v>0.10831724</v>
      </c>
      <c r="M113" s="9">
        <v>0.11593125999999999</v>
      </c>
    </row>
    <row r="114" spans="2:13" ht="1" customHeight="1">
      <c r="B114" s="9" t="s">
        <v>36</v>
      </c>
      <c r="C114" s="9" t="str">
        <f t="shared" si="11"/>
        <v>Argentina2006</v>
      </c>
      <c r="D114" s="9">
        <v>2006</v>
      </c>
      <c r="E114" s="9">
        <v>9.7313140000000006E-2</v>
      </c>
      <c r="F114" s="9">
        <v>9.476598E-2</v>
      </c>
      <c r="G114" s="9">
        <v>9.9860299999999999E-2</v>
      </c>
      <c r="H114" s="9">
        <v>7.9337000000000005E-2</v>
      </c>
      <c r="I114" s="9">
        <v>7.6138369999999997E-2</v>
      </c>
      <c r="J114" s="9">
        <v>8.2535639999999993E-2</v>
      </c>
      <c r="K114" s="9">
        <v>0.1198501</v>
      </c>
      <c r="L114" s="9">
        <v>0.11576017</v>
      </c>
      <c r="M114" s="9">
        <v>0.12394004</v>
      </c>
    </row>
    <row r="115" spans="2:13" ht="1" customHeight="1">
      <c r="B115" s="9" t="s">
        <v>36</v>
      </c>
      <c r="C115" s="9" t="str">
        <f t="shared" si="11"/>
        <v>Argentina2007</v>
      </c>
      <c r="D115" s="9">
        <v>2007</v>
      </c>
      <c r="E115" s="9">
        <v>8.725099E-2</v>
      </c>
      <c r="F115" s="9">
        <v>8.4630419999999998E-2</v>
      </c>
      <c r="G115" s="9">
        <v>8.9871569999999998E-2</v>
      </c>
      <c r="H115" s="9">
        <v>7.0843180000000006E-2</v>
      </c>
      <c r="I115" s="9">
        <v>6.7533060000000006E-2</v>
      </c>
      <c r="J115" s="9">
        <v>7.415331E-2</v>
      </c>
      <c r="K115" s="9">
        <v>0.10940203</v>
      </c>
      <c r="L115" s="9">
        <v>0.10526436</v>
      </c>
      <c r="M115" s="9">
        <v>0.11353971</v>
      </c>
    </row>
    <row r="116" spans="2:13" ht="1" customHeight="1">
      <c r="B116" s="9" t="s">
        <v>36</v>
      </c>
      <c r="C116" s="9" t="str">
        <f t="shared" si="11"/>
        <v>Argentina2008</v>
      </c>
      <c r="D116" s="9">
        <v>2008</v>
      </c>
      <c r="E116" s="9">
        <v>8.6310479999999995E-2</v>
      </c>
      <c r="F116" s="9">
        <v>8.3709510000000001E-2</v>
      </c>
      <c r="G116" s="9">
        <v>8.8911459999999998E-2</v>
      </c>
      <c r="H116" s="9">
        <v>7.1321910000000002E-2</v>
      </c>
      <c r="I116" s="9">
        <v>6.7965999999999999E-2</v>
      </c>
      <c r="J116" s="9">
        <v>7.4677830000000001E-2</v>
      </c>
      <c r="K116" s="9">
        <v>0.10627448</v>
      </c>
      <c r="L116" s="9">
        <v>0.10221261</v>
      </c>
      <c r="M116" s="9">
        <v>0.11033634</v>
      </c>
    </row>
    <row r="117" spans="2:13" ht="1" customHeight="1">
      <c r="B117" s="9" t="s">
        <v>36</v>
      </c>
      <c r="C117" s="9" t="str">
        <f t="shared" si="11"/>
        <v>Argentina2009</v>
      </c>
      <c r="D117" s="9">
        <v>2009</v>
      </c>
      <c r="E117" s="9">
        <v>8.8703210000000005E-2</v>
      </c>
      <c r="F117" s="9">
        <v>8.5905099999999998E-2</v>
      </c>
      <c r="G117" s="9">
        <v>9.1501330000000006E-2</v>
      </c>
      <c r="H117" s="9">
        <v>7.2344400000000003E-2</v>
      </c>
      <c r="I117" s="9">
        <v>6.8855910000000006E-2</v>
      </c>
      <c r="J117" s="9">
        <v>7.5832880000000005E-2</v>
      </c>
      <c r="K117" s="9">
        <v>0.10915799</v>
      </c>
      <c r="L117" s="9">
        <v>0.10465136999999999</v>
      </c>
      <c r="M117" s="9">
        <v>0.11366461</v>
      </c>
    </row>
    <row r="118" spans="2:13" ht="1" customHeight="1">
      <c r="B118" s="9" t="s">
        <v>36</v>
      </c>
      <c r="C118" s="9" t="str">
        <f t="shared" si="11"/>
        <v>Argentina2010</v>
      </c>
      <c r="D118" s="9">
        <v>2010</v>
      </c>
      <c r="E118" s="9">
        <v>8.3701150000000002E-2</v>
      </c>
      <c r="F118" s="9">
        <v>8.1105250000000004E-2</v>
      </c>
      <c r="G118" s="9">
        <v>8.629705E-2</v>
      </c>
      <c r="H118" s="9">
        <v>6.7405820000000005E-2</v>
      </c>
      <c r="I118" s="9">
        <v>6.4182370000000002E-2</v>
      </c>
      <c r="J118" s="9">
        <v>7.0629269999999994E-2</v>
      </c>
      <c r="K118" s="9">
        <v>0.10504806</v>
      </c>
      <c r="L118" s="9">
        <v>0.10086761</v>
      </c>
      <c r="M118" s="9">
        <v>0.10922852</v>
      </c>
    </row>
    <row r="119" spans="2:13" ht="1" customHeight="1">
      <c r="B119" s="9" t="s">
        <v>36</v>
      </c>
      <c r="C119" s="9" t="str">
        <f t="shared" si="11"/>
        <v>Argentina2011</v>
      </c>
      <c r="D119" s="9">
        <v>2011</v>
      </c>
      <c r="E119" s="9">
        <v>7.9537220000000006E-2</v>
      </c>
      <c r="F119" s="9">
        <v>7.6936089999999999E-2</v>
      </c>
      <c r="G119" s="9">
        <v>8.2138349999999999E-2</v>
      </c>
      <c r="H119" s="9">
        <v>6.2569429999999995E-2</v>
      </c>
      <c r="I119" s="9">
        <v>5.9285110000000002E-2</v>
      </c>
      <c r="J119" s="9">
        <v>6.5853750000000003E-2</v>
      </c>
      <c r="K119" s="9">
        <v>0.10203818000000001</v>
      </c>
      <c r="L119" s="9">
        <v>9.7854049999999998E-2</v>
      </c>
      <c r="M119" s="9">
        <v>0.10622232</v>
      </c>
    </row>
    <row r="120" spans="2:13" ht="1" customHeight="1">
      <c r="B120" s="9" t="s">
        <v>36</v>
      </c>
      <c r="C120" s="9" t="str">
        <f t="shared" si="11"/>
        <v>Argentina2012</v>
      </c>
      <c r="D120" s="9">
        <v>2012</v>
      </c>
      <c r="E120" s="9">
        <v>7.5778449999999997E-2</v>
      </c>
      <c r="F120" s="9">
        <v>7.3148439999999995E-2</v>
      </c>
      <c r="G120" s="9">
        <v>7.8408469999999994E-2</v>
      </c>
      <c r="H120" s="9">
        <v>5.9659120000000003E-2</v>
      </c>
      <c r="I120" s="9">
        <v>5.6379440000000003E-2</v>
      </c>
      <c r="J120" s="9">
        <v>6.2938809999999998E-2</v>
      </c>
      <c r="K120" s="9">
        <v>9.6915119999999993E-2</v>
      </c>
      <c r="L120" s="9">
        <v>9.2786709999999994E-2</v>
      </c>
      <c r="M120" s="9">
        <v>0.10104352</v>
      </c>
    </row>
    <row r="121" spans="2:13" ht="1" customHeight="1">
      <c r="B121" s="9" t="s">
        <v>36</v>
      </c>
      <c r="C121" s="9" t="str">
        <f t="shared" si="11"/>
        <v>Argentina2013</v>
      </c>
      <c r="D121" s="9">
        <v>2013</v>
      </c>
      <c r="E121" s="9">
        <v>7.4624280000000001E-2</v>
      </c>
      <c r="F121" s="9">
        <v>7.1859350000000002E-2</v>
      </c>
      <c r="G121" s="9">
        <v>7.738921E-2</v>
      </c>
      <c r="H121" s="9">
        <v>6.2152260000000001E-2</v>
      </c>
      <c r="I121" s="9">
        <v>5.8609069999999999E-2</v>
      </c>
      <c r="J121" s="9">
        <v>6.5695439999999994E-2</v>
      </c>
      <c r="K121" s="9">
        <v>9.1237670000000007E-2</v>
      </c>
      <c r="L121" s="9">
        <v>8.6767860000000002E-2</v>
      </c>
      <c r="M121" s="9">
        <v>9.5707470000000003E-2</v>
      </c>
    </row>
    <row r="122" spans="2:13" ht="1" customHeight="1">
      <c r="B122" s="9" t="s">
        <v>36</v>
      </c>
      <c r="C122" s="9" t="str">
        <f t="shared" si="11"/>
        <v>Argentina2014</v>
      </c>
      <c r="D122" s="9">
        <v>2014</v>
      </c>
      <c r="E122" s="9">
        <v>7.7557089999999995E-2</v>
      </c>
      <c r="F122" s="9">
        <v>7.5172069999999994E-2</v>
      </c>
      <c r="G122" s="9">
        <v>7.9942100000000002E-2</v>
      </c>
      <c r="H122" s="9">
        <v>6.247685E-2</v>
      </c>
      <c r="I122" s="9">
        <v>5.9449809999999999E-2</v>
      </c>
      <c r="J122" s="9">
        <v>6.550388E-2</v>
      </c>
      <c r="K122" s="9">
        <v>9.7072389999999995E-2</v>
      </c>
      <c r="L122" s="9">
        <v>9.327444E-2</v>
      </c>
      <c r="M122" s="9">
        <v>0.10087034</v>
      </c>
    </row>
    <row r="123" spans="2:13" ht="1" customHeight="1">
      <c r="B123" s="9" t="s">
        <v>39</v>
      </c>
      <c r="C123" s="9" t="str">
        <f t="shared" si="11"/>
        <v>Bolivia1995</v>
      </c>
      <c r="D123" s="9">
        <v>1995</v>
      </c>
      <c r="E123" s="9">
        <v>5.1622519999999998E-2</v>
      </c>
      <c r="F123" s="9">
        <v>4.7496969999999999E-2</v>
      </c>
      <c r="G123" s="9">
        <v>5.5748060000000002E-2</v>
      </c>
      <c r="H123" s="9">
        <v>5.1060229999999998E-2</v>
      </c>
      <c r="I123" s="9">
        <v>4.5404079999999999E-2</v>
      </c>
      <c r="J123" s="9">
        <v>5.6716370000000002E-2</v>
      </c>
      <c r="K123" s="9">
        <v>5.2251770000000003E-2</v>
      </c>
      <c r="L123" s="9">
        <v>4.6214560000000002E-2</v>
      </c>
      <c r="M123" s="9">
        <v>5.8288970000000002E-2</v>
      </c>
    </row>
    <row r="124" spans="2:13" ht="1" customHeight="1">
      <c r="B124" s="9" t="s">
        <v>39</v>
      </c>
      <c r="C124" s="9" t="str">
        <f t="shared" si="11"/>
        <v>Bolivia1996</v>
      </c>
      <c r="D124" s="9">
        <v>1996</v>
      </c>
      <c r="E124" s="9">
        <v>5.1062610000000001E-2</v>
      </c>
      <c r="F124" s="9">
        <v>4.6837440000000001E-2</v>
      </c>
      <c r="G124" s="9">
        <v>5.5287780000000002E-2</v>
      </c>
      <c r="H124" s="9">
        <v>4.9699849999999997E-2</v>
      </c>
      <c r="I124" s="9">
        <v>4.4057720000000002E-2</v>
      </c>
      <c r="J124" s="9">
        <v>5.5341979999999999E-2</v>
      </c>
      <c r="K124" s="9">
        <v>5.2467380000000001E-2</v>
      </c>
      <c r="L124" s="9">
        <v>4.6117890000000002E-2</v>
      </c>
      <c r="M124" s="9">
        <v>5.8816859999999999E-2</v>
      </c>
    </row>
    <row r="125" spans="2:13" ht="1" customHeight="1">
      <c r="B125" s="9" t="s">
        <v>39</v>
      </c>
      <c r="C125" s="9" t="str">
        <f t="shared" si="11"/>
        <v>Bolivia1997</v>
      </c>
      <c r="D125" s="9">
        <v>1997</v>
      </c>
      <c r="E125" s="9">
        <v>5.8044180000000001E-2</v>
      </c>
      <c r="F125" s="9">
        <v>5.364054E-2</v>
      </c>
      <c r="G125" s="9">
        <v>6.2447809999999999E-2</v>
      </c>
      <c r="H125" s="9">
        <v>5.491472E-2</v>
      </c>
      <c r="I125" s="9">
        <v>4.875649E-2</v>
      </c>
      <c r="J125" s="9">
        <v>6.1072950000000001E-2</v>
      </c>
      <c r="K125" s="9">
        <v>6.1394610000000002E-2</v>
      </c>
      <c r="L125" s="9">
        <v>5.5186850000000003E-2</v>
      </c>
      <c r="M125" s="9">
        <v>6.7602380000000004E-2</v>
      </c>
    </row>
    <row r="126" spans="2:13" ht="1" customHeight="1">
      <c r="B126" s="9" t="s">
        <v>39</v>
      </c>
      <c r="C126" s="9" t="str">
        <f t="shared" si="11"/>
        <v>Bolivia1998</v>
      </c>
      <c r="D126" s="9">
        <v>1998</v>
      </c>
      <c r="E126" s="9">
        <v>6.4812679999999998E-2</v>
      </c>
      <c r="F126" s="9">
        <v>5.6923550000000003E-2</v>
      </c>
      <c r="G126" s="9">
        <v>7.2701810000000006E-2</v>
      </c>
      <c r="H126" s="9">
        <v>5.2769129999999997E-2</v>
      </c>
      <c r="I126" s="9">
        <v>4.3358689999999998E-2</v>
      </c>
      <c r="J126" s="9">
        <v>6.2179570000000003E-2</v>
      </c>
      <c r="K126" s="9">
        <v>7.4652010000000005E-2</v>
      </c>
      <c r="L126" s="9">
        <v>6.2142330000000003E-2</v>
      </c>
      <c r="M126" s="9">
        <v>8.716169E-2</v>
      </c>
    </row>
    <row r="127" spans="2:13" ht="1" customHeight="1">
      <c r="B127" s="9" t="s">
        <v>39</v>
      </c>
      <c r="C127" s="9" t="str">
        <f t="shared" si="11"/>
        <v>Bolivia1999</v>
      </c>
      <c r="D127" s="9">
        <v>1999</v>
      </c>
      <c r="E127" s="9">
        <v>6.4812679999999998E-2</v>
      </c>
      <c r="F127" s="9">
        <v>5.6923550000000003E-2</v>
      </c>
      <c r="G127" s="9">
        <v>7.2701810000000006E-2</v>
      </c>
      <c r="H127" s="9">
        <v>5.2769129999999997E-2</v>
      </c>
      <c r="I127" s="9">
        <v>4.3358689999999998E-2</v>
      </c>
      <c r="J127" s="9">
        <v>6.2179570000000003E-2</v>
      </c>
      <c r="K127" s="9">
        <v>7.4652010000000005E-2</v>
      </c>
      <c r="L127" s="9">
        <v>6.2142330000000003E-2</v>
      </c>
      <c r="M127" s="9">
        <v>8.716169E-2</v>
      </c>
    </row>
    <row r="128" spans="2:13" ht="1" customHeight="1">
      <c r="B128" s="9" t="s">
        <v>39</v>
      </c>
      <c r="C128" s="9" t="str">
        <f t="shared" si="11"/>
        <v>Bolivia2000</v>
      </c>
      <c r="D128" s="9">
        <v>2000</v>
      </c>
      <c r="E128" s="9">
        <v>6.3645740000000006E-2</v>
      </c>
      <c r="F128" s="9">
        <v>5.6228720000000003E-2</v>
      </c>
      <c r="G128" s="9">
        <v>7.1062749999999994E-2</v>
      </c>
      <c r="H128" s="9">
        <v>5.6794249999999998E-2</v>
      </c>
      <c r="I128" s="9">
        <v>4.6468759999999998E-2</v>
      </c>
      <c r="J128" s="9">
        <v>6.7119750000000006E-2</v>
      </c>
      <c r="K128" s="9">
        <v>7.0455989999999996E-2</v>
      </c>
      <c r="L128" s="9">
        <v>5.9804490000000002E-2</v>
      </c>
      <c r="M128" s="9">
        <v>8.1107499999999999E-2</v>
      </c>
    </row>
    <row r="129" spans="2:13" ht="1" customHeight="1">
      <c r="B129" s="9" t="s">
        <v>39</v>
      </c>
      <c r="C129" s="9" t="str">
        <f t="shared" si="11"/>
        <v>Bolivia2001</v>
      </c>
      <c r="D129" s="9">
        <v>2001</v>
      </c>
      <c r="E129" s="9">
        <v>6.620819E-2</v>
      </c>
      <c r="F129" s="9">
        <v>5.962932E-2</v>
      </c>
      <c r="G129" s="9">
        <v>7.2787050000000006E-2</v>
      </c>
      <c r="H129" s="9">
        <v>6.1958930000000002E-2</v>
      </c>
      <c r="I129" s="9">
        <v>5.3321019999999997E-2</v>
      </c>
      <c r="J129" s="9">
        <v>7.0596839999999994E-2</v>
      </c>
      <c r="K129" s="9">
        <v>6.9955840000000005E-2</v>
      </c>
      <c r="L129" s="9">
        <v>5.9862180000000001E-2</v>
      </c>
      <c r="M129" s="9">
        <v>8.0049499999999996E-2</v>
      </c>
    </row>
    <row r="130" spans="2:13" ht="1" customHeight="1">
      <c r="B130" s="9" t="s">
        <v>39</v>
      </c>
      <c r="C130" s="9" t="str">
        <f t="shared" si="11"/>
        <v>Bolivia2002</v>
      </c>
      <c r="D130" s="9">
        <v>2002</v>
      </c>
      <c r="E130" s="9">
        <v>6.2677780000000002E-2</v>
      </c>
      <c r="F130" s="9">
        <v>5.6025459999999999E-2</v>
      </c>
      <c r="G130" s="9">
        <v>6.933011E-2</v>
      </c>
      <c r="H130" s="9">
        <v>5.6111290000000001E-2</v>
      </c>
      <c r="I130" s="9">
        <v>4.7187310000000003E-2</v>
      </c>
      <c r="J130" s="9">
        <v>6.5035270000000006E-2</v>
      </c>
      <c r="K130" s="9">
        <v>7.0394029999999996E-2</v>
      </c>
      <c r="L130" s="9">
        <v>6.044161E-2</v>
      </c>
      <c r="M130" s="9">
        <v>8.0346440000000005E-2</v>
      </c>
    </row>
    <row r="131" spans="2:13" ht="1" customHeight="1">
      <c r="B131" s="9" t="s">
        <v>39</v>
      </c>
      <c r="C131" s="9" t="str">
        <f t="shared" si="11"/>
        <v>Bolivia2003</v>
      </c>
      <c r="D131" s="9">
        <v>2003</v>
      </c>
      <c r="E131" s="9">
        <v>8.2658099999999998E-2</v>
      </c>
      <c r="F131" s="9">
        <v>7.8015009999999996E-2</v>
      </c>
      <c r="G131" s="9">
        <v>8.7301180000000006E-2</v>
      </c>
      <c r="H131" s="9">
        <v>6.9836620000000002E-2</v>
      </c>
      <c r="I131" s="9">
        <v>6.3335240000000001E-2</v>
      </c>
      <c r="J131" s="9">
        <v>7.6338000000000003E-2</v>
      </c>
      <c r="K131" s="9">
        <v>9.5477880000000001E-2</v>
      </c>
      <c r="L131" s="9">
        <v>8.8900510000000002E-2</v>
      </c>
      <c r="M131" s="9">
        <v>0.10205525</v>
      </c>
    </row>
    <row r="132" spans="2:13" ht="1" customHeight="1">
      <c r="B132" s="9" t="s">
        <v>39</v>
      </c>
      <c r="C132" s="9" t="str">
        <f t="shared" si="11"/>
        <v>Bolivia2004</v>
      </c>
      <c r="D132" s="9">
        <v>2004</v>
      </c>
      <c r="E132" s="9">
        <v>6.5332650000000006E-2</v>
      </c>
      <c r="F132" s="9">
        <v>5.8037619999999998E-2</v>
      </c>
      <c r="G132" s="9">
        <v>7.2627670000000005E-2</v>
      </c>
      <c r="H132" s="9">
        <v>5.6768649999999997E-2</v>
      </c>
      <c r="I132" s="9">
        <v>4.7234100000000001E-2</v>
      </c>
      <c r="J132" s="9">
        <v>6.6303189999999998E-2</v>
      </c>
      <c r="K132" s="9">
        <v>7.4666120000000002E-2</v>
      </c>
      <c r="L132" s="9">
        <v>6.352961E-2</v>
      </c>
      <c r="M132" s="9">
        <v>8.5802630000000005E-2</v>
      </c>
    </row>
    <row r="133" spans="2:13" ht="1" customHeight="1">
      <c r="B133" s="9" t="s">
        <v>39</v>
      </c>
      <c r="C133" s="9" t="str">
        <f t="shared" si="11"/>
        <v>Bolivia2005</v>
      </c>
      <c r="D133" s="9">
        <v>2005</v>
      </c>
      <c r="E133" s="9">
        <v>6.5332650000000006E-2</v>
      </c>
      <c r="F133" s="9">
        <v>5.8037619999999998E-2</v>
      </c>
      <c r="G133" s="9">
        <v>7.2627670000000005E-2</v>
      </c>
      <c r="H133" s="9">
        <v>5.6768649999999997E-2</v>
      </c>
      <c r="I133" s="9">
        <v>4.7234100000000001E-2</v>
      </c>
      <c r="J133" s="9">
        <v>6.6303189999999998E-2</v>
      </c>
      <c r="K133" s="9">
        <v>7.4666120000000002E-2</v>
      </c>
      <c r="L133" s="9">
        <v>6.352961E-2</v>
      </c>
      <c r="M133" s="9">
        <v>8.5802630000000005E-2</v>
      </c>
    </row>
    <row r="134" spans="2:13" ht="1" customHeight="1">
      <c r="B134" s="9" t="s">
        <v>39</v>
      </c>
      <c r="C134" s="9" t="str">
        <f t="shared" si="11"/>
        <v>Bolivia2006</v>
      </c>
      <c r="D134" s="9">
        <v>2006</v>
      </c>
      <c r="E134" s="9">
        <v>4.9375410000000002E-2</v>
      </c>
      <c r="F134" s="9">
        <v>4.3253090000000001E-2</v>
      </c>
      <c r="G134" s="9">
        <v>5.549772E-2</v>
      </c>
      <c r="H134" s="9">
        <v>4.1708990000000001E-2</v>
      </c>
      <c r="I134" s="9">
        <v>3.3754640000000002E-2</v>
      </c>
      <c r="J134" s="9">
        <v>4.9663329999999999E-2</v>
      </c>
      <c r="K134" s="9">
        <v>5.8553260000000003E-2</v>
      </c>
      <c r="L134" s="9">
        <v>4.9082540000000001E-2</v>
      </c>
      <c r="M134" s="9">
        <v>6.8023990000000006E-2</v>
      </c>
    </row>
    <row r="135" spans="2:13" ht="1" customHeight="1">
      <c r="B135" s="9" t="s">
        <v>39</v>
      </c>
      <c r="C135" s="9" t="str">
        <f t="shared" si="11"/>
        <v>Bolivia2007</v>
      </c>
      <c r="D135" s="9">
        <v>2007</v>
      </c>
      <c r="E135" s="9">
        <v>6.5622100000000003E-2</v>
      </c>
      <c r="F135" s="9">
        <v>5.9051909999999999E-2</v>
      </c>
      <c r="G135" s="9">
        <v>7.2192290000000006E-2</v>
      </c>
      <c r="H135" s="9">
        <v>4.9676100000000001E-2</v>
      </c>
      <c r="I135" s="9">
        <v>4.0346979999999998E-2</v>
      </c>
      <c r="J135" s="9">
        <v>5.9005210000000002E-2</v>
      </c>
      <c r="K135" s="9">
        <v>7.9786620000000003E-2</v>
      </c>
      <c r="L135" s="9">
        <v>7.0686959999999993E-2</v>
      </c>
      <c r="M135" s="9">
        <v>8.8886279999999998E-2</v>
      </c>
    </row>
    <row r="136" spans="2:13" ht="1" customHeight="1">
      <c r="B136" s="9" t="s">
        <v>39</v>
      </c>
      <c r="C136" s="9" t="str">
        <f t="shared" si="11"/>
        <v>Bolivia2008</v>
      </c>
      <c r="D136" s="9">
        <v>2008</v>
      </c>
      <c r="E136" s="9">
        <v>6.5622100000000003E-2</v>
      </c>
      <c r="F136" s="9">
        <v>5.9051909999999999E-2</v>
      </c>
      <c r="G136" s="9">
        <v>7.2192290000000006E-2</v>
      </c>
      <c r="H136" s="9">
        <v>4.9676100000000001E-2</v>
      </c>
      <c r="I136" s="9">
        <v>4.0346979999999998E-2</v>
      </c>
      <c r="J136" s="9">
        <v>5.9005210000000002E-2</v>
      </c>
      <c r="K136" s="9">
        <v>7.9786620000000003E-2</v>
      </c>
      <c r="L136" s="9">
        <v>7.0686959999999993E-2</v>
      </c>
      <c r="M136" s="9">
        <v>8.8886279999999998E-2</v>
      </c>
    </row>
    <row r="137" spans="2:13" ht="1" customHeight="1">
      <c r="B137" s="9" t="s">
        <v>39</v>
      </c>
      <c r="C137" s="9" t="str">
        <f t="shared" si="11"/>
        <v>Bolivia2009</v>
      </c>
      <c r="D137" s="9">
        <v>2009</v>
      </c>
      <c r="E137" s="9">
        <v>3.324759E-2</v>
      </c>
      <c r="F137" s="9">
        <v>2.9708709999999999E-2</v>
      </c>
      <c r="G137" s="9">
        <v>3.6786470000000002E-2</v>
      </c>
      <c r="H137" s="9">
        <v>2.0937919999999999E-2</v>
      </c>
      <c r="I137" s="9">
        <v>1.6270429999999999E-2</v>
      </c>
      <c r="J137" s="9">
        <v>2.5605409999999999E-2</v>
      </c>
      <c r="K137" s="9">
        <v>4.6855330000000001E-2</v>
      </c>
      <c r="L137" s="9">
        <v>4.1549089999999997E-2</v>
      </c>
      <c r="M137" s="9">
        <v>5.2161569999999997E-2</v>
      </c>
    </row>
    <row r="138" spans="2:13" ht="1" customHeight="1">
      <c r="B138" s="9" t="s">
        <v>39</v>
      </c>
      <c r="C138" s="9" t="str">
        <f t="shared" si="11"/>
        <v>Bolivia2010</v>
      </c>
      <c r="D138" s="9">
        <v>2010</v>
      </c>
      <c r="E138" s="9">
        <v>3.324759E-2</v>
      </c>
      <c r="F138" s="9">
        <v>2.9708709999999999E-2</v>
      </c>
      <c r="G138" s="9">
        <v>3.6786470000000002E-2</v>
      </c>
      <c r="H138" s="9">
        <v>2.0937919999999999E-2</v>
      </c>
      <c r="I138" s="9">
        <v>1.6270429999999999E-2</v>
      </c>
      <c r="J138" s="9">
        <v>2.5605409999999999E-2</v>
      </c>
      <c r="K138" s="9">
        <v>4.6855330000000001E-2</v>
      </c>
      <c r="L138" s="9">
        <v>4.1549089999999997E-2</v>
      </c>
      <c r="M138" s="9">
        <v>5.2161569999999997E-2</v>
      </c>
    </row>
    <row r="139" spans="2:13" ht="1" customHeight="1">
      <c r="B139" s="9" t="s">
        <v>39</v>
      </c>
      <c r="C139" s="9" t="str">
        <f t="shared" si="11"/>
        <v>Bolivia2011</v>
      </c>
      <c r="D139" s="9">
        <v>2011</v>
      </c>
      <c r="E139" s="9">
        <v>3.324759E-2</v>
      </c>
      <c r="F139" s="9">
        <v>2.9708709999999999E-2</v>
      </c>
      <c r="G139" s="9">
        <v>3.6786470000000002E-2</v>
      </c>
      <c r="H139" s="9">
        <v>2.0937919999999999E-2</v>
      </c>
      <c r="I139" s="9">
        <v>1.6270429999999999E-2</v>
      </c>
      <c r="J139" s="9">
        <v>2.5605409999999999E-2</v>
      </c>
      <c r="K139" s="9">
        <v>4.6855330000000001E-2</v>
      </c>
      <c r="L139" s="9">
        <v>4.1549089999999997E-2</v>
      </c>
      <c r="M139" s="9">
        <v>5.2161569999999997E-2</v>
      </c>
    </row>
    <row r="140" spans="2:13" ht="1" customHeight="1">
      <c r="B140" s="9" t="s">
        <v>39</v>
      </c>
      <c r="C140" s="9" t="str">
        <f t="shared" si="11"/>
        <v>Bolivia2012</v>
      </c>
      <c r="D140" s="9">
        <v>2012</v>
      </c>
      <c r="E140" s="9">
        <v>3.2298250000000001E-2</v>
      </c>
      <c r="F140" s="9">
        <v>2.7993770000000001E-2</v>
      </c>
      <c r="G140" s="9">
        <v>3.660273E-2</v>
      </c>
      <c r="H140" s="9">
        <v>1.7349179999999999E-2</v>
      </c>
      <c r="I140" s="9">
        <v>1.183885E-2</v>
      </c>
      <c r="J140" s="9">
        <v>2.285951E-2</v>
      </c>
      <c r="K140" s="9">
        <v>4.7189790000000002E-2</v>
      </c>
      <c r="L140" s="9">
        <v>4.0736979999999999E-2</v>
      </c>
      <c r="M140" s="9">
        <v>5.3642599999999999E-2</v>
      </c>
    </row>
    <row r="141" spans="2:13" ht="1" customHeight="1">
      <c r="B141" s="9" t="s">
        <v>39</v>
      </c>
      <c r="C141" s="9" t="str">
        <f t="shared" si="11"/>
        <v>Bolivia2013</v>
      </c>
      <c r="D141" s="9">
        <v>2013</v>
      </c>
      <c r="E141" s="9">
        <v>3.9196580000000002E-2</v>
      </c>
      <c r="F141" s="9">
        <v>3.5374309999999999E-2</v>
      </c>
      <c r="G141" s="9">
        <v>4.3018849999999997E-2</v>
      </c>
      <c r="H141" s="9">
        <v>2.3503489999999998E-2</v>
      </c>
      <c r="I141" s="9">
        <v>1.8673349999999998E-2</v>
      </c>
      <c r="J141" s="9">
        <v>2.8333629999999999E-2</v>
      </c>
      <c r="K141" s="9">
        <v>5.5131529999999998E-2</v>
      </c>
      <c r="L141" s="9">
        <v>4.9317119999999999E-2</v>
      </c>
      <c r="M141" s="9">
        <v>6.0945930000000002E-2</v>
      </c>
    </row>
    <row r="142" spans="2:13" ht="1" customHeight="1">
      <c r="B142" s="9" t="s">
        <v>39</v>
      </c>
      <c r="C142" s="9" t="str">
        <f t="shared" si="11"/>
        <v>Bolivia2014</v>
      </c>
      <c r="D142" s="9">
        <v>2014</v>
      </c>
      <c r="E142" s="9">
        <v>3.9196580000000002E-2</v>
      </c>
      <c r="F142" s="9">
        <v>3.5374309999999999E-2</v>
      </c>
      <c r="G142" s="9">
        <v>4.3018849999999997E-2</v>
      </c>
      <c r="H142" s="9">
        <v>2.3503489999999998E-2</v>
      </c>
      <c r="I142" s="9">
        <v>1.8673349999999998E-2</v>
      </c>
      <c r="J142" s="9">
        <v>2.8333629999999999E-2</v>
      </c>
      <c r="K142" s="9">
        <v>5.5131529999999998E-2</v>
      </c>
      <c r="L142" s="9">
        <v>4.9317119999999999E-2</v>
      </c>
      <c r="M142" s="9">
        <v>6.0945930000000002E-2</v>
      </c>
    </row>
    <row r="143" spans="2:13" ht="1" customHeight="1">
      <c r="B143" s="9" t="s">
        <v>40</v>
      </c>
      <c r="C143" s="9" t="str">
        <f t="shared" si="11"/>
        <v>Brazil1995</v>
      </c>
      <c r="D143" s="9">
        <v>1995</v>
      </c>
      <c r="E143" s="9">
        <v>0.12893257999999999</v>
      </c>
      <c r="F143" s="9">
        <v>0.12783346000000001</v>
      </c>
      <c r="G143" s="9">
        <v>0.13003170999999999</v>
      </c>
      <c r="H143" s="9">
        <v>0.12724832</v>
      </c>
      <c r="I143" s="9">
        <v>0.12585424000000001</v>
      </c>
      <c r="J143" s="9">
        <v>0.12864239</v>
      </c>
      <c r="K143" s="9">
        <v>0.13120182</v>
      </c>
      <c r="L143" s="9">
        <v>0.12941216999999999</v>
      </c>
      <c r="M143" s="9">
        <v>0.13299147</v>
      </c>
    </row>
    <row r="144" spans="2:13" ht="1" customHeight="1">
      <c r="B144" s="9" t="s">
        <v>40</v>
      </c>
      <c r="C144" s="9" t="str">
        <f t="shared" si="11"/>
        <v>Brazil1996</v>
      </c>
      <c r="D144" s="9">
        <v>1996</v>
      </c>
      <c r="E144" s="9">
        <v>0.12465171</v>
      </c>
      <c r="F144" s="9">
        <v>0.12352485000000001</v>
      </c>
      <c r="G144" s="9">
        <v>0.12577858</v>
      </c>
      <c r="H144" s="9">
        <v>0.1245492</v>
      </c>
      <c r="I144" s="9">
        <v>0.12311436000000001</v>
      </c>
      <c r="J144" s="9">
        <v>0.12598403999999999</v>
      </c>
      <c r="K144" s="9">
        <v>0.12461194</v>
      </c>
      <c r="L144" s="9">
        <v>0.12278931</v>
      </c>
      <c r="M144" s="9">
        <v>0.12643457999999999</v>
      </c>
    </row>
    <row r="145" spans="2:13" ht="1" customHeight="1">
      <c r="B145" s="9" t="s">
        <v>40</v>
      </c>
      <c r="C145" s="9" t="str">
        <f t="shared" si="11"/>
        <v>Brazil1997</v>
      </c>
      <c r="D145" s="9">
        <v>1997</v>
      </c>
      <c r="E145" s="9">
        <v>0.13011096</v>
      </c>
      <c r="F145" s="9">
        <v>0.12901414</v>
      </c>
      <c r="G145" s="9">
        <v>0.13120778</v>
      </c>
      <c r="H145" s="9">
        <v>0.12838438999999999</v>
      </c>
      <c r="I145" s="9">
        <v>0.1269952</v>
      </c>
      <c r="J145" s="9">
        <v>0.12977358</v>
      </c>
      <c r="K145" s="9">
        <v>0.13258218999999999</v>
      </c>
      <c r="L145" s="9">
        <v>0.13079650000000001</v>
      </c>
      <c r="M145" s="9">
        <v>0.13436788</v>
      </c>
    </row>
    <row r="146" spans="2:13" ht="1" customHeight="1">
      <c r="B146" s="9" t="s">
        <v>40</v>
      </c>
      <c r="C146" s="9" t="str">
        <f t="shared" si="11"/>
        <v>Brazil1998</v>
      </c>
      <c r="D146" s="9">
        <v>1998</v>
      </c>
      <c r="E146" s="9">
        <v>0.1286679</v>
      </c>
      <c r="F146" s="9">
        <v>0.12760273</v>
      </c>
      <c r="G146" s="9">
        <v>0.12973306000000001</v>
      </c>
      <c r="H146" s="9">
        <v>0.12664695000000001</v>
      </c>
      <c r="I146" s="9">
        <v>0.12530209</v>
      </c>
      <c r="J146" s="9">
        <v>0.12799182000000001</v>
      </c>
      <c r="K146" s="9">
        <v>0.13161913</v>
      </c>
      <c r="L146" s="9">
        <v>0.12987177999999999</v>
      </c>
      <c r="M146" s="9">
        <v>0.13336648000000001</v>
      </c>
    </row>
    <row r="147" spans="2:13" ht="1" customHeight="1">
      <c r="B147" s="9" t="s">
        <v>40</v>
      </c>
      <c r="C147" s="9" t="str">
        <f t="shared" si="11"/>
        <v>Brazil1999</v>
      </c>
      <c r="D147" s="9">
        <v>1999</v>
      </c>
      <c r="E147" s="9">
        <v>0.12680158</v>
      </c>
      <c r="F147" s="9">
        <v>0.12575396</v>
      </c>
      <c r="G147" s="9">
        <v>0.1278492</v>
      </c>
      <c r="H147" s="9">
        <v>0.12341239</v>
      </c>
      <c r="I147" s="9">
        <v>0.12208409000000001</v>
      </c>
      <c r="J147" s="9">
        <v>0.12474069</v>
      </c>
      <c r="K147" s="9">
        <v>0.13189201</v>
      </c>
      <c r="L147" s="9">
        <v>0.13018473999999999</v>
      </c>
      <c r="M147" s="9">
        <v>0.13359929000000001</v>
      </c>
    </row>
    <row r="148" spans="2:13" ht="1" customHeight="1">
      <c r="B148" s="9" t="s">
        <v>40</v>
      </c>
      <c r="C148" s="9" t="str">
        <f t="shared" ref="C148:C211" si="12">CONCATENATE(B148,D148)</f>
        <v>Brazil2000</v>
      </c>
      <c r="D148" s="9">
        <v>2000</v>
      </c>
      <c r="E148" s="9">
        <v>0.12339042</v>
      </c>
      <c r="F148" s="9">
        <v>0.12239973</v>
      </c>
      <c r="G148" s="9">
        <v>0.12438111</v>
      </c>
      <c r="H148" s="9">
        <v>0.12092782000000001</v>
      </c>
      <c r="I148" s="9">
        <v>0.11966334000000001</v>
      </c>
      <c r="J148" s="9">
        <v>0.12219229</v>
      </c>
      <c r="K148" s="9">
        <v>0.12682714</v>
      </c>
      <c r="L148" s="9">
        <v>0.12522616</v>
      </c>
      <c r="M148" s="9">
        <v>0.12842813</v>
      </c>
    </row>
    <row r="149" spans="2:13" ht="1" customHeight="1">
      <c r="B149" s="9" t="s">
        <v>40</v>
      </c>
      <c r="C149" s="9" t="str">
        <f t="shared" si="12"/>
        <v>Brazil2001</v>
      </c>
      <c r="D149" s="9">
        <v>2001</v>
      </c>
      <c r="E149" s="9">
        <v>0.12339042</v>
      </c>
      <c r="F149" s="9">
        <v>0.12239973</v>
      </c>
      <c r="G149" s="9">
        <v>0.12438111</v>
      </c>
      <c r="H149" s="9">
        <v>0.12092782000000001</v>
      </c>
      <c r="I149" s="9">
        <v>0.11966334000000001</v>
      </c>
      <c r="J149" s="9">
        <v>0.12219229</v>
      </c>
      <c r="K149" s="9">
        <v>0.12682714</v>
      </c>
      <c r="L149" s="9">
        <v>0.12522616</v>
      </c>
      <c r="M149" s="9">
        <v>0.12842813</v>
      </c>
    </row>
    <row r="150" spans="2:13" ht="1" customHeight="1">
      <c r="B150" s="9" t="s">
        <v>40</v>
      </c>
      <c r="C150" s="9" t="str">
        <f t="shared" si="12"/>
        <v>Brazil2002</v>
      </c>
      <c r="D150" s="9">
        <v>2002</v>
      </c>
      <c r="E150" s="9">
        <v>0.1226642</v>
      </c>
      <c r="F150" s="9">
        <v>0.12168323</v>
      </c>
      <c r="G150" s="9">
        <v>0.12364517</v>
      </c>
      <c r="H150" s="9">
        <v>0.11876828</v>
      </c>
      <c r="I150" s="9">
        <v>0.1175272</v>
      </c>
      <c r="J150" s="9">
        <v>0.12000935</v>
      </c>
      <c r="K150" s="9">
        <v>0.12829909</v>
      </c>
      <c r="L150" s="9">
        <v>0.12669484</v>
      </c>
      <c r="M150" s="9">
        <v>0.12990335</v>
      </c>
    </row>
    <row r="151" spans="2:13" ht="1" customHeight="1">
      <c r="B151" s="9" t="s">
        <v>40</v>
      </c>
      <c r="C151" s="9" t="str">
        <f t="shared" si="12"/>
        <v>Brazil2003</v>
      </c>
      <c r="D151" s="9">
        <v>2003</v>
      </c>
      <c r="E151" s="9">
        <v>0.1197093</v>
      </c>
      <c r="F151" s="9">
        <v>0.11872199999999999</v>
      </c>
      <c r="G151" s="9">
        <v>0.1206966</v>
      </c>
      <c r="H151" s="9">
        <v>0.11510483000000001</v>
      </c>
      <c r="I151" s="9">
        <v>0.11385868</v>
      </c>
      <c r="J151" s="9">
        <v>0.11635098000000001</v>
      </c>
      <c r="K151" s="9">
        <v>0.12631179000000001</v>
      </c>
      <c r="L151" s="9">
        <v>0.12469189999999999</v>
      </c>
      <c r="M151" s="9">
        <v>0.12793168999999999</v>
      </c>
    </row>
    <row r="152" spans="2:13" ht="1" customHeight="1">
      <c r="B152" s="9" t="s">
        <v>40</v>
      </c>
      <c r="C152" s="9" t="str">
        <f t="shared" si="12"/>
        <v>Brazil2004</v>
      </c>
      <c r="D152" s="9">
        <v>2004</v>
      </c>
      <c r="E152" s="9">
        <v>0.11781829000000001</v>
      </c>
      <c r="F152" s="9">
        <v>0.11686007</v>
      </c>
      <c r="G152" s="9">
        <v>0.11877651</v>
      </c>
      <c r="H152" s="9">
        <v>0.11380622999999999</v>
      </c>
      <c r="I152" s="9">
        <v>0.11259957</v>
      </c>
      <c r="J152" s="9">
        <v>0.1150129</v>
      </c>
      <c r="K152" s="9">
        <v>0.12366928000000001</v>
      </c>
      <c r="L152" s="9">
        <v>0.12209521</v>
      </c>
      <c r="M152" s="9">
        <v>0.12524334000000001</v>
      </c>
    </row>
    <row r="153" spans="2:13" ht="1" customHeight="1">
      <c r="B153" s="9" t="s">
        <v>40</v>
      </c>
      <c r="C153" s="9" t="str">
        <f t="shared" si="12"/>
        <v>Brazil2005</v>
      </c>
      <c r="D153" s="9">
        <v>2005</v>
      </c>
      <c r="E153" s="9">
        <v>0.11521512</v>
      </c>
      <c r="F153" s="9">
        <v>0.11424602</v>
      </c>
      <c r="G153" s="9">
        <v>0.11618421</v>
      </c>
      <c r="H153" s="9">
        <v>0.10915192</v>
      </c>
      <c r="I153" s="9">
        <v>0.10791615</v>
      </c>
      <c r="J153" s="9">
        <v>0.11038768</v>
      </c>
      <c r="K153" s="9">
        <v>0.12361063</v>
      </c>
      <c r="L153" s="9">
        <v>0.12205214</v>
      </c>
      <c r="M153" s="9">
        <v>0.12516911</v>
      </c>
    </row>
    <row r="154" spans="2:13" ht="1" customHeight="1">
      <c r="B154" s="9" t="s">
        <v>40</v>
      </c>
      <c r="C154" s="9" t="str">
        <f t="shared" si="12"/>
        <v>Brazil2006</v>
      </c>
      <c r="D154" s="9">
        <v>2006</v>
      </c>
      <c r="E154" s="9">
        <v>0.11473073</v>
      </c>
      <c r="F154" s="9">
        <v>0.11378874</v>
      </c>
      <c r="G154" s="9">
        <v>0.11567271</v>
      </c>
      <c r="H154" s="9">
        <v>0.10953199</v>
      </c>
      <c r="I154" s="9">
        <v>0.10832515</v>
      </c>
      <c r="J154" s="9">
        <v>0.11073884000000001</v>
      </c>
      <c r="K154" s="9">
        <v>0.12206765999999999</v>
      </c>
      <c r="L154" s="9">
        <v>0.12055738000000001</v>
      </c>
      <c r="M154" s="9">
        <v>0.12357794</v>
      </c>
    </row>
    <row r="155" spans="2:13" ht="1" customHeight="1">
      <c r="B155" s="9" t="s">
        <v>40</v>
      </c>
      <c r="C155" s="9" t="str">
        <f t="shared" si="12"/>
        <v>Brazil2007</v>
      </c>
      <c r="D155" s="9">
        <v>2007</v>
      </c>
      <c r="E155" s="9">
        <v>0.11260205</v>
      </c>
      <c r="F155" s="9">
        <v>0.1116273</v>
      </c>
      <c r="G155" s="9">
        <v>0.11357680000000001</v>
      </c>
      <c r="H155" s="9">
        <v>0.10731947999999999</v>
      </c>
      <c r="I155" s="9">
        <v>0.10607679</v>
      </c>
      <c r="J155" s="9">
        <v>0.10856217999999999</v>
      </c>
      <c r="K155" s="9">
        <v>0.12001861</v>
      </c>
      <c r="L155" s="9">
        <v>0.11844784</v>
      </c>
      <c r="M155" s="9">
        <v>0.12158937</v>
      </c>
    </row>
    <row r="156" spans="2:13" ht="1" customHeight="1">
      <c r="B156" s="9" t="s">
        <v>40</v>
      </c>
      <c r="C156" s="9" t="str">
        <f t="shared" si="12"/>
        <v>Brazil2008</v>
      </c>
      <c r="D156" s="9">
        <v>2008</v>
      </c>
      <c r="E156" s="9">
        <v>0.11101312000000001</v>
      </c>
      <c r="F156" s="9">
        <v>0.11003557</v>
      </c>
      <c r="G156" s="9">
        <v>0.11199067</v>
      </c>
      <c r="H156" s="9">
        <v>0.10398208</v>
      </c>
      <c r="I156" s="9">
        <v>0.10274265</v>
      </c>
      <c r="J156" s="9">
        <v>0.10522152</v>
      </c>
      <c r="K156" s="9">
        <v>0.12132906</v>
      </c>
      <c r="L156" s="9">
        <v>0.11973786</v>
      </c>
      <c r="M156" s="9">
        <v>0.12292024999999999</v>
      </c>
    </row>
    <row r="157" spans="2:13" ht="1" customHeight="1">
      <c r="B157" s="9" t="s">
        <v>40</v>
      </c>
      <c r="C157" s="9" t="str">
        <f t="shared" si="12"/>
        <v>Brazil2009</v>
      </c>
      <c r="D157" s="9">
        <v>2009</v>
      </c>
      <c r="E157" s="9">
        <v>0.10996715999999999</v>
      </c>
      <c r="F157" s="9">
        <v>0.10900169</v>
      </c>
      <c r="G157" s="9">
        <v>0.11093263</v>
      </c>
      <c r="H157" s="9">
        <v>0.10385178</v>
      </c>
      <c r="I157" s="9">
        <v>0.10262588</v>
      </c>
      <c r="J157" s="9">
        <v>0.10507769</v>
      </c>
      <c r="K157" s="9">
        <v>0.1187338</v>
      </c>
      <c r="L157" s="9">
        <v>0.11716633999999999</v>
      </c>
      <c r="M157" s="9">
        <v>0.12030125999999999</v>
      </c>
    </row>
    <row r="158" spans="2:13" ht="1" customHeight="1">
      <c r="B158" s="9" t="s">
        <v>40</v>
      </c>
      <c r="C158" s="9" t="str">
        <f t="shared" si="12"/>
        <v>Brazil2010</v>
      </c>
      <c r="D158" s="9">
        <v>2010</v>
      </c>
      <c r="E158" s="9">
        <v>9.885845E-2</v>
      </c>
      <c r="F158" s="9">
        <v>9.7868960000000005E-2</v>
      </c>
      <c r="G158" s="9">
        <v>9.9847930000000001E-2</v>
      </c>
      <c r="H158" s="9">
        <v>9.4153849999999997E-2</v>
      </c>
      <c r="I158" s="9">
        <v>9.2896489999999998E-2</v>
      </c>
      <c r="J158" s="9">
        <v>9.5411200000000002E-2</v>
      </c>
      <c r="K158" s="9">
        <v>0.10576496000000001</v>
      </c>
      <c r="L158" s="9">
        <v>0.10415482</v>
      </c>
      <c r="M158" s="9">
        <v>0.10737511</v>
      </c>
    </row>
    <row r="159" spans="2:13" ht="1" customHeight="1">
      <c r="B159" s="9" t="s">
        <v>40</v>
      </c>
      <c r="C159" s="9" t="str">
        <f t="shared" si="12"/>
        <v>Brazil2011</v>
      </c>
      <c r="D159" s="9">
        <v>2011</v>
      </c>
      <c r="E159" s="9">
        <v>9.885845E-2</v>
      </c>
      <c r="F159" s="9">
        <v>9.7868960000000005E-2</v>
      </c>
      <c r="G159" s="9">
        <v>9.9847930000000001E-2</v>
      </c>
      <c r="H159" s="9">
        <v>9.4153849999999997E-2</v>
      </c>
      <c r="I159" s="9">
        <v>9.2896489999999998E-2</v>
      </c>
      <c r="J159" s="9">
        <v>9.5411200000000002E-2</v>
      </c>
      <c r="K159" s="9">
        <v>0.10576496000000001</v>
      </c>
      <c r="L159" s="9">
        <v>0.10415482</v>
      </c>
      <c r="M159" s="9">
        <v>0.10737511</v>
      </c>
    </row>
    <row r="160" spans="2:13" ht="1" customHeight="1">
      <c r="B160" s="9" t="s">
        <v>40</v>
      </c>
      <c r="C160" s="9" t="str">
        <f t="shared" si="12"/>
        <v>Brazil2012</v>
      </c>
      <c r="D160" s="9">
        <v>2012</v>
      </c>
      <c r="E160" s="9">
        <v>0.10189801</v>
      </c>
      <c r="F160" s="9">
        <v>0.10091248</v>
      </c>
      <c r="G160" s="9">
        <v>0.10288354</v>
      </c>
      <c r="H160" s="9">
        <v>9.7227270000000005E-2</v>
      </c>
      <c r="I160" s="9">
        <v>9.5968090000000006E-2</v>
      </c>
      <c r="J160" s="9">
        <v>9.8486439999999995E-2</v>
      </c>
      <c r="K160" s="9">
        <v>0.10876081999999999</v>
      </c>
      <c r="L160" s="9">
        <v>0.10716979</v>
      </c>
      <c r="M160" s="9">
        <v>0.11035185</v>
      </c>
    </row>
    <row r="161" spans="2:13" ht="1" customHeight="1">
      <c r="B161" s="9" t="s">
        <v>40</v>
      </c>
      <c r="C161" s="9" t="str">
        <f t="shared" si="12"/>
        <v>Brazil2013</v>
      </c>
      <c r="D161" s="9">
        <v>2013</v>
      </c>
      <c r="E161" s="9">
        <v>0.10021929</v>
      </c>
      <c r="F161" s="9">
        <v>9.9210839999999995E-2</v>
      </c>
      <c r="G161" s="9">
        <v>0.10122775000000001</v>
      </c>
      <c r="H161" s="9">
        <v>9.4286239999999993E-2</v>
      </c>
      <c r="I161" s="9">
        <v>9.299193E-2</v>
      </c>
      <c r="J161" s="9">
        <v>9.558055E-2</v>
      </c>
      <c r="K161" s="9">
        <v>0.10908013</v>
      </c>
      <c r="L161" s="9">
        <v>0.10746430999999999</v>
      </c>
      <c r="M161" s="9">
        <v>0.11069594000000001</v>
      </c>
    </row>
    <row r="162" spans="2:13" ht="1" customHeight="1">
      <c r="B162" s="9" t="s">
        <v>40</v>
      </c>
      <c r="C162" s="9" t="str">
        <f t="shared" si="12"/>
        <v>Brazil2014</v>
      </c>
      <c r="D162" s="9">
        <v>2014</v>
      </c>
      <c r="E162" s="9">
        <v>0.10021929</v>
      </c>
      <c r="F162" s="9">
        <v>9.9210839999999995E-2</v>
      </c>
      <c r="G162" s="9">
        <v>0.10122775000000001</v>
      </c>
      <c r="H162" s="9">
        <v>9.4286239999999993E-2</v>
      </c>
      <c r="I162" s="9">
        <v>9.299193E-2</v>
      </c>
      <c r="J162" s="9">
        <v>9.558055E-2</v>
      </c>
      <c r="K162" s="9">
        <v>0.10908013</v>
      </c>
      <c r="L162" s="9">
        <v>0.10746430999999999</v>
      </c>
      <c r="M162" s="9">
        <v>0.11069594000000001</v>
      </c>
    </row>
    <row r="163" spans="2:13" ht="1" customHeight="1">
      <c r="B163" s="9" t="s">
        <v>41</v>
      </c>
      <c r="C163" s="9" t="str">
        <f t="shared" si="12"/>
        <v>Chile1995</v>
      </c>
      <c r="D163" s="9">
        <v>1995</v>
      </c>
      <c r="E163" s="9">
        <v>0.10339998</v>
      </c>
      <c r="F163" s="9">
        <v>0.10020323</v>
      </c>
      <c r="G163" s="9">
        <v>0.10659673</v>
      </c>
      <c r="H163" s="9">
        <v>0.10345387</v>
      </c>
      <c r="I163" s="9">
        <v>9.9686250000000004E-2</v>
      </c>
      <c r="J163" s="9">
        <v>0.10722149</v>
      </c>
      <c r="K163" s="9">
        <v>0.10289734</v>
      </c>
      <c r="L163" s="9">
        <v>9.7105839999999999E-2</v>
      </c>
      <c r="M163" s="9">
        <v>0.10868885</v>
      </c>
    </row>
    <row r="164" spans="2:13" ht="1" customHeight="1">
      <c r="B164" s="9" t="s">
        <v>41</v>
      </c>
      <c r="C164" s="9" t="str">
        <f t="shared" si="12"/>
        <v>Chile1996</v>
      </c>
      <c r="D164" s="9">
        <v>1996</v>
      </c>
      <c r="E164" s="9">
        <v>0.10339998</v>
      </c>
      <c r="F164" s="9">
        <v>0.10020323</v>
      </c>
      <c r="G164" s="9">
        <v>0.10659673</v>
      </c>
      <c r="H164" s="9">
        <v>0.10345387</v>
      </c>
      <c r="I164" s="9">
        <v>9.9686250000000004E-2</v>
      </c>
      <c r="J164" s="9">
        <v>0.10722149</v>
      </c>
      <c r="K164" s="9">
        <v>0.10289734</v>
      </c>
      <c r="L164" s="9">
        <v>9.7105839999999999E-2</v>
      </c>
      <c r="M164" s="9">
        <v>0.10868885</v>
      </c>
    </row>
    <row r="165" spans="2:13" ht="1" customHeight="1">
      <c r="B165" s="9" t="s">
        <v>41</v>
      </c>
      <c r="C165" s="9" t="str">
        <f t="shared" si="12"/>
        <v>Chile1997</v>
      </c>
      <c r="D165" s="9">
        <v>1997</v>
      </c>
      <c r="E165" s="9">
        <v>0.10487077</v>
      </c>
      <c r="F165" s="9">
        <v>0.10277064</v>
      </c>
      <c r="G165" s="9">
        <v>0.10697089999999999</v>
      </c>
      <c r="H165" s="9">
        <v>0.10259393</v>
      </c>
      <c r="I165" s="9">
        <v>0.10003871</v>
      </c>
      <c r="J165" s="9">
        <v>0.10514916000000001</v>
      </c>
      <c r="K165" s="9">
        <v>0.10884715</v>
      </c>
      <c r="L165" s="9">
        <v>0.1051671</v>
      </c>
      <c r="M165" s="9">
        <v>0.11252719999999999</v>
      </c>
    </row>
    <row r="166" spans="2:13" ht="1" customHeight="1">
      <c r="B166" s="9" t="s">
        <v>41</v>
      </c>
      <c r="C166" s="9" t="str">
        <f t="shared" si="12"/>
        <v>Chile1998</v>
      </c>
      <c r="D166" s="9">
        <v>1998</v>
      </c>
      <c r="E166" s="9">
        <v>0.10487077</v>
      </c>
      <c r="F166" s="9">
        <v>0.10277064</v>
      </c>
      <c r="G166" s="9">
        <v>0.10697089999999999</v>
      </c>
      <c r="H166" s="9">
        <v>0.10259393</v>
      </c>
      <c r="I166" s="9">
        <v>0.10003871</v>
      </c>
      <c r="J166" s="9">
        <v>0.10514916000000001</v>
      </c>
      <c r="K166" s="9">
        <v>0.10884715</v>
      </c>
      <c r="L166" s="9">
        <v>0.1051671</v>
      </c>
      <c r="M166" s="9">
        <v>0.11252719999999999</v>
      </c>
    </row>
    <row r="167" spans="2:13" ht="1" customHeight="1">
      <c r="B167" s="9" t="s">
        <v>41</v>
      </c>
      <c r="C167" s="9" t="str">
        <f t="shared" si="12"/>
        <v>Chile1999</v>
      </c>
      <c r="D167" s="9">
        <v>1999</v>
      </c>
      <c r="E167" s="9">
        <v>0.10703070000000001</v>
      </c>
      <c r="F167" s="9">
        <v>0.10473283</v>
      </c>
      <c r="G167" s="9">
        <v>0.10932857999999999</v>
      </c>
      <c r="H167" s="9">
        <v>0.1053188</v>
      </c>
      <c r="I167" s="9">
        <v>0.10261619</v>
      </c>
      <c r="J167" s="9">
        <v>0.10802141</v>
      </c>
      <c r="K167" s="9">
        <v>0.10991299</v>
      </c>
      <c r="L167" s="9">
        <v>0.10572152</v>
      </c>
      <c r="M167" s="9">
        <v>0.11410446</v>
      </c>
    </row>
    <row r="168" spans="2:13" ht="1" customHeight="1">
      <c r="B168" s="9" t="s">
        <v>41</v>
      </c>
      <c r="C168" s="9" t="str">
        <f t="shared" si="12"/>
        <v>Chile2000</v>
      </c>
      <c r="D168" s="9">
        <v>2000</v>
      </c>
      <c r="E168" s="9">
        <v>0.10703070000000001</v>
      </c>
      <c r="F168" s="9">
        <v>0.10473283</v>
      </c>
      <c r="G168" s="9">
        <v>0.10932857999999999</v>
      </c>
      <c r="H168" s="9">
        <v>0.1053188</v>
      </c>
      <c r="I168" s="9">
        <v>0.10261619</v>
      </c>
      <c r="J168" s="9">
        <v>0.10802141</v>
      </c>
      <c r="K168" s="9">
        <v>0.10991299</v>
      </c>
      <c r="L168" s="9">
        <v>0.10572152</v>
      </c>
      <c r="M168" s="9">
        <v>0.11410446</v>
      </c>
    </row>
    <row r="169" spans="2:13" ht="1" customHeight="1">
      <c r="B169" s="9" t="s">
        <v>41</v>
      </c>
      <c r="C169" s="9" t="str">
        <f t="shared" si="12"/>
        <v>Chile2001</v>
      </c>
      <c r="D169" s="9">
        <v>2001</v>
      </c>
      <c r="E169" s="9">
        <v>0.10703070000000001</v>
      </c>
      <c r="F169" s="9">
        <v>0.10473283</v>
      </c>
      <c r="G169" s="9">
        <v>0.10932857999999999</v>
      </c>
      <c r="H169" s="9">
        <v>0.1053188</v>
      </c>
      <c r="I169" s="9">
        <v>0.10261619</v>
      </c>
      <c r="J169" s="9">
        <v>0.10802141</v>
      </c>
      <c r="K169" s="9">
        <v>0.10991299</v>
      </c>
      <c r="L169" s="9">
        <v>0.10572152</v>
      </c>
      <c r="M169" s="9">
        <v>0.11410446</v>
      </c>
    </row>
    <row r="170" spans="2:13" ht="1" customHeight="1">
      <c r="B170" s="9" t="s">
        <v>41</v>
      </c>
      <c r="C170" s="9" t="str">
        <f t="shared" si="12"/>
        <v>Chile2002</v>
      </c>
      <c r="D170" s="9">
        <v>2002</v>
      </c>
      <c r="E170" s="9">
        <v>0.10415297</v>
      </c>
      <c r="F170" s="9">
        <v>0.10207657000000001</v>
      </c>
      <c r="G170" s="9">
        <v>0.10622937</v>
      </c>
      <c r="H170" s="9">
        <v>0.10030376000000001</v>
      </c>
      <c r="I170" s="9">
        <v>9.7710160000000004E-2</v>
      </c>
      <c r="J170" s="9">
        <v>0.10289735999999999</v>
      </c>
      <c r="K170" s="9">
        <v>0.1102148</v>
      </c>
      <c r="L170" s="9">
        <v>0.10674852</v>
      </c>
      <c r="M170" s="9">
        <v>0.11368108</v>
      </c>
    </row>
    <row r="171" spans="2:13" ht="1" customHeight="1">
      <c r="B171" s="9" t="s">
        <v>41</v>
      </c>
      <c r="C171" s="9" t="str">
        <f t="shared" si="12"/>
        <v>Chile2003</v>
      </c>
      <c r="D171" s="9">
        <v>2003</v>
      </c>
      <c r="E171" s="9">
        <v>0.10415297</v>
      </c>
      <c r="F171" s="9">
        <v>0.10207657000000001</v>
      </c>
      <c r="G171" s="9">
        <v>0.10622937</v>
      </c>
      <c r="H171" s="9">
        <v>0.10030376000000001</v>
      </c>
      <c r="I171" s="9">
        <v>9.7710160000000004E-2</v>
      </c>
      <c r="J171" s="9">
        <v>0.10289735999999999</v>
      </c>
      <c r="K171" s="9">
        <v>0.1102148</v>
      </c>
      <c r="L171" s="9">
        <v>0.10674852</v>
      </c>
      <c r="M171" s="9">
        <v>0.11368108</v>
      </c>
    </row>
    <row r="172" spans="2:13" ht="1" customHeight="1">
      <c r="B172" s="9" t="s">
        <v>41</v>
      </c>
      <c r="C172" s="9" t="str">
        <f t="shared" si="12"/>
        <v>Chile2004</v>
      </c>
      <c r="D172" s="9">
        <v>2004</v>
      </c>
      <c r="E172" s="9">
        <v>0.10415297</v>
      </c>
      <c r="F172" s="9">
        <v>0.10207657000000001</v>
      </c>
      <c r="G172" s="9">
        <v>0.10622937</v>
      </c>
      <c r="H172" s="9">
        <v>0.10030376000000001</v>
      </c>
      <c r="I172" s="9">
        <v>9.7710160000000004E-2</v>
      </c>
      <c r="J172" s="9">
        <v>0.10289735999999999</v>
      </c>
      <c r="K172" s="9">
        <v>0.1102148</v>
      </c>
      <c r="L172" s="9">
        <v>0.10674852</v>
      </c>
      <c r="M172" s="9">
        <v>0.11368108</v>
      </c>
    </row>
    <row r="173" spans="2:13" ht="1" customHeight="1">
      <c r="B173" s="9" t="s">
        <v>41</v>
      </c>
      <c r="C173" s="9" t="str">
        <f t="shared" si="12"/>
        <v>Chile2005</v>
      </c>
      <c r="D173" s="9">
        <v>2005</v>
      </c>
      <c r="E173" s="9">
        <v>0.10170054000000001</v>
      </c>
      <c r="F173" s="9">
        <v>9.9406729999999999E-2</v>
      </c>
      <c r="G173" s="9">
        <v>0.10399434</v>
      </c>
      <c r="H173" s="9">
        <v>9.5868960000000003E-2</v>
      </c>
      <c r="I173" s="9">
        <v>9.3096639999999994E-2</v>
      </c>
      <c r="J173" s="9">
        <v>9.8641279999999998E-2</v>
      </c>
      <c r="K173" s="9">
        <v>0.11104498</v>
      </c>
      <c r="L173" s="9">
        <v>0.10703215000000001</v>
      </c>
      <c r="M173" s="9">
        <v>0.11505781</v>
      </c>
    </row>
    <row r="174" spans="2:13" ht="1" customHeight="1">
      <c r="B174" s="9" t="s">
        <v>41</v>
      </c>
      <c r="C174" s="9" t="str">
        <f t="shared" si="12"/>
        <v>Chile2006</v>
      </c>
      <c r="D174" s="9">
        <v>2006</v>
      </c>
      <c r="E174" s="9">
        <v>0.10170054000000001</v>
      </c>
      <c r="F174" s="9">
        <v>9.9406729999999999E-2</v>
      </c>
      <c r="G174" s="9">
        <v>0.10399434</v>
      </c>
      <c r="H174" s="9">
        <v>9.5868960000000003E-2</v>
      </c>
      <c r="I174" s="9">
        <v>9.3096639999999994E-2</v>
      </c>
      <c r="J174" s="9">
        <v>9.8641279999999998E-2</v>
      </c>
      <c r="K174" s="9">
        <v>0.11104498</v>
      </c>
      <c r="L174" s="9">
        <v>0.10703215000000001</v>
      </c>
      <c r="M174" s="9">
        <v>0.11505781</v>
      </c>
    </row>
    <row r="175" spans="2:13" ht="1" customHeight="1">
      <c r="B175" s="9" t="s">
        <v>41</v>
      </c>
      <c r="C175" s="9" t="str">
        <f t="shared" si="12"/>
        <v>Chile2007</v>
      </c>
      <c r="D175" s="9">
        <v>2007</v>
      </c>
      <c r="E175" s="9">
        <v>0.10170054000000001</v>
      </c>
      <c r="F175" s="9">
        <v>9.9406729999999999E-2</v>
      </c>
      <c r="G175" s="9">
        <v>0.10399434</v>
      </c>
      <c r="H175" s="9">
        <v>9.5868960000000003E-2</v>
      </c>
      <c r="I175" s="9">
        <v>9.3096639999999994E-2</v>
      </c>
      <c r="J175" s="9">
        <v>9.8641279999999998E-2</v>
      </c>
      <c r="K175" s="9">
        <v>0.11104498</v>
      </c>
      <c r="L175" s="9">
        <v>0.10703215000000001</v>
      </c>
      <c r="M175" s="9">
        <v>0.11505781</v>
      </c>
    </row>
    <row r="176" spans="2:13" ht="1" customHeight="1">
      <c r="B176" s="9" t="s">
        <v>41</v>
      </c>
      <c r="C176" s="9" t="str">
        <f t="shared" si="12"/>
        <v>Chile2008</v>
      </c>
      <c r="D176" s="9">
        <v>2008</v>
      </c>
      <c r="E176" s="9">
        <v>0.10288401</v>
      </c>
      <c r="F176" s="9">
        <v>0.10025148</v>
      </c>
      <c r="G176" s="9">
        <v>0.10551655</v>
      </c>
      <c r="H176" s="9">
        <v>9.5082929999999996E-2</v>
      </c>
      <c r="I176" s="9">
        <v>9.1867459999999998E-2</v>
      </c>
      <c r="J176" s="9">
        <v>9.8298399999999994E-2</v>
      </c>
      <c r="K176" s="9">
        <v>0.11483604</v>
      </c>
      <c r="L176" s="9">
        <v>0.11034102</v>
      </c>
      <c r="M176" s="9">
        <v>0.11933107</v>
      </c>
    </row>
    <row r="177" spans="2:13" ht="1" customHeight="1">
      <c r="B177" s="9" t="s">
        <v>41</v>
      </c>
      <c r="C177" s="9" t="str">
        <f t="shared" si="12"/>
        <v>Chile2009</v>
      </c>
      <c r="D177" s="9">
        <v>2009</v>
      </c>
      <c r="E177" s="9">
        <v>0.10288401</v>
      </c>
      <c r="F177" s="9">
        <v>0.10025148</v>
      </c>
      <c r="G177" s="9">
        <v>0.10551655</v>
      </c>
      <c r="H177" s="9">
        <v>9.5082929999999996E-2</v>
      </c>
      <c r="I177" s="9">
        <v>9.1867459999999998E-2</v>
      </c>
      <c r="J177" s="9">
        <v>9.8298399999999994E-2</v>
      </c>
      <c r="K177" s="9">
        <v>0.11483604</v>
      </c>
      <c r="L177" s="9">
        <v>0.11034102</v>
      </c>
      <c r="M177" s="9">
        <v>0.11933107</v>
      </c>
    </row>
    <row r="178" spans="2:13" ht="1" customHeight="1">
      <c r="B178" s="9" t="s">
        <v>41</v>
      </c>
      <c r="C178" s="9" t="str">
        <f t="shared" si="12"/>
        <v>Chile2010</v>
      </c>
      <c r="D178" s="9">
        <v>2010</v>
      </c>
      <c r="E178" s="9">
        <v>0.1054792</v>
      </c>
      <c r="F178" s="9">
        <v>0.10226737</v>
      </c>
      <c r="G178" s="9">
        <v>0.10869102999999999</v>
      </c>
      <c r="H178" s="9">
        <v>9.7838480000000005E-2</v>
      </c>
      <c r="I178" s="9">
        <v>9.4003390000000006E-2</v>
      </c>
      <c r="J178" s="9">
        <v>0.10167357</v>
      </c>
      <c r="K178" s="9">
        <v>0.11675851</v>
      </c>
      <c r="L178" s="9">
        <v>0.11135164</v>
      </c>
      <c r="M178" s="9">
        <v>0.12216538</v>
      </c>
    </row>
    <row r="179" spans="2:13" ht="1" customHeight="1">
      <c r="B179" s="9" t="s">
        <v>41</v>
      </c>
      <c r="C179" s="9" t="str">
        <f t="shared" si="12"/>
        <v>Chile2011</v>
      </c>
      <c r="D179" s="9">
        <v>2011</v>
      </c>
      <c r="E179" s="9">
        <v>0.1054792</v>
      </c>
      <c r="F179" s="9">
        <v>0.10226737</v>
      </c>
      <c r="G179" s="9">
        <v>0.10869102999999999</v>
      </c>
      <c r="H179" s="9">
        <v>9.7838480000000005E-2</v>
      </c>
      <c r="I179" s="9">
        <v>9.4003390000000006E-2</v>
      </c>
      <c r="J179" s="9">
        <v>0.10167357</v>
      </c>
      <c r="K179" s="9">
        <v>0.11675851</v>
      </c>
      <c r="L179" s="9">
        <v>0.11135164</v>
      </c>
      <c r="M179" s="9">
        <v>0.12216538</v>
      </c>
    </row>
    <row r="180" spans="2:13" ht="1" customHeight="1">
      <c r="B180" s="9" t="s">
        <v>41</v>
      </c>
      <c r="C180" s="9" t="str">
        <f t="shared" si="12"/>
        <v>Chile2012</v>
      </c>
      <c r="D180" s="9">
        <v>2012</v>
      </c>
      <c r="E180" s="9">
        <v>9.9346130000000005E-2</v>
      </c>
      <c r="F180" s="9">
        <v>9.6424220000000005E-2</v>
      </c>
      <c r="G180" s="9">
        <v>0.10226804</v>
      </c>
      <c r="H180" s="9">
        <v>9.1994439999999997E-2</v>
      </c>
      <c r="I180" s="9">
        <v>8.8139809999999999E-2</v>
      </c>
      <c r="J180" s="9">
        <v>9.5849069999999995E-2</v>
      </c>
      <c r="K180" s="9">
        <v>0.10962848</v>
      </c>
      <c r="L180" s="9">
        <v>0.10521389</v>
      </c>
      <c r="M180" s="9">
        <v>0.11404307</v>
      </c>
    </row>
    <row r="181" spans="2:13" ht="1" customHeight="1">
      <c r="B181" s="9" t="s">
        <v>41</v>
      </c>
      <c r="C181" s="9" t="str">
        <f t="shared" si="12"/>
        <v>Chile2013</v>
      </c>
      <c r="D181" s="9">
        <v>2013</v>
      </c>
      <c r="E181" s="9">
        <v>9.9346130000000005E-2</v>
      </c>
      <c r="F181" s="9">
        <v>9.6424220000000005E-2</v>
      </c>
      <c r="G181" s="9">
        <v>0.10226804</v>
      </c>
      <c r="H181" s="9">
        <v>9.1994439999999997E-2</v>
      </c>
      <c r="I181" s="9">
        <v>8.8139809999999999E-2</v>
      </c>
      <c r="J181" s="9">
        <v>9.5849069999999995E-2</v>
      </c>
      <c r="K181" s="9">
        <v>0.10962848</v>
      </c>
      <c r="L181" s="9">
        <v>0.10521389</v>
      </c>
      <c r="M181" s="9">
        <v>0.11404307</v>
      </c>
    </row>
    <row r="182" spans="2:13" ht="1" customHeight="1">
      <c r="B182" s="9" t="s">
        <v>41</v>
      </c>
      <c r="C182" s="9" t="str">
        <f t="shared" si="12"/>
        <v>Chile2014</v>
      </c>
      <c r="D182" s="9">
        <v>2014</v>
      </c>
      <c r="E182" s="9">
        <v>9.9346130000000005E-2</v>
      </c>
      <c r="F182" s="9">
        <v>9.6424220000000005E-2</v>
      </c>
      <c r="G182" s="9">
        <v>0.10226804</v>
      </c>
      <c r="H182" s="9">
        <v>9.1994439999999997E-2</v>
      </c>
      <c r="I182" s="9">
        <v>8.8139809999999999E-2</v>
      </c>
      <c r="J182" s="9">
        <v>9.5849069999999995E-2</v>
      </c>
      <c r="K182" s="9">
        <v>0.10962848</v>
      </c>
      <c r="L182" s="9">
        <v>0.10521389</v>
      </c>
      <c r="M182" s="9">
        <v>0.11404307</v>
      </c>
    </row>
    <row r="183" spans="2:13" ht="1" customHeight="1">
      <c r="B183" s="9" t="s">
        <v>42</v>
      </c>
      <c r="C183" s="9" t="str">
        <f t="shared" si="12"/>
        <v>Colombia1995</v>
      </c>
      <c r="D183" s="9">
        <v>1995</v>
      </c>
      <c r="E183" s="9">
        <v>0.10670358000000001</v>
      </c>
      <c r="F183" s="9">
        <v>0.10470061</v>
      </c>
      <c r="G183" s="9">
        <v>0.10870655999999999</v>
      </c>
      <c r="H183" s="9">
        <v>9.5367919999999995E-2</v>
      </c>
      <c r="I183" s="9">
        <v>9.2837900000000001E-2</v>
      </c>
      <c r="J183" s="9">
        <v>9.7897940000000003E-2</v>
      </c>
      <c r="K183" s="9">
        <v>0.12430612000000001</v>
      </c>
      <c r="L183" s="9">
        <v>0.12111005</v>
      </c>
      <c r="M183" s="9">
        <v>0.12750218999999999</v>
      </c>
    </row>
    <row r="184" spans="2:13" ht="1" customHeight="1">
      <c r="B184" s="9" t="s">
        <v>42</v>
      </c>
      <c r="C184" s="9" t="str">
        <f t="shared" si="12"/>
        <v>Colombia1996</v>
      </c>
      <c r="D184" s="9">
        <v>1996</v>
      </c>
      <c r="E184" s="9">
        <v>0.11398306</v>
      </c>
      <c r="F184" s="9">
        <v>0.11172840000000001</v>
      </c>
      <c r="G184" s="9">
        <v>0.11623773</v>
      </c>
      <c r="H184" s="9">
        <v>0.10283027</v>
      </c>
      <c r="I184" s="9">
        <v>0.10001275</v>
      </c>
      <c r="J184" s="9">
        <v>0.10564779000000001</v>
      </c>
      <c r="K184" s="9">
        <v>0.13205765999999999</v>
      </c>
      <c r="L184" s="9">
        <v>0.12838783000000001</v>
      </c>
      <c r="M184" s="9">
        <v>0.13572749000000001</v>
      </c>
    </row>
    <row r="185" spans="2:13" ht="1" customHeight="1">
      <c r="B185" s="9" t="s">
        <v>42</v>
      </c>
      <c r="C185" s="9" t="str">
        <f t="shared" si="12"/>
        <v>Colombia1997</v>
      </c>
      <c r="D185" s="9">
        <v>1997</v>
      </c>
      <c r="E185" s="9">
        <v>0.14162085999999999</v>
      </c>
      <c r="F185" s="9">
        <v>0.13792062999999999</v>
      </c>
      <c r="G185" s="9">
        <v>0.14532109000000001</v>
      </c>
      <c r="H185" s="9">
        <v>0.13208105000000001</v>
      </c>
      <c r="I185" s="9">
        <v>0.12723334</v>
      </c>
      <c r="J185" s="9">
        <v>0.13692876000000001</v>
      </c>
      <c r="K185" s="9">
        <v>0.15765698</v>
      </c>
      <c r="L185" s="9">
        <v>0.15207295000000001</v>
      </c>
      <c r="M185" s="9">
        <v>0.163241</v>
      </c>
    </row>
    <row r="186" spans="2:13" ht="1" customHeight="1">
      <c r="B186" s="9" t="s">
        <v>42</v>
      </c>
      <c r="C186" s="9" t="str">
        <f t="shared" si="12"/>
        <v>Colombia1998</v>
      </c>
      <c r="D186" s="9">
        <v>1998</v>
      </c>
      <c r="E186" s="9">
        <v>0.11630937</v>
      </c>
      <c r="F186" s="9">
        <v>0.11377300999999999</v>
      </c>
      <c r="G186" s="9">
        <v>0.11884572</v>
      </c>
      <c r="H186" s="9">
        <v>0.10433104</v>
      </c>
      <c r="I186" s="9">
        <v>0.10112595000000001</v>
      </c>
      <c r="J186" s="9">
        <v>0.10753612999999999</v>
      </c>
      <c r="K186" s="9">
        <v>0.13611371</v>
      </c>
      <c r="L186" s="9">
        <v>0.13207376000000001</v>
      </c>
      <c r="M186" s="9">
        <v>0.14015366000000001</v>
      </c>
    </row>
    <row r="187" spans="2:13" ht="1" customHeight="1">
      <c r="B187" s="9" t="s">
        <v>42</v>
      </c>
      <c r="C187" s="9" t="str">
        <f t="shared" si="12"/>
        <v>Colombia1999</v>
      </c>
      <c r="D187" s="9">
        <v>1999</v>
      </c>
      <c r="E187" s="9">
        <v>0.11166802000000001</v>
      </c>
      <c r="F187" s="9">
        <v>0.10948260999999999</v>
      </c>
      <c r="G187" s="9">
        <v>0.11385342</v>
      </c>
      <c r="H187" s="9">
        <v>9.9214670000000005E-2</v>
      </c>
      <c r="I187" s="9">
        <v>9.6534690000000006E-2</v>
      </c>
      <c r="J187" s="9">
        <v>0.10189465</v>
      </c>
      <c r="K187" s="9">
        <v>0.13114181999999999</v>
      </c>
      <c r="L187" s="9">
        <v>0.12743721</v>
      </c>
      <c r="M187" s="9">
        <v>0.13484642999999999</v>
      </c>
    </row>
    <row r="188" spans="2:13" ht="1" customHeight="1">
      <c r="B188" s="9" t="s">
        <v>42</v>
      </c>
      <c r="C188" s="9" t="str">
        <f t="shared" si="12"/>
        <v>Colombia2000</v>
      </c>
      <c r="D188" s="9">
        <v>2000</v>
      </c>
      <c r="E188" s="9">
        <v>0.11580835</v>
      </c>
      <c r="F188" s="9">
        <v>0.11348966000000001</v>
      </c>
      <c r="G188" s="9">
        <v>0.11812705</v>
      </c>
      <c r="H188" s="9">
        <v>0.10094258</v>
      </c>
      <c r="I188" s="9">
        <v>9.8072569999999998E-2</v>
      </c>
      <c r="J188" s="9">
        <v>0.10381259</v>
      </c>
      <c r="K188" s="9">
        <v>0.13672313999999999</v>
      </c>
      <c r="L188" s="9">
        <v>0.13293658999999999</v>
      </c>
      <c r="M188" s="9">
        <v>0.14050969999999999</v>
      </c>
    </row>
    <row r="189" spans="2:13" ht="1" customHeight="1">
      <c r="B189" s="9" t="s">
        <v>42</v>
      </c>
      <c r="C189" s="9" t="str">
        <f t="shared" si="12"/>
        <v>Colombia2001</v>
      </c>
      <c r="D189" s="9">
        <v>2001</v>
      </c>
      <c r="E189" s="9">
        <v>0.11874803</v>
      </c>
      <c r="F189" s="9">
        <v>0.11477679</v>
      </c>
      <c r="G189" s="9">
        <v>0.12271927000000001</v>
      </c>
      <c r="H189" s="9">
        <v>0.10364101000000001</v>
      </c>
      <c r="I189" s="9">
        <v>9.8980890000000002E-2</v>
      </c>
      <c r="J189" s="9">
        <v>0.10830112</v>
      </c>
      <c r="K189" s="9">
        <v>0.13907169</v>
      </c>
      <c r="L189" s="9">
        <v>0.13196532999999999</v>
      </c>
      <c r="M189" s="9">
        <v>0.14617804000000001</v>
      </c>
    </row>
    <row r="190" spans="2:13" ht="1" customHeight="1">
      <c r="B190" s="9" t="s">
        <v>42</v>
      </c>
      <c r="C190" s="9" t="str">
        <f t="shared" si="12"/>
        <v>Colombia2002</v>
      </c>
      <c r="D190" s="9">
        <v>2002</v>
      </c>
      <c r="E190" s="9">
        <v>0.11630954</v>
      </c>
      <c r="F190" s="9">
        <v>0.11286686999999999</v>
      </c>
      <c r="G190" s="9">
        <v>0.11975221</v>
      </c>
      <c r="H190" s="9">
        <v>0.10318469</v>
      </c>
      <c r="I190" s="9">
        <v>9.8922189999999993E-2</v>
      </c>
      <c r="J190" s="9">
        <v>0.10744719</v>
      </c>
      <c r="K190" s="9">
        <v>0.13678139</v>
      </c>
      <c r="L190" s="9">
        <v>0.13110988000000001</v>
      </c>
      <c r="M190" s="9">
        <v>0.14245289</v>
      </c>
    </row>
    <row r="191" spans="2:13" ht="1" customHeight="1">
      <c r="B191" s="9" t="s">
        <v>42</v>
      </c>
      <c r="C191" s="9" t="str">
        <f t="shared" si="12"/>
        <v>Colombia2003</v>
      </c>
      <c r="D191" s="9">
        <v>2003</v>
      </c>
      <c r="E191" s="9">
        <v>0.10949454</v>
      </c>
      <c r="F191" s="9">
        <v>0.10618676000000001</v>
      </c>
      <c r="G191" s="9">
        <v>0.11280232</v>
      </c>
      <c r="H191" s="9">
        <v>9.4575690000000004E-2</v>
      </c>
      <c r="I191" s="9">
        <v>9.0714569999999994E-2</v>
      </c>
      <c r="J191" s="9">
        <v>9.8436800000000005E-2</v>
      </c>
      <c r="K191" s="9">
        <v>0.13311345999999999</v>
      </c>
      <c r="L191" s="9">
        <v>0.12719105</v>
      </c>
      <c r="M191" s="9">
        <v>0.13903587000000001</v>
      </c>
    </row>
    <row r="192" spans="2:13" ht="1" customHeight="1">
      <c r="B192" s="9" t="s">
        <v>42</v>
      </c>
      <c r="C192" s="9" t="str">
        <f t="shared" si="12"/>
        <v>Colombia2004</v>
      </c>
      <c r="D192" s="9">
        <v>2004</v>
      </c>
      <c r="E192" s="9">
        <v>0.1103996</v>
      </c>
      <c r="F192" s="9">
        <v>0.10792356</v>
      </c>
      <c r="G192" s="9">
        <v>0.11287563</v>
      </c>
      <c r="H192" s="9">
        <v>9.5864809999999995E-2</v>
      </c>
      <c r="I192" s="9">
        <v>9.2844140000000006E-2</v>
      </c>
      <c r="J192" s="9">
        <v>9.8885479999999998E-2</v>
      </c>
      <c r="K192" s="9">
        <v>0.13256683999999999</v>
      </c>
      <c r="L192" s="9">
        <v>0.12854246999999999</v>
      </c>
      <c r="M192" s="9">
        <v>0.13659120999999999</v>
      </c>
    </row>
    <row r="193" spans="2:13" ht="1" customHeight="1">
      <c r="B193" s="9" t="s">
        <v>42</v>
      </c>
      <c r="C193" s="9" t="str">
        <f t="shared" si="12"/>
        <v>Colombia2005</v>
      </c>
      <c r="D193" s="9">
        <v>2005</v>
      </c>
      <c r="E193" s="9">
        <v>0.11066503</v>
      </c>
      <c r="F193" s="9">
        <v>0.10837959</v>
      </c>
      <c r="G193" s="9">
        <v>0.11295047</v>
      </c>
      <c r="H193" s="9">
        <v>9.5996890000000001E-2</v>
      </c>
      <c r="I193" s="9">
        <v>9.3252699999999994E-2</v>
      </c>
      <c r="J193" s="9">
        <v>9.8741079999999995E-2</v>
      </c>
      <c r="K193" s="9">
        <v>0.13438567000000001</v>
      </c>
      <c r="L193" s="9">
        <v>0.13045396000000001</v>
      </c>
      <c r="M193" s="9">
        <v>0.13831737999999999</v>
      </c>
    </row>
    <row r="194" spans="2:13" ht="1" customHeight="1">
      <c r="B194" s="9" t="s">
        <v>42</v>
      </c>
      <c r="C194" s="9" t="str">
        <f t="shared" si="12"/>
        <v>Colombia2006</v>
      </c>
      <c r="D194" s="9">
        <v>2006</v>
      </c>
      <c r="E194" s="9">
        <v>0.11039055</v>
      </c>
      <c r="F194" s="9">
        <v>0.10694624</v>
      </c>
      <c r="G194" s="9">
        <v>0.11383485</v>
      </c>
      <c r="H194" s="9">
        <v>9.2024030000000007E-2</v>
      </c>
      <c r="I194" s="9">
        <v>8.7719699999999998E-2</v>
      </c>
      <c r="J194" s="9">
        <v>9.6328360000000002E-2</v>
      </c>
      <c r="K194" s="9">
        <v>0.13493529000000001</v>
      </c>
      <c r="L194" s="9">
        <v>0.12960297000000001</v>
      </c>
      <c r="M194" s="9">
        <v>0.14026759999999999</v>
      </c>
    </row>
    <row r="195" spans="2:13" ht="1" customHeight="1">
      <c r="B195" s="9" t="s">
        <v>42</v>
      </c>
      <c r="C195" s="9" t="str">
        <f t="shared" si="12"/>
        <v>Colombia2007</v>
      </c>
      <c r="D195" s="9">
        <v>2007</v>
      </c>
      <c r="E195" s="9">
        <v>0.10886052</v>
      </c>
      <c r="F195" s="9">
        <v>0.10662046</v>
      </c>
      <c r="G195" s="9">
        <v>0.11110057</v>
      </c>
      <c r="H195" s="9">
        <v>9.2299119999999998E-2</v>
      </c>
      <c r="I195" s="9">
        <v>8.9466989999999996E-2</v>
      </c>
      <c r="J195" s="9">
        <v>9.5131250000000001E-2</v>
      </c>
      <c r="K195" s="9">
        <v>0.13048908000000001</v>
      </c>
      <c r="L195" s="9">
        <v>0.12699265000000001</v>
      </c>
      <c r="M195" s="9">
        <v>0.13398550000000001</v>
      </c>
    </row>
    <row r="196" spans="2:13" ht="1" customHeight="1">
      <c r="B196" s="9" t="s">
        <v>42</v>
      </c>
      <c r="C196" s="9" t="str">
        <f t="shared" si="12"/>
        <v>Colombia2008</v>
      </c>
      <c r="D196" s="9">
        <v>2008</v>
      </c>
      <c r="E196" s="9">
        <v>0.10722172000000001</v>
      </c>
      <c r="F196" s="9">
        <v>0.10504556</v>
      </c>
      <c r="G196" s="9">
        <v>0.10939786999999999</v>
      </c>
      <c r="H196" s="9">
        <v>9.2149949999999994E-2</v>
      </c>
      <c r="I196" s="9">
        <v>8.9444540000000003E-2</v>
      </c>
      <c r="J196" s="9">
        <v>9.485536E-2</v>
      </c>
      <c r="K196" s="9">
        <v>0.13134756</v>
      </c>
      <c r="L196" s="9">
        <v>0.12776180000000001</v>
      </c>
      <c r="M196" s="9">
        <v>0.13493331</v>
      </c>
    </row>
    <row r="197" spans="2:13" ht="1" customHeight="1">
      <c r="B197" s="9" t="s">
        <v>42</v>
      </c>
      <c r="C197" s="9" t="str">
        <f t="shared" si="12"/>
        <v>Colombia2009</v>
      </c>
      <c r="D197" s="9">
        <v>2009</v>
      </c>
      <c r="E197" s="9">
        <v>0.10782202</v>
      </c>
      <c r="F197" s="9">
        <v>0.10573601000000001</v>
      </c>
      <c r="G197" s="9">
        <v>0.10990803</v>
      </c>
      <c r="H197" s="9">
        <v>9.1481469999999995E-2</v>
      </c>
      <c r="I197" s="9">
        <v>8.8907050000000001E-2</v>
      </c>
      <c r="J197" s="9">
        <v>9.4055890000000003E-2</v>
      </c>
      <c r="K197" s="9">
        <v>0.1336138</v>
      </c>
      <c r="L197" s="9">
        <v>0.13024549999999999</v>
      </c>
      <c r="M197" s="9">
        <v>0.13698209</v>
      </c>
    </row>
    <row r="198" spans="2:13" ht="1" customHeight="1">
      <c r="B198" s="9" t="s">
        <v>42</v>
      </c>
      <c r="C198" s="9" t="str">
        <f t="shared" si="12"/>
        <v>Colombia2010</v>
      </c>
      <c r="D198" s="9">
        <v>2010</v>
      </c>
      <c r="E198" s="9">
        <v>0.1082798</v>
      </c>
      <c r="F198" s="9">
        <v>0.10616535000000001</v>
      </c>
      <c r="G198" s="9">
        <v>0.11039425</v>
      </c>
      <c r="H198" s="9">
        <v>9.0589429999999999E-2</v>
      </c>
      <c r="I198" s="9">
        <v>8.8035669999999996E-2</v>
      </c>
      <c r="J198" s="9">
        <v>9.3143190000000001E-2</v>
      </c>
      <c r="K198" s="9">
        <v>0.13498566000000001</v>
      </c>
      <c r="L198" s="9">
        <v>0.13140463999999999</v>
      </c>
      <c r="M198" s="9">
        <v>0.13856667</v>
      </c>
    </row>
    <row r="199" spans="2:13" ht="1" customHeight="1">
      <c r="B199" s="9" t="s">
        <v>42</v>
      </c>
      <c r="C199" s="9" t="str">
        <f t="shared" si="12"/>
        <v>Colombia2011</v>
      </c>
      <c r="D199" s="9">
        <v>2011</v>
      </c>
      <c r="E199" s="9">
        <v>0.10387001</v>
      </c>
      <c r="F199" s="9">
        <v>0.10177862</v>
      </c>
      <c r="G199" s="9">
        <v>0.1059614</v>
      </c>
      <c r="H199" s="9">
        <v>8.6586040000000003E-2</v>
      </c>
      <c r="I199" s="9">
        <v>8.408069E-2</v>
      </c>
      <c r="J199" s="9">
        <v>8.9091390000000006E-2</v>
      </c>
      <c r="K199" s="9">
        <v>0.130496</v>
      </c>
      <c r="L199" s="9">
        <v>0.12695232000000001</v>
      </c>
      <c r="M199" s="9">
        <v>0.13403968999999999</v>
      </c>
    </row>
    <row r="200" spans="2:13" ht="1" customHeight="1">
      <c r="B200" s="9" t="s">
        <v>42</v>
      </c>
      <c r="C200" s="9" t="str">
        <f t="shared" si="12"/>
        <v>Colombia2012</v>
      </c>
      <c r="D200" s="9">
        <v>2012</v>
      </c>
      <c r="E200" s="9">
        <v>0.10891574</v>
      </c>
      <c r="F200" s="9">
        <v>0.10681515</v>
      </c>
      <c r="G200" s="9">
        <v>0.11101633</v>
      </c>
      <c r="H200" s="9">
        <v>9.1291419999999998E-2</v>
      </c>
      <c r="I200" s="9">
        <v>8.8790320000000006E-2</v>
      </c>
      <c r="J200" s="9">
        <v>9.3792520000000004E-2</v>
      </c>
      <c r="K200" s="9">
        <v>0.13645344000000001</v>
      </c>
      <c r="L200" s="9">
        <v>0.13287208</v>
      </c>
      <c r="M200" s="9">
        <v>0.14003479999999999</v>
      </c>
    </row>
    <row r="201" spans="2:13" ht="1" customHeight="1">
      <c r="B201" s="9" t="s">
        <v>42</v>
      </c>
      <c r="C201" s="9" t="str">
        <f t="shared" si="12"/>
        <v>Colombia2013</v>
      </c>
      <c r="D201" s="9">
        <v>2013</v>
      </c>
      <c r="E201" s="9">
        <v>0.10356708000000001</v>
      </c>
      <c r="F201" s="9">
        <v>0.10146445</v>
      </c>
      <c r="G201" s="9">
        <v>0.10566970000000001</v>
      </c>
      <c r="H201" s="9">
        <v>8.5978509999999994E-2</v>
      </c>
      <c r="I201" s="9">
        <v>8.3461670000000002E-2</v>
      </c>
      <c r="J201" s="9">
        <v>8.8495340000000006E-2</v>
      </c>
      <c r="K201" s="9">
        <v>0.13023836999999999</v>
      </c>
      <c r="L201" s="9">
        <v>0.1266409</v>
      </c>
      <c r="M201" s="9">
        <v>0.13383585000000001</v>
      </c>
    </row>
    <row r="202" spans="2:13" ht="1" customHeight="1">
      <c r="B202" s="9" t="s">
        <v>42</v>
      </c>
      <c r="C202" s="9" t="str">
        <f t="shared" si="12"/>
        <v>Colombia2014</v>
      </c>
      <c r="D202" s="9">
        <v>2014</v>
      </c>
      <c r="E202" s="9">
        <v>0.1054455</v>
      </c>
      <c r="F202" s="9">
        <v>0.10322989</v>
      </c>
      <c r="G202" s="9">
        <v>0.10766112</v>
      </c>
      <c r="H202" s="9">
        <v>8.7992089999999995E-2</v>
      </c>
      <c r="I202" s="9">
        <v>8.5402560000000002E-2</v>
      </c>
      <c r="J202" s="9">
        <v>9.0581610000000007E-2</v>
      </c>
      <c r="K202" s="9">
        <v>0.1313782</v>
      </c>
      <c r="L202" s="9">
        <v>0.12750759</v>
      </c>
      <c r="M202" s="9">
        <v>0.13524881</v>
      </c>
    </row>
    <row r="203" spans="2:13" ht="1" customHeight="1">
      <c r="B203" s="9" t="s">
        <v>43</v>
      </c>
      <c r="C203" s="9" t="str">
        <f t="shared" si="12"/>
        <v>Costa Rica1995</v>
      </c>
      <c r="D203" s="9">
        <v>1995</v>
      </c>
      <c r="E203" s="9">
        <v>8.6986930000000004E-2</v>
      </c>
      <c r="F203" s="9">
        <v>8.3831269999999999E-2</v>
      </c>
      <c r="G203" s="9">
        <v>9.014258E-2</v>
      </c>
      <c r="H203" s="9">
        <v>7.766816E-2</v>
      </c>
      <c r="I203" s="9">
        <v>7.3906630000000001E-2</v>
      </c>
      <c r="J203" s="9">
        <v>8.1429680000000004E-2</v>
      </c>
      <c r="K203" s="9">
        <v>0.10552555</v>
      </c>
      <c r="L203" s="9">
        <v>9.9900970000000006E-2</v>
      </c>
      <c r="M203" s="9">
        <v>0.11115013</v>
      </c>
    </row>
    <row r="204" spans="2:13" ht="1" customHeight="1">
      <c r="B204" s="9" t="s">
        <v>43</v>
      </c>
      <c r="C204" s="9" t="str">
        <f t="shared" si="12"/>
        <v>Costa Rica1996</v>
      </c>
      <c r="D204" s="9">
        <v>1996</v>
      </c>
      <c r="E204" s="9">
        <v>8.9102909999999994E-2</v>
      </c>
      <c r="F204" s="9">
        <v>8.556424E-2</v>
      </c>
      <c r="G204" s="9">
        <v>9.2641570000000006E-2</v>
      </c>
      <c r="H204" s="9">
        <v>8.1614160000000005E-2</v>
      </c>
      <c r="I204" s="9">
        <v>7.7228740000000004E-2</v>
      </c>
      <c r="J204" s="9">
        <v>8.5999569999999997E-2</v>
      </c>
      <c r="K204" s="9">
        <v>0.10311263</v>
      </c>
      <c r="L204" s="9">
        <v>9.7268309999999997E-2</v>
      </c>
      <c r="M204" s="9">
        <v>0.10895695</v>
      </c>
    </row>
    <row r="205" spans="2:13" ht="1" customHeight="1">
      <c r="B205" s="9" t="s">
        <v>43</v>
      </c>
      <c r="C205" s="9" t="str">
        <f t="shared" si="12"/>
        <v>Costa Rica1997</v>
      </c>
      <c r="D205" s="9">
        <v>1997</v>
      </c>
      <c r="E205" s="9">
        <v>8.7813760000000005E-2</v>
      </c>
      <c r="F205" s="9">
        <v>8.4521579999999999E-2</v>
      </c>
      <c r="G205" s="9">
        <v>9.1105939999999996E-2</v>
      </c>
      <c r="H205" s="9">
        <v>7.4516799999999994E-2</v>
      </c>
      <c r="I205" s="9">
        <v>7.0645089999999994E-2</v>
      </c>
      <c r="J205" s="9">
        <v>7.83885E-2</v>
      </c>
      <c r="K205" s="9">
        <v>0.11220913</v>
      </c>
      <c r="L205" s="9">
        <v>0.10630624</v>
      </c>
      <c r="M205" s="9">
        <v>0.11811203000000001</v>
      </c>
    </row>
    <row r="206" spans="2:13" ht="1" customHeight="1">
      <c r="B206" s="9" t="s">
        <v>43</v>
      </c>
      <c r="C206" s="9" t="str">
        <f t="shared" si="12"/>
        <v>Costa Rica1998</v>
      </c>
      <c r="D206" s="9">
        <v>1998</v>
      </c>
      <c r="E206" s="9">
        <v>8.8058609999999995E-2</v>
      </c>
      <c r="F206" s="9">
        <v>8.501802E-2</v>
      </c>
      <c r="G206" s="9">
        <v>9.1099200000000005E-2</v>
      </c>
      <c r="H206" s="9">
        <v>7.4002869999999998E-2</v>
      </c>
      <c r="I206" s="9">
        <v>7.0387489999999997E-2</v>
      </c>
      <c r="J206" s="9">
        <v>7.7618240000000005E-2</v>
      </c>
      <c r="K206" s="9">
        <v>0.11372032999999999</v>
      </c>
      <c r="L206" s="9">
        <v>0.10838726999999999</v>
      </c>
      <c r="M206" s="9">
        <v>0.1190534</v>
      </c>
    </row>
    <row r="207" spans="2:13" ht="1" customHeight="1">
      <c r="B207" s="9" t="s">
        <v>43</v>
      </c>
      <c r="C207" s="9" t="str">
        <f t="shared" si="12"/>
        <v>Costa Rica1999</v>
      </c>
      <c r="D207" s="9">
        <v>1999</v>
      </c>
      <c r="E207" s="9">
        <v>8.9528490000000002E-2</v>
      </c>
      <c r="F207" s="9">
        <v>8.6402919999999994E-2</v>
      </c>
      <c r="G207" s="9">
        <v>9.2654059999999996E-2</v>
      </c>
      <c r="H207" s="9">
        <v>7.7664339999999998E-2</v>
      </c>
      <c r="I207" s="9">
        <v>7.3812600000000006E-2</v>
      </c>
      <c r="J207" s="9">
        <v>8.1516089999999999E-2</v>
      </c>
      <c r="K207" s="9">
        <v>0.10910108</v>
      </c>
      <c r="L207" s="9">
        <v>0.10383365</v>
      </c>
      <c r="M207" s="9">
        <v>0.11436851000000001</v>
      </c>
    </row>
    <row r="208" spans="2:13" ht="1" customHeight="1">
      <c r="B208" s="9" t="s">
        <v>43</v>
      </c>
      <c r="C208" s="9" t="str">
        <f t="shared" si="12"/>
        <v>Costa Rica2000</v>
      </c>
      <c r="D208" s="9">
        <v>2000</v>
      </c>
      <c r="E208" s="9">
        <v>9.9840289999999998E-2</v>
      </c>
      <c r="F208" s="9">
        <v>9.6584349999999999E-2</v>
      </c>
      <c r="G208" s="9">
        <v>0.10309622</v>
      </c>
      <c r="H208" s="9">
        <v>8.6577749999999995E-2</v>
      </c>
      <c r="I208" s="9">
        <v>8.25428E-2</v>
      </c>
      <c r="J208" s="9">
        <v>9.0612709999999999E-2</v>
      </c>
      <c r="K208" s="9">
        <v>0.12099571000000001</v>
      </c>
      <c r="L208" s="9">
        <v>0.11559264</v>
      </c>
      <c r="M208" s="9">
        <v>0.12639876999999999</v>
      </c>
    </row>
    <row r="209" spans="2:13" ht="1" customHeight="1">
      <c r="B209" s="9" t="s">
        <v>43</v>
      </c>
      <c r="C209" s="9" t="str">
        <f t="shared" si="12"/>
        <v>Costa Rica2001</v>
      </c>
      <c r="D209" s="9">
        <v>2001</v>
      </c>
      <c r="E209" s="9">
        <v>9.9840289999999998E-2</v>
      </c>
      <c r="F209" s="9">
        <v>9.6584349999999999E-2</v>
      </c>
      <c r="G209" s="9">
        <v>0.10309622</v>
      </c>
      <c r="H209" s="9">
        <v>8.6577749999999995E-2</v>
      </c>
      <c r="I209" s="9">
        <v>8.25428E-2</v>
      </c>
      <c r="J209" s="9">
        <v>9.0612709999999999E-2</v>
      </c>
      <c r="K209" s="9">
        <v>0.12099571000000001</v>
      </c>
      <c r="L209" s="9">
        <v>0.11559264</v>
      </c>
      <c r="M209" s="9">
        <v>0.12639876999999999</v>
      </c>
    </row>
    <row r="210" spans="2:13" ht="1" customHeight="1">
      <c r="B210" s="9" t="s">
        <v>43</v>
      </c>
      <c r="C210" s="9" t="str">
        <f t="shared" si="12"/>
        <v>Costa Rica2002</v>
      </c>
      <c r="D210" s="9">
        <v>2002</v>
      </c>
      <c r="E210" s="9">
        <v>9.6755010000000002E-2</v>
      </c>
      <c r="F210" s="9">
        <v>9.3678189999999995E-2</v>
      </c>
      <c r="G210" s="9">
        <v>9.9831829999999996E-2</v>
      </c>
      <c r="H210" s="9">
        <v>8.4745790000000001E-2</v>
      </c>
      <c r="I210" s="9">
        <v>8.0969029999999997E-2</v>
      </c>
      <c r="J210" s="9">
        <v>8.8522550000000005E-2</v>
      </c>
      <c r="K210" s="9">
        <v>0.11649553</v>
      </c>
      <c r="L210" s="9">
        <v>0.11131206</v>
      </c>
      <c r="M210" s="9">
        <v>0.121679</v>
      </c>
    </row>
    <row r="211" spans="2:13" ht="1" customHeight="1">
      <c r="B211" s="9" t="s">
        <v>43</v>
      </c>
      <c r="C211" s="9" t="str">
        <f t="shared" si="12"/>
        <v>Costa Rica2003</v>
      </c>
      <c r="D211" s="9">
        <v>2003</v>
      </c>
      <c r="E211" s="9">
        <v>9.7081269999999997E-2</v>
      </c>
      <c r="F211" s="9">
        <v>9.4128939999999994E-2</v>
      </c>
      <c r="G211" s="9">
        <v>0.10003361</v>
      </c>
      <c r="H211" s="9">
        <v>8.4703589999999995E-2</v>
      </c>
      <c r="I211" s="9">
        <v>8.1146689999999994E-2</v>
      </c>
      <c r="J211" s="9">
        <v>8.8260500000000006E-2</v>
      </c>
      <c r="K211" s="9">
        <v>0.1179868</v>
      </c>
      <c r="L211" s="9">
        <v>0.11288304</v>
      </c>
      <c r="M211" s="9">
        <v>0.12309055000000001</v>
      </c>
    </row>
    <row r="212" spans="2:13" ht="1" customHeight="1">
      <c r="B212" s="9" t="s">
        <v>43</v>
      </c>
      <c r="C212" s="9" t="str">
        <f t="shared" ref="C212:C275" si="13">CONCATENATE(B212,D212)</f>
        <v>Costa Rica2004</v>
      </c>
      <c r="D212" s="9">
        <v>2004</v>
      </c>
      <c r="E212" s="9">
        <v>9.1123750000000003E-2</v>
      </c>
      <c r="F212" s="9">
        <v>8.8228609999999999E-2</v>
      </c>
      <c r="G212" s="9">
        <v>9.4018889999999994E-2</v>
      </c>
      <c r="H212" s="9">
        <v>7.8732999999999997E-2</v>
      </c>
      <c r="I212" s="9">
        <v>7.5249369999999996E-2</v>
      </c>
      <c r="J212" s="9">
        <v>8.2216629999999999E-2</v>
      </c>
      <c r="K212" s="9">
        <v>0.11224928000000001</v>
      </c>
      <c r="L212" s="9">
        <v>0.1072974</v>
      </c>
      <c r="M212" s="9">
        <v>0.11720115</v>
      </c>
    </row>
    <row r="213" spans="2:13" ht="1" customHeight="1">
      <c r="B213" s="9" t="s">
        <v>43</v>
      </c>
      <c r="C213" s="9" t="str">
        <f t="shared" si="13"/>
        <v>Costa Rica2005</v>
      </c>
      <c r="D213" s="9">
        <v>2005</v>
      </c>
      <c r="E213" s="9">
        <v>9.1524919999999996E-2</v>
      </c>
      <c r="F213" s="9">
        <v>8.8652469999999997E-2</v>
      </c>
      <c r="G213" s="9">
        <v>9.4397369999999994E-2</v>
      </c>
      <c r="H213" s="9">
        <v>7.5065320000000005E-2</v>
      </c>
      <c r="I213" s="9">
        <v>7.1630990000000005E-2</v>
      </c>
      <c r="J213" s="9">
        <v>7.8499639999999996E-2</v>
      </c>
      <c r="K213" s="9">
        <v>0.11716430999999999</v>
      </c>
      <c r="L213" s="9">
        <v>0.11223447</v>
      </c>
      <c r="M213" s="9">
        <v>0.12209415</v>
      </c>
    </row>
    <row r="214" spans="2:13" ht="1" customHeight="1">
      <c r="B214" s="9" t="s">
        <v>43</v>
      </c>
      <c r="C214" s="9" t="str">
        <f t="shared" si="13"/>
        <v>Costa Rica2006</v>
      </c>
      <c r="D214" s="9">
        <v>2006</v>
      </c>
      <c r="E214" s="9">
        <v>9.5105200000000001E-2</v>
      </c>
      <c r="F214" s="9">
        <v>9.2418929999999996E-2</v>
      </c>
      <c r="G214" s="9">
        <v>9.7791470000000005E-2</v>
      </c>
      <c r="H214" s="9">
        <v>8.0399010000000007E-2</v>
      </c>
      <c r="I214" s="9">
        <v>7.7237349999999996E-2</v>
      </c>
      <c r="J214" s="9">
        <v>8.3560659999999995E-2</v>
      </c>
      <c r="K214" s="9">
        <v>0.11734835</v>
      </c>
      <c r="L214" s="9">
        <v>0.11260494</v>
      </c>
      <c r="M214" s="9">
        <v>0.12209175999999999</v>
      </c>
    </row>
    <row r="215" spans="2:13" ht="1" customHeight="1">
      <c r="B215" s="9" t="s">
        <v>43</v>
      </c>
      <c r="C215" s="9" t="str">
        <f t="shared" si="13"/>
        <v>Costa Rica2007</v>
      </c>
      <c r="D215" s="9">
        <v>2007</v>
      </c>
      <c r="E215" s="9">
        <v>9.3208079999999999E-2</v>
      </c>
      <c r="F215" s="9">
        <v>9.0610629999999998E-2</v>
      </c>
      <c r="G215" s="9">
        <v>9.580553E-2</v>
      </c>
      <c r="H215" s="9">
        <v>7.7328599999999997E-2</v>
      </c>
      <c r="I215" s="9">
        <v>7.4181960000000005E-2</v>
      </c>
      <c r="J215" s="9">
        <v>8.0475229999999995E-2</v>
      </c>
      <c r="K215" s="9">
        <v>0.1168583</v>
      </c>
      <c r="L215" s="9">
        <v>0.11237911</v>
      </c>
      <c r="M215" s="9">
        <v>0.12133749000000001</v>
      </c>
    </row>
    <row r="216" spans="2:13" ht="1" customHeight="1">
      <c r="B216" s="9" t="s">
        <v>43</v>
      </c>
      <c r="C216" s="9" t="str">
        <f t="shared" si="13"/>
        <v>Costa Rica2008</v>
      </c>
      <c r="D216" s="9">
        <v>2008</v>
      </c>
      <c r="E216" s="9">
        <v>9.2314800000000002E-2</v>
      </c>
      <c r="F216" s="9">
        <v>8.9648199999999997E-2</v>
      </c>
      <c r="G216" s="9">
        <v>9.4981410000000002E-2</v>
      </c>
      <c r="H216" s="9">
        <v>7.86274E-2</v>
      </c>
      <c r="I216" s="9">
        <v>7.5422520000000007E-2</v>
      </c>
      <c r="J216" s="9">
        <v>8.1832290000000002E-2</v>
      </c>
      <c r="K216" s="9">
        <v>0.11284661</v>
      </c>
      <c r="L216" s="9">
        <v>0.10824278</v>
      </c>
      <c r="M216" s="9">
        <v>0.11745045</v>
      </c>
    </row>
    <row r="217" spans="2:13" ht="1" customHeight="1">
      <c r="B217" s="9" t="s">
        <v>43</v>
      </c>
      <c r="C217" s="9" t="str">
        <f t="shared" si="13"/>
        <v>Costa Rica2009</v>
      </c>
      <c r="D217" s="9">
        <v>2009</v>
      </c>
      <c r="E217" s="9">
        <v>0.10052589000000001</v>
      </c>
      <c r="F217" s="9">
        <v>9.8012500000000002E-2</v>
      </c>
      <c r="G217" s="9">
        <v>0.10303928</v>
      </c>
      <c r="H217" s="9">
        <v>8.3485530000000002E-2</v>
      </c>
      <c r="I217" s="9">
        <v>8.0547530000000006E-2</v>
      </c>
      <c r="J217" s="9">
        <v>8.6423539999999993E-2</v>
      </c>
      <c r="K217" s="9">
        <v>0.12485198</v>
      </c>
      <c r="L217" s="9">
        <v>0.12046474</v>
      </c>
      <c r="M217" s="9">
        <v>0.12923923000000001</v>
      </c>
    </row>
    <row r="218" spans="2:13" ht="1" customHeight="1">
      <c r="B218" s="9" t="s">
        <v>43</v>
      </c>
      <c r="C218" s="9" t="str">
        <f t="shared" si="13"/>
        <v>Costa Rica2010</v>
      </c>
      <c r="D218" s="9">
        <v>2010</v>
      </c>
      <c r="E218" s="9">
        <v>0.10026261</v>
      </c>
      <c r="F218" s="9">
        <v>9.6870739999999997E-2</v>
      </c>
      <c r="G218" s="9">
        <v>0.10365447</v>
      </c>
      <c r="H218" s="9">
        <v>8.5507550000000002E-2</v>
      </c>
      <c r="I218" s="9">
        <v>8.138948E-2</v>
      </c>
      <c r="J218" s="9">
        <v>8.9625629999999998E-2</v>
      </c>
      <c r="K218" s="9">
        <v>0.12121707</v>
      </c>
      <c r="L218" s="9">
        <v>0.11545116</v>
      </c>
      <c r="M218" s="9">
        <v>0.12698298999999999</v>
      </c>
    </row>
    <row r="219" spans="2:13" ht="1" customHeight="1">
      <c r="B219" s="9" t="s">
        <v>43</v>
      </c>
      <c r="C219" s="9" t="str">
        <f t="shared" si="13"/>
        <v>Costa Rica2011</v>
      </c>
      <c r="D219" s="9">
        <v>2011</v>
      </c>
      <c r="E219" s="9">
        <v>0.11237514999999999</v>
      </c>
      <c r="F219" s="9">
        <v>0.10876652000000001</v>
      </c>
      <c r="G219" s="9">
        <v>0.11598379</v>
      </c>
      <c r="H219" s="9">
        <v>9.4355259999999996E-2</v>
      </c>
      <c r="I219" s="9">
        <v>9.0139040000000004E-2</v>
      </c>
      <c r="J219" s="9">
        <v>9.8571469999999994E-2</v>
      </c>
      <c r="K219" s="9">
        <v>0.1378173</v>
      </c>
      <c r="L219" s="9">
        <v>0.13158423999999999</v>
      </c>
      <c r="M219" s="9">
        <v>0.14405037000000001</v>
      </c>
    </row>
    <row r="220" spans="2:13" ht="1" customHeight="1">
      <c r="B220" s="9" t="s">
        <v>43</v>
      </c>
      <c r="C220" s="9" t="str">
        <f t="shared" si="13"/>
        <v>Costa Rica2012</v>
      </c>
      <c r="D220" s="9">
        <v>2012</v>
      </c>
      <c r="E220" s="9">
        <v>0.10749586</v>
      </c>
      <c r="F220" s="9">
        <v>0.10398699</v>
      </c>
      <c r="G220" s="9">
        <v>0.11100473</v>
      </c>
      <c r="H220" s="9">
        <v>8.997376E-2</v>
      </c>
      <c r="I220" s="9">
        <v>8.5725090000000004E-2</v>
      </c>
      <c r="J220" s="9">
        <v>9.4222429999999996E-2</v>
      </c>
      <c r="K220" s="9">
        <v>0.13299736000000001</v>
      </c>
      <c r="L220" s="9">
        <v>0.12713627999999999</v>
      </c>
      <c r="M220" s="9">
        <v>0.13885844</v>
      </c>
    </row>
    <row r="221" spans="2:13" ht="1" customHeight="1">
      <c r="B221" s="9" t="s">
        <v>43</v>
      </c>
      <c r="C221" s="9" t="str">
        <f t="shared" si="13"/>
        <v>Costa Rica2013</v>
      </c>
      <c r="D221" s="9">
        <v>2013</v>
      </c>
      <c r="E221" s="9">
        <v>0.11323243</v>
      </c>
      <c r="F221" s="9">
        <v>0.10961004000000001</v>
      </c>
      <c r="G221" s="9">
        <v>0.11685482</v>
      </c>
      <c r="H221" s="9">
        <v>9.4686519999999996E-2</v>
      </c>
      <c r="I221" s="9">
        <v>9.0361510000000006E-2</v>
      </c>
      <c r="J221" s="9">
        <v>9.901153E-2</v>
      </c>
      <c r="K221" s="9">
        <v>0.13922649000000001</v>
      </c>
      <c r="L221" s="9">
        <v>0.13302747000000001</v>
      </c>
      <c r="M221" s="9">
        <v>0.14542550000000001</v>
      </c>
    </row>
    <row r="222" spans="2:13" ht="1" customHeight="1">
      <c r="B222" s="9" t="s">
        <v>43</v>
      </c>
      <c r="C222" s="9" t="str">
        <f t="shared" si="13"/>
        <v>Costa Rica2014</v>
      </c>
      <c r="D222" s="9">
        <v>2014</v>
      </c>
      <c r="E222" s="9">
        <v>0.11394984</v>
      </c>
      <c r="F222" s="9">
        <v>0.11056892</v>
      </c>
      <c r="G222" s="9">
        <v>0.11733076000000001</v>
      </c>
      <c r="H222" s="9">
        <v>0.10040788</v>
      </c>
      <c r="I222" s="9">
        <v>9.6340609999999993E-2</v>
      </c>
      <c r="J222" s="9">
        <v>0.10447513999999999</v>
      </c>
      <c r="K222" s="9">
        <v>0.13282152999999999</v>
      </c>
      <c r="L222" s="9">
        <v>0.12696739000000001</v>
      </c>
      <c r="M222" s="9">
        <v>0.13867567</v>
      </c>
    </row>
    <row r="223" spans="2:13" ht="1" customHeight="1">
      <c r="B223" s="9" t="s">
        <v>113</v>
      </c>
      <c r="C223" s="9" t="str">
        <f t="shared" si="13"/>
        <v>Dominican Republic1995</v>
      </c>
      <c r="D223" s="9">
        <v>1995</v>
      </c>
      <c r="E223" s="9">
        <v>6.7959969999999995E-2</v>
      </c>
      <c r="F223" s="9">
        <v>6.4527230000000005E-2</v>
      </c>
      <c r="G223" s="9">
        <v>7.1392720000000007E-2</v>
      </c>
      <c r="H223" s="9">
        <v>6.0439630000000001E-2</v>
      </c>
      <c r="I223" s="9">
        <v>5.6119339999999997E-2</v>
      </c>
      <c r="J223" s="9">
        <v>6.4759919999999999E-2</v>
      </c>
      <c r="K223" s="9">
        <v>8.2985639999999999E-2</v>
      </c>
      <c r="L223" s="9">
        <v>7.7263129999999999E-2</v>
      </c>
      <c r="M223" s="9">
        <v>8.8708159999999994E-2</v>
      </c>
    </row>
    <row r="224" spans="2:13" ht="1" customHeight="1">
      <c r="B224" s="9" t="s">
        <v>113</v>
      </c>
      <c r="C224" s="9" t="str">
        <f t="shared" si="13"/>
        <v>Dominican Republic1996</v>
      </c>
      <c r="D224" s="9">
        <v>1996</v>
      </c>
      <c r="E224" s="9">
        <v>6.1587309999999999E-2</v>
      </c>
      <c r="F224" s="9">
        <v>5.8059069999999997E-2</v>
      </c>
      <c r="G224" s="9">
        <v>6.5115560000000003E-2</v>
      </c>
      <c r="H224" s="9">
        <v>5.54008E-2</v>
      </c>
      <c r="I224" s="9">
        <v>5.1156529999999999E-2</v>
      </c>
      <c r="J224" s="9">
        <v>5.9645070000000001E-2</v>
      </c>
      <c r="K224" s="9">
        <v>7.5814329999999999E-2</v>
      </c>
      <c r="L224" s="9">
        <v>6.9430779999999997E-2</v>
      </c>
      <c r="M224" s="9">
        <v>8.2197880000000001E-2</v>
      </c>
    </row>
    <row r="225" spans="2:13" ht="1" customHeight="1">
      <c r="B225" s="9" t="s">
        <v>113</v>
      </c>
      <c r="C225" s="9" t="str">
        <f t="shared" si="13"/>
        <v>Dominican Republic1997</v>
      </c>
      <c r="D225" s="9">
        <v>1997</v>
      </c>
      <c r="E225" s="9">
        <v>5.7863570000000003E-2</v>
      </c>
      <c r="F225" s="9">
        <v>5.4358139999999999E-2</v>
      </c>
      <c r="G225" s="9">
        <v>6.1368989999999998E-2</v>
      </c>
      <c r="H225" s="9">
        <v>5.3428490000000002E-2</v>
      </c>
      <c r="I225" s="9">
        <v>4.9018480000000003E-2</v>
      </c>
      <c r="J225" s="9">
        <v>5.7838500000000001E-2</v>
      </c>
      <c r="K225" s="9">
        <v>6.5564999999999998E-2</v>
      </c>
      <c r="L225" s="9">
        <v>5.9757270000000001E-2</v>
      </c>
      <c r="M225" s="9">
        <v>7.1372740000000004E-2</v>
      </c>
    </row>
    <row r="226" spans="2:13" ht="1" customHeight="1">
      <c r="B226" s="9" t="s">
        <v>113</v>
      </c>
      <c r="C226" s="9" t="str">
        <f t="shared" si="13"/>
        <v>Dominican Republic1998</v>
      </c>
      <c r="D226" s="9">
        <v>1998</v>
      </c>
      <c r="E226" s="9">
        <v>5.7863570000000003E-2</v>
      </c>
      <c r="F226" s="9">
        <v>5.4358139999999999E-2</v>
      </c>
      <c r="G226" s="9">
        <v>6.1368989999999998E-2</v>
      </c>
      <c r="H226" s="9">
        <v>5.3428490000000002E-2</v>
      </c>
      <c r="I226" s="9">
        <v>4.9018480000000003E-2</v>
      </c>
      <c r="J226" s="9">
        <v>5.7838500000000001E-2</v>
      </c>
      <c r="K226" s="9">
        <v>6.5564999999999998E-2</v>
      </c>
      <c r="L226" s="9">
        <v>5.9757270000000001E-2</v>
      </c>
      <c r="M226" s="9">
        <v>7.1372740000000004E-2</v>
      </c>
    </row>
    <row r="227" spans="2:13" ht="1" customHeight="1">
      <c r="B227" s="9" t="s">
        <v>113</v>
      </c>
      <c r="C227" s="9" t="str">
        <f t="shared" si="13"/>
        <v>Dominican Republic1999</v>
      </c>
      <c r="D227" s="9">
        <v>1999</v>
      </c>
      <c r="E227" s="9">
        <v>7.6597410000000005E-2</v>
      </c>
      <c r="F227" s="9">
        <v>7.3011149999999997E-2</v>
      </c>
      <c r="G227" s="9">
        <v>8.0183669999999999E-2</v>
      </c>
      <c r="H227" s="9">
        <v>6.9960270000000005E-2</v>
      </c>
      <c r="I227" s="9">
        <v>6.5415730000000005E-2</v>
      </c>
      <c r="J227" s="9">
        <v>7.4504810000000005E-2</v>
      </c>
      <c r="K227" s="9">
        <v>8.7984430000000002E-2</v>
      </c>
      <c r="L227" s="9">
        <v>8.2098920000000006E-2</v>
      </c>
      <c r="M227" s="9">
        <v>9.3869949999999994E-2</v>
      </c>
    </row>
    <row r="228" spans="2:13" ht="1" customHeight="1">
      <c r="B228" s="9" t="s">
        <v>113</v>
      </c>
      <c r="C228" s="9" t="str">
        <f t="shared" si="13"/>
        <v>Dominican Republic2000</v>
      </c>
      <c r="D228" s="9">
        <v>2000</v>
      </c>
      <c r="E228" s="9">
        <v>7.6597410000000005E-2</v>
      </c>
      <c r="F228" s="9">
        <v>7.3011149999999997E-2</v>
      </c>
      <c r="G228" s="9">
        <v>8.0183669999999999E-2</v>
      </c>
      <c r="H228" s="9">
        <v>6.9960270000000005E-2</v>
      </c>
      <c r="I228" s="9">
        <v>6.5415730000000005E-2</v>
      </c>
      <c r="J228" s="9">
        <v>7.4504810000000005E-2</v>
      </c>
      <c r="K228" s="9">
        <v>8.7984430000000002E-2</v>
      </c>
      <c r="L228" s="9">
        <v>8.2098920000000006E-2</v>
      </c>
      <c r="M228" s="9">
        <v>9.3869949999999994E-2</v>
      </c>
    </row>
    <row r="229" spans="2:13" ht="1" customHeight="1">
      <c r="B229" s="9" t="s">
        <v>113</v>
      </c>
      <c r="C229" s="9" t="str">
        <f t="shared" si="13"/>
        <v>Dominican Republic2001</v>
      </c>
      <c r="D229" s="9">
        <v>2001</v>
      </c>
      <c r="E229" s="9">
        <v>7.453767E-2</v>
      </c>
      <c r="F229" s="9">
        <v>7.0702959999999995E-2</v>
      </c>
      <c r="G229" s="9">
        <v>7.8372380000000005E-2</v>
      </c>
      <c r="H229" s="9">
        <v>6.7653840000000007E-2</v>
      </c>
      <c r="I229" s="9">
        <v>6.2900739999999997E-2</v>
      </c>
      <c r="J229" s="9">
        <v>7.2406949999999998E-2</v>
      </c>
      <c r="K229" s="9">
        <v>8.748438E-2</v>
      </c>
      <c r="L229" s="9">
        <v>8.1038070000000004E-2</v>
      </c>
      <c r="M229" s="9">
        <v>9.3930680000000003E-2</v>
      </c>
    </row>
    <row r="230" spans="2:13" ht="1" customHeight="1">
      <c r="B230" s="9" t="s">
        <v>113</v>
      </c>
      <c r="C230" s="9" t="str">
        <f t="shared" si="13"/>
        <v>Dominican Republic2002</v>
      </c>
      <c r="D230" s="9">
        <v>2002</v>
      </c>
      <c r="E230" s="9">
        <v>8.0671190000000004E-2</v>
      </c>
      <c r="F230" s="9">
        <v>7.706942E-2</v>
      </c>
      <c r="G230" s="9">
        <v>8.4272949999999999E-2</v>
      </c>
      <c r="H230" s="9">
        <v>7.5116219999999997E-2</v>
      </c>
      <c r="I230" s="9">
        <v>7.0731680000000005E-2</v>
      </c>
      <c r="J230" s="9">
        <v>7.9500769999999998E-2</v>
      </c>
      <c r="K230" s="9">
        <v>9.1474479999999997E-2</v>
      </c>
      <c r="L230" s="9">
        <v>8.5139290000000006E-2</v>
      </c>
      <c r="M230" s="9">
        <v>9.7809670000000001E-2</v>
      </c>
    </row>
    <row r="231" spans="2:13" ht="1" customHeight="1">
      <c r="B231" s="9" t="s">
        <v>113</v>
      </c>
      <c r="C231" s="9" t="str">
        <f t="shared" si="13"/>
        <v>Dominican Republic2003</v>
      </c>
      <c r="D231" s="9">
        <v>2003</v>
      </c>
      <c r="E231" s="9">
        <v>7.6858969999999999E-2</v>
      </c>
      <c r="F231" s="9">
        <v>7.3750510000000005E-2</v>
      </c>
      <c r="G231" s="9">
        <v>7.9967440000000001E-2</v>
      </c>
      <c r="H231" s="9">
        <v>6.8049399999999996E-2</v>
      </c>
      <c r="I231" s="9">
        <v>6.4135010000000006E-2</v>
      </c>
      <c r="J231" s="9">
        <v>7.1963799999999994E-2</v>
      </c>
      <c r="K231" s="9">
        <v>9.249346E-2</v>
      </c>
      <c r="L231" s="9">
        <v>8.7378709999999998E-2</v>
      </c>
      <c r="M231" s="9">
        <v>9.7608200000000006E-2</v>
      </c>
    </row>
    <row r="232" spans="2:13" ht="1" customHeight="1">
      <c r="B232" s="9" t="s">
        <v>113</v>
      </c>
      <c r="C232" s="9" t="str">
        <f t="shared" si="13"/>
        <v>Dominican Republic2004</v>
      </c>
      <c r="D232" s="9">
        <v>2004</v>
      </c>
      <c r="E232" s="9">
        <v>6.9821090000000002E-2</v>
      </c>
      <c r="F232" s="9">
        <v>6.6487279999999996E-2</v>
      </c>
      <c r="G232" s="9">
        <v>7.3154899999999995E-2</v>
      </c>
      <c r="H232" s="9">
        <v>6.0262709999999997E-2</v>
      </c>
      <c r="I232" s="9">
        <v>5.6178829999999999E-2</v>
      </c>
      <c r="J232" s="9">
        <v>6.4346589999999995E-2</v>
      </c>
      <c r="K232" s="9">
        <v>8.6545709999999998E-2</v>
      </c>
      <c r="L232" s="9">
        <v>8.0890009999999998E-2</v>
      </c>
      <c r="M232" s="9">
        <v>9.2201420000000006E-2</v>
      </c>
    </row>
    <row r="233" spans="2:13" ht="1" customHeight="1">
      <c r="B233" s="9" t="s">
        <v>113</v>
      </c>
      <c r="C233" s="9" t="str">
        <f t="shared" si="13"/>
        <v>Dominican Republic2005</v>
      </c>
      <c r="D233" s="9">
        <v>2005</v>
      </c>
      <c r="E233" s="9">
        <v>7.129315E-2</v>
      </c>
      <c r="F233" s="9">
        <v>6.7957539999999997E-2</v>
      </c>
      <c r="G233" s="9">
        <v>7.4628760000000002E-2</v>
      </c>
      <c r="H233" s="9">
        <v>6.1220780000000002E-2</v>
      </c>
      <c r="I233" s="9">
        <v>5.7109170000000001E-2</v>
      </c>
      <c r="J233" s="9">
        <v>6.5332390000000004E-2</v>
      </c>
      <c r="K233" s="9">
        <v>8.9449360000000006E-2</v>
      </c>
      <c r="L233" s="9">
        <v>8.3808220000000003E-2</v>
      </c>
      <c r="M233" s="9">
        <v>9.5090499999999994E-2</v>
      </c>
    </row>
    <row r="234" spans="2:13" ht="1" customHeight="1">
      <c r="B234" s="9" t="s">
        <v>113</v>
      </c>
      <c r="C234" s="9" t="str">
        <f t="shared" si="13"/>
        <v>Dominican Republic2006</v>
      </c>
      <c r="D234" s="9">
        <v>2006</v>
      </c>
      <c r="E234" s="9">
        <v>7.8923880000000002E-2</v>
      </c>
      <c r="F234" s="9">
        <v>7.551447E-2</v>
      </c>
      <c r="G234" s="9">
        <v>8.2333299999999998E-2</v>
      </c>
      <c r="H234" s="9">
        <v>6.9101040000000002E-2</v>
      </c>
      <c r="I234" s="9">
        <v>6.4716040000000002E-2</v>
      </c>
      <c r="J234" s="9">
        <v>7.3486029999999994E-2</v>
      </c>
      <c r="K234" s="9">
        <v>9.6027650000000006E-2</v>
      </c>
      <c r="L234" s="9">
        <v>9.0581770000000006E-2</v>
      </c>
      <c r="M234" s="9">
        <v>0.10147353000000001</v>
      </c>
    </row>
    <row r="235" spans="2:13" ht="1" customHeight="1">
      <c r="B235" s="9" t="s">
        <v>113</v>
      </c>
      <c r="C235" s="9" t="str">
        <f t="shared" si="13"/>
        <v>Dominican Republic2007</v>
      </c>
      <c r="D235" s="9">
        <v>2007</v>
      </c>
      <c r="E235" s="9">
        <v>7.300247E-2</v>
      </c>
      <c r="F235" s="9">
        <v>6.9625870000000006E-2</v>
      </c>
      <c r="G235" s="9">
        <v>7.6379059999999999E-2</v>
      </c>
      <c r="H235" s="9">
        <v>6.3307970000000005E-2</v>
      </c>
      <c r="I235" s="9">
        <v>5.9082929999999999E-2</v>
      </c>
      <c r="J235" s="9">
        <v>6.7532999999999996E-2</v>
      </c>
      <c r="K235" s="9">
        <v>8.844399E-2</v>
      </c>
      <c r="L235" s="9">
        <v>8.2702999999999999E-2</v>
      </c>
      <c r="M235" s="9">
        <v>9.4184980000000001E-2</v>
      </c>
    </row>
    <row r="236" spans="2:13" ht="1" customHeight="1">
      <c r="B236" s="9" t="s">
        <v>113</v>
      </c>
      <c r="C236" s="9" t="str">
        <f t="shared" si="13"/>
        <v>Dominican Republic2008</v>
      </c>
      <c r="D236" s="9">
        <v>2008</v>
      </c>
      <c r="E236" s="9">
        <v>7.3309799999999994E-2</v>
      </c>
      <c r="F236" s="9">
        <v>6.9275699999999996E-2</v>
      </c>
      <c r="G236" s="9">
        <v>7.7343889999999998E-2</v>
      </c>
      <c r="H236" s="9">
        <v>6.4567250000000007E-2</v>
      </c>
      <c r="I236" s="9">
        <v>5.9730690000000003E-2</v>
      </c>
      <c r="J236" s="9">
        <v>6.9403820000000005E-2</v>
      </c>
      <c r="K236" s="9">
        <v>8.8351540000000006E-2</v>
      </c>
      <c r="L236" s="9">
        <v>8.1391459999999999E-2</v>
      </c>
      <c r="M236" s="9">
        <v>9.5311629999999994E-2</v>
      </c>
    </row>
    <row r="237" spans="2:13" ht="1" customHeight="1">
      <c r="B237" s="9" t="s">
        <v>113</v>
      </c>
      <c r="C237" s="9" t="str">
        <f t="shared" si="13"/>
        <v>Dominican Republic2009</v>
      </c>
      <c r="D237" s="9">
        <v>2009</v>
      </c>
      <c r="E237" s="9">
        <v>7.4243660000000003E-2</v>
      </c>
      <c r="F237" s="9">
        <v>6.9880369999999997E-2</v>
      </c>
      <c r="G237" s="9">
        <v>7.8606949999999995E-2</v>
      </c>
      <c r="H237" s="9">
        <v>6.6103990000000001E-2</v>
      </c>
      <c r="I237" s="9">
        <v>6.0802170000000003E-2</v>
      </c>
      <c r="J237" s="9">
        <v>7.140581E-2</v>
      </c>
      <c r="K237" s="9">
        <v>8.9905849999999995E-2</v>
      </c>
      <c r="L237" s="9">
        <v>8.2297529999999994E-2</v>
      </c>
      <c r="M237" s="9">
        <v>9.7514160000000003E-2</v>
      </c>
    </row>
    <row r="238" spans="2:13" ht="1" customHeight="1">
      <c r="B238" s="9" t="s">
        <v>113</v>
      </c>
      <c r="C238" s="9" t="str">
        <f t="shared" si="13"/>
        <v>Dominican Republic2010</v>
      </c>
      <c r="D238" s="9">
        <v>2010</v>
      </c>
      <c r="E238" s="9">
        <v>7.2399560000000002E-2</v>
      </c>
      <c r="F238" s="9">
        <v>6.816991E-2</v>
      </c>
      <c r="G238" s="9">
        <v>7.6629210000000003E-2</v>
      </c>
      <c r="H238" s="9">
        <v>6.0689359999999998E-2</v>
      </c>
      <c r="I238" s="9">
        <v>5.5731879999999998E-2</v>
      </c>
      <c r="J238" s="9">
        <v>6.5646830000000003E-2</v>
      </c>
      <c r="K238" s="9">
        <v>9.1650510000000004E-2</v>
      </c>
      <c r="L238" s="9">
        <v>8.4132090000000007E-2</v>
      </c>
      <c r="M238" s="9">
        <v>9.9168939999999997E-2</v>
      </c>
    </row>
    <row r="239" spans="2:13" ht="1" customHeight="1">
      <c r="B239" s="9" t="s">
        <v>113</v>
      </c>
      <c r="C239" s="9" t="str">
        <f t="shared" si="13"/>
        <v>Dominican Republic2011</v>
      </c>
      <c r="D239" s="9">
        <v>2011</v>
      </c>
      <c r="E239" s="9">
        <v>7.1710360000000001E-2</v>
      </c>
      <c r="F239" s="9">
        <v>6.7397490000000004E-2</v>
      </c>
      <c r="G239" s="9">
        <v>7.6023229999999997E-2</v>
      </c>
      <c r="H239" s="9">
        <v>6.0607359999999999E-2</v>
      </c>
      <c r="I239" s="9">
        <v>5.5396279999999999E-2</v>
      </c>
      <c r="J239" s="9">
        <v>6.5818440000000006E-2</v>
      </c>
      <c r="K239" s="9">
        <v>9.0406680000000003E-2</v>
      </c>
      <c r="L239" s="9">
        <v>8.295785E-2</v>
      </c>
      <c r="M239" s="9">
        <v>9.7855510000000007E-2</v>
      </c>
    </row>
    <row r="240" spans="2:13" ht="1" customHeight="1">
      <c r="B240" s="9" t="s">
        <v>113</v>
      </c>
      <c r="C240" s="9" t="str">
        <f t="shared" si="13"/>
        <v>Dominican Republic2012</v>
      </c>
      <c r="D240" s="9">
        <v>2012</v>
      </c>
      <c r="E240" s="9">
        <v>6.418509E-2</v>
      </c>
      <c r="F240" s="9">
        <v>5.9503350000000003E-2</v>
      </c>
      <c r="G240" s="9">
        <v>6.8866830000000004E-2</v>
      </c>
      <c r="H240" s="9">
        <v>5.1314329999999998E-2</v>
      </c>
      <c r="I240" s="9">
        <v>4.6433410000000001E-2</v>
      </c>
      <c r="J240" s="9">
        <v>5.6195250000000002E-2</v>
      </c>
      <c r="K240" s="9">
        <v>8.6176959999999997E-2</v>
      </c>
      <c r="L240" s="9">
        <v>7.6300930000000003E-2</v>
      </c>
      <c r="M240" s="9">
        <v>9.6052979999999996E-2</v>
      </c>
    </row>
    <row r="241" spans="2:13" ht="1" customHeight="1">
      <c r="B241" s="9" t="s">
        <v>113</v>
      </c>
      <c r="C241" s="9" t="str">
        <f t="shared" si="13"/>
        <v>Dominican Republic2013</v>
      </c>
      <c r="D241" s="9">
        <v>2013</v>
      </c>
      <c r="E241" s="9">
        <v>7.0672990000000005E-2</v>
      </c>
      <c r="F241" s="9">
        <v>6.6349640000000001E-2</v>
      </c>
      <c r="G241" s="9">
        <v>7.4996350000000003E-2</v>
      </c>
      <c r="H241" s="9">
        <v>6.0233559999999998E-2</v>
      </c>
      <c r="I241" s="9">
        <v>5.5128450000000002E-2</v>
      </c>
      <c r="J241" s="9">
        <v>6.5338660000000007E-2</v>
      </c>
      <c r="K241" s="9">
        <v>8.8146710000000003E-2</v>
      </c>
      <c r="L241" s="9">
        <v>8.0367289999999994E-2</v>
      </c>
      <c r="M241" s="9">
        <v>9.5926120000000004E-2</v>
      </c>
    </row>
    <row r="242" spans="2:13" ht="1" customHeight="1">
      <c r="B242" s="9" t="s">
        <v>113</v>
      </c>
      <c r="C242" s="9" t="str">
        <f t="shared" si="13"/>
        <v>Dominican Republic2014</v>
      </c>
      <c r="D242" s="9">
        <v>2014</v>
      </c>
      <c r="E242" s="9">
        <v>6.8967849999999997E-2</v>
      </c>
      <c r="F242" s="9">
        <v>6.4811199999999999E-2</v>
      </c>
      <c r="G242" s="9">
        <v>7.3124499999999995E-2</v>
      </c>
      <c r="H242" s="9">
        <v>6.012224E-2</v>
      </c>
      <c r="I242" s="9">
        <v>5.5001580000000001E-2</v>
      </c>
      <c r="J242" s="9">
        <v>6.5242900000000006E-2</v>
      </c>
      <c r="K242" s="9">
        <v>8.5140629999999995E-2</v>
      </c>
      <c r="L242" s="9">
        <v>7.7837840000000005E-2</v>
      </c>
      <c r="M242" s="9">
        <v>9.2443410000000004E-2</v>
      </c>
    </row>
    <row r="243" spans="2:13" ht="1" customHeight="1">
      <c r="B243" s="9" t="s">
        <v>45</v>
      </c>
      <c r="C243" s="9" t="str">
        <f t="shared" si="13"/>
        <v>Ecuador1995</v>
      </c>
      <c r="D243" s="9">
        <v>1995</v>
      </c>
      <c r="E243" s="9">
        <v>6.6348500000000005E-2</v>
      </c>
      <c r="F243" s="9">
        <v>6.2607309999999999E-2</v>
      </c>
      <c r="G243" s="9">
        <v>7.0089680000000001E-2</v>
      </c>
      <c r="H243" s="9">
        <v>6.1639659999999999E-2</v>
      </c>
      <c r="I243" s="9">
        <v>5.710726E-2</v>
      </c>
      <c r="J243" s="9">
        <v>6.6172049999999996E-2</v>
      </c>
      <c r="K243" s="9">
        <v>7.395525E-2</v>
      </c>
      <c r="L243" s="9">
        <v>6.7357360000000005E-2</v>
      </c>
      <c r="M243" s="9">
        <v>8.0553130000000001E-2</v>
      </c>
    </row>
    <row r="244" spans="2:13" ht="1" customHeight="1">
      <c r="B244" s="9" t="s">
        <v>45</v>
      </c>
      <c r="C244" s="9" t="str">
        <f t="shared" si="13"/>
        <v>Ecuador1996</v>
      </c>
      <c r="D244" s="9">
        <v>1996</v>
      </c>
      <c r="E244" s="9">
        <v>7.0443320000000004E-2</v>
      </c>
      <c r="F244" s="9">
        <v>6.6793320000000003E-2</v>
      </c>
      <c r="G244" s="9">
        <v>7.4093329999999999E-2</v>
      </c>
      <c r="H244" s="9">
        <v>6.584972E-2</v>
      </c>
      <c r="I244" s="9">
        <v>6.1445390000000003E-2</v>
      </c>
      <c r="J244" s="9">
        <v>7.0254049999999998E-2</v>
      </c>
      <c r="K244" s="9">
        <v>7.8920770000000001E-2</v>
      </c>
      <c r="L244" s="9">
        <v>7.2419360000000002E-2</v>
      </c>
      <c r="M244" s="9">
        <v>8.5422189999999995E-2</v>
      </c>
    </row>
    <row r="245" spans="2:13" ht="1" customHeight="1">
      <c r="B245" s="9" t="s">
        <v>45</v>
      </c>
      <c r="C245" s="9" t="str">
        <f t="shared" si="13"/>
        <v>Ecuador1997</v>
      </c>
      <c r="D245" s="9">
        <v>1997</v>
      </c>
      <c r="E245" s="9">
        <v>7.1456030000000004E-2</v>
      </c>
      <c r="F245" s="9">
        <v>6.7662429999999996E-2</v>
      </c>
      <c r="G245" s="9">
        <v>7.5249640000000007E-2</v>
      </c>
      <c r="H245" s="9">
        <v>6.3429890000000003E-2</v>
      </c>
      <c r="I245" s="9">
        <v>5.8867990000000002E-2</v>
      </c>
      <c r="J245" s="9">
        <v>6.7991800000000005E-2</v>
      </c>
      <c r="K245" s="9">
        <v>8.6883719999999998E-2</v>
      </c>
      <c r="L245" s="9">
        <v>8.0169309999999994E-2</v>
      </c>
      <c r="M245" s="9">
        <v>9.3598130000000002E-2</v>
      </c>
    </row>
    <row r="246" spans="2:13" ht="1" customHeight="1">
      <c r="B246" s="9" t="s">
        <v>45</v>
      </c>
      <c r="C246" s="9" t="str">
        <f t="shared" si="13"/>
        <v>Ecuador1998</v>
      </c>
      <c r="D246" s="9">
        <v>1998</v>
      </c>
      <c r="E246" s="9">
        <v>8.3368570000000003E-2</v>
      </c>
      <c r="F246" s="9">
        <v>7.9687279999999999E-2</v>
      </c>
      <c r="G246" s="9">
        <v>8.7049860000000007E-2</v>
      </c>
      <c r="H246" s="9">
        <v>7.3758920000000006E-2</v>
      </c>
      <c r="I246" s="9">
        <v>6.9484879999999999E-2</v>
      </c>
      <c r="J246" s="9">
        <v>7.8032959999999998E-2</v>
      </c>
      <c r="K246" s="9">
        <v>0.10114881000000001</v>
      </c>
      <c r="L246" s="9">
        <v>9.4267450000000003E-2</v>
      </c>
      <c r="M246" s="9">
        <v>0.10803016999999999</v>
      </c>
    </row>
    <row r="247" spans="2:13" ht="1" customHeight="1">
      <c r="B247" s="9" t="s">
        <v>45</v>
      </c>
      <c r="C247" s="9" t="str">
        <f t="shared" si="13"/>
        <v>Ecuador1999</v>
      </c>
      <c r="D247" s="9">
        <v>1999</v>
      </c>
      <c r="E247" s="9">
        <v>8.0333500000000002E-2</v>
      </c>
      <c r="F247" s="9">
        <v>7.6373960000000005E-2</v>
      </c>
      <c r="G247" s="9">
        <v>8.429304E-2</v>
      </c>
      <c r="H247" s="9">
        <v>7.0973809999999998E-2</v>
      </c>
      <c r="I247" s="9">
        <v>6.6473480000000001E-2</v>
      </c>
      <c r="J247" s="9">
        <v>7.547413E-2</v>
      </c>
      <c r="K247" s="9">
        <v>9.7278260000000005E-2</v>
      </c>
      <c r="L247" s="9">
        <v>8.9741039999999994E-2</v>
      </c>
      <c r="M247" s="9">
        <v>0.10481548</v>
      </c>
    </row>
    <row r="248" spans="2:13" ht="1" customHeight="1">
      <c r="B248" s="9" t="s">
        <v>45</v>
      </c>
      <c r="C248" s="9" t="str">
        <f t="shared" si="13"/>
        <v>Ecuador2000</v>
      </c>
      <c r="D248" s="9">
        <v>2000</v>
      </c>
      <c r="E248" s="9">
        <v>8.215045E-2</v>
      </c>
      <c r="F248" s="9">
        <v>7.7852389999999994E-2</v>
      </c>
      <c r="G248" s="9">
        <v>8.6448510000000006E-2</v>
      </c>
      <c r="H248" s="9">
        <v>7.1195869999999994E-2</v>
      </c>
      <c r="I248" s="9">
        <v>6.6138710000000003E-2</v>
      </c>
      <c r="J248" s="9">
        <v>7.6253029999999999E-2</v>
      </c>
      <c r="K248" s="9">
        <v>9.7486890000000007E-2</v>
      </c>
      <c r="L248" s="9">
        <v>8.9911290000000005E-2</v>
      </c>
      <c r="M248" s="9">
        <v>0.10506248999999999</v>
      </c>
    </row>
    <row r="249" spans="2:13" ht="1" customHeight="1">
      <c r="B249" s="9" t="s">
        <v>45</v>
      </c>
      <c r="C249" s="9" t="str">
        <f t="shared" si="13"/>
        <v>Ecuador2001</v>
      </c>
      <c r="D249" s="9">
        <v>2001</v>
      </c>
      <c r="E249" s="9">
        <v>8.4548189999999995E-2</v>
      </c>
      <c r="F249" s="9">
        <v>8.0082379999999995E-2</v>
      </c>
      <c r="G249" s="9">
        <v>8.9013990000000001E-2</v>
      </c>
      <c r="H249" s="9">
        <v>7.3208819999999994E-2</v>
      </c>
      <c r="I249" s="9">
        <v>6.7942719999999998E-2</v>
      </c>
      <c r="J249" s="9">
        <v>7.8474920000000004E-2</v>
      </c>
      <c r="K249" s="9">
        <v>9.925457E-2</v>
      </c>
      <c r="L249" s="9">
        <v>9.1684979999999999E-2</v>
      </c>
      <c r="M249" s="9">
        <v>0.10682416</v>
      </c>
    </row>
    <row r="250" spans="2:13" ht="1" customHeight="1">
      <c r="B250" s="9" t="s">
        <v>45</v>
      </c>
      <c r="C250" s="9" t="str">
        <f t="shared" si="13"/>
        <v>Ecuador2002</v>
      </c>
      <c r="D250" s="9">
        <v>2002</v>
      </c>
      <c r="E250" s="9">
        <v>7.5336769999999997E-2</v>
      </c>
      <c r="F250" s="9">
        <v>7.1880029999999998E-2</v>
      </c>
      <c r="G250" s="9">
        <v>7.8793500000000002E-2</v>
      </c>
      <c r="H250" s="9">
        <v>6.9099740000000007E-2</v>
      </c>
      <c r="I250" s="9">
        <v>6.4919989999999997E-2</v>
      </c>
      <c r="J250" s="9">
        <v>7.3279490000000003E-2</v>
      </c>
      <c r="K250" s="9">
        <v>8.482953E-2</v>
      </c>
      <c r="L250" s="9">
        <v>7.8784759999999995E-2</v>
      </c>
      <c r="M250" s="9">
        <v>9.0874300000000005E-2</v>
      </c>
    </row>
    <row r="251" spans="2:13" ht="1" customHeight="1">
      <c r="B251" s="9" t="s">
        <v>45</v>
      </c>
      <c r="C251" s="9" t="str">
        <f t="shared" si="13"/>
        <v>Ecuador2003</v>
      </c>
      <c r="D251" s="9">
        <v>2003</v>
      </c>
      <c r="E251" s="9">
        <v>7.9679840000000002E-2</v>
      </c>
      <c r="F251" s="9">
        <v>7.6377070000000005E-2</v>
      </c>
      <c r="G251" s="9">
        <v>8.2982609999999998E-2</v>
      </c>
      <c r="H251" s="9">
        <v>6.9629670000000005E-2</v>
      </c>
      <c r="I251" s="9">
        <v>6.5442410000000006E-2</v>
      </c>
      <c r="J251" s="9">
        <v>7.3816930000000003E-2</v>
      </c>
      <c r="K251" s="9">
        <v>9.5438380000000003E-2</v>
      </c>
      <c r="L251" s="9">
        <v>9.0122259999999996E-2</v>
      </c>
      <c r="M251" s="9">
        <v>0.10075451000000001</v>
      </c>
    </row>
    <row r="252" spans="2:13" ht="1" customHeight="1">
      <c r="B252" s="9" t="s">
        <v>45</v>
      </c>
      <c r="C252" s="9" t="str">
        <f t="shared" si="13"/>
        <v>Ecuador2004</v>
      </c>
      <c r="D252" s="9">
        <v>2004</v>
      </c>
      <c r="E252" s="9">
        <v>8.6656410000000003E-2</v>
      </c>
      <c r="F252" s="9">
        <v>8.3567089999999997E-2</v>
      </c>
      <c r="G252" s="9">
        <v>8.9745740000000004E-2</v>
      </c>
      <c r="H252" s="9">
        <v>7.7989820000000001E-2</v>
      </c>
      <c r="I252" s="9">
        <v>7.4165839999999997E-2</v>
      </c>
      <c r="J252" s="9">
        <v>8.1813800000000006E-2</v>
      </c>
      <c r="K252" s="9">
        <v>9.8943610000000001E-2</v>
      </c>
      <c r="L252" s="9">
        <v>9.3822500000000003E-2</v>
      </c>
      <c r="M252" s="9">
        <v>0.10406472</v>
      </c>
    </row>
    <row r="253" spans="2:13" ht="1" customHeight="1">
      <c r="B253" s="9" t="s">
        <v>45</v>
      </c>
      <c r="C253" s="9" t="str">
        <f t="shared" si="13"/>
        <v>Ecuador2005</v>
      </c>
      <c r="D253" s="9">
        <v>2005</v>
      </c>
      <c r="E253" s="9">
        <v>8.3426479999999997E-2</v>
      </c>
      <c r="F253" s="9">
        <v>8.0340449999999994E-2</v>
      </c>
      <c r="G253" s="9">
        <v>8.6512510000000001E-2</v>
      </c>
      <c r="H253" s="9">
        <v>7.5059260000000003E-2</v>
      </c>
      <c r="I253" s="9">
        <v>7.1200379999999994E-2</v>
      </c>
      <c r="J253" s="9">
        <v>7.8918139999999998E-2</v>
      </c>
      <c r="K253" s="9">
        <v>9.5699179999999995E-2</v>
      </c>
      <c r="L253" s="9">
        <v>9.0605060000000001E-2</v>
      </c>
      <c r="M253" s="9">
        <v>0.10079331</v>
      </c>
    </row>
    <row r="254" spans="2:13" ht="1" customHeight="1">
      <c r="B254" s="9" t="s">
        <v>45</v>
      </c>
      <c r="C254" s="9" t="str">
        <f t="shared" si="13"/>
        <v>Ecuador2006</v>
      </c>
      <c r="D254" s="9">
        <v>2006</v>
      </c>
      <c r="E254" s="9">
        <v>8.4412940000000006E-2</v>
      </c>
      <c r="F254" s="9">
        <v>8.1454349999999995E-2</v>
      </c>
      <c r="G254" s="9">
        <v>8.7371530000000003E-2</v>
      </c>
      <c r="H254" s="9">
        <v>7.7721170000000006E-2</v>
      </c>
      <c r="I254" s="9">
        <v>7.4018349999999997E-2</v>
      </c>
      <c r="J254" s="9">
        <v>8.1423990000000002E-2</v>
      </c>
      <c r="K254" s="9">
        <v>9.4185500000000005E-2</v>
      </c>
      <c r="L254" s="9">
        <v>8.9260149999999996E-2</v>
      </c>
      <c r="M254" s="9">
        <v>9.9110859999999995E-2</v>
      </c>
    </row>
    <row r="255" spans="2:13" ht="1" customHeight="1">
      <c r="B255" s="9" t="s">
        <v>45</v>
      </c>
      <c r="C255" s="9" t="str">
        <f t="shared" si="13"/>
        <v>Ecuador2007</v>
      </c>
      <c r="D255" s="9">
        <v>2007</v>
      </c>
      <c r="E255" s="9">
        <v>8.1753259999999994E-2</v>
      </c>
      <c r="F255" s="9">
        <v>7.8527860000000005E-2</v>
      </c>
      <c r="G255" s="9">
        <v>8.4978659999999998E-2</v>
      </c>
      <c r="H255" s="9">
        <v>7.2059100000000001E-2</v>
      </c>
      <c r="I255" s="9">
        <v>6.812377E-2</v>
      </c>
      <c r="J255" s="9">
        <v>7.5994430000000002E-2</v>
      </c>
      <c r="K255" s="9">
        <v>9.6138779999999993E-2</v>
      </c>
      <c r="L255" s="9">
        <v>9.0639109999999995E-2</v>
      </c>
      <c r="M255" s="9">
        <v>0.10163844</v>
      </c>
    </row>
    <row r="256" spans="2:13" ht="1" customHeight="1">
      <c r="B256" s="9" t="s">
        <v>45</v>
      </c>
      <c r="C256" s="9" t="str">
        <f t="shared" si="13"/>
        <v>Ecuador2008</v>
      </c>
      <c r="D256" s="9">
        <v>2008</v>
      </c>
      <c r="E256" s="9">
        <v>8.2250340000000005E-2</v>
      </c>
      <c r="F256" s="9">
        <v>7.9248499999999999E-2</v>
      </c>
      <c r="G256" s="9">
        <v>8.5252170000000002E-2</v>
      </c>
      <c r="H256" s="9">
        <v>7.1808650000000002E-2</v>
      </c>
      <c r="I256" s="9">
        <v>6.815069E-2</v>
      </c>
      <c r="J256" s="9">
        <v>7.5466610000000003E-2</v>
      </c>
      <c r="K256" s="9">
        <v>9.7089110000000006E-2</v>
      </c>
      <c r="L256" s="9">
        <v>9.2046900000000001E-2</v>
      </c>
      <c r="M256" s="9">
        <v>0.10213132</v>
      </c>
    </row>
    <row r="257" spans="2:13" ht="1" customHeight="1">
      <c r="B257" s="9" t="s">
        <v>45</v>
      </c>
      <c r="C257" s="9" t="str">
        <f t="shared" si="13"/>
        <v>Ecuador2009</v>
      </c>
      <c r="D257" s="9">
        <v>2009</v>
      </c>
      <c r="E257" s="9">
        <v>7.515877E-2</v>
      </c>
      <c r="F257" s="9">
        <v>7.2000830000000002E-2</v>
      </c>
      <c r="G257" s="9">
        <v>7.8316709999999998E-2</v>
      </c>
      <c r="H257" s="9">
        <v>6.4207979999999998E-2</v>
      </c>
      <c r="I257" s="9">
        <v>6.02766E-2</v>
      </c>
      <c r="J257" s="9">
        <v>6.8139359999999996E-2</v>
      </c>
      <c r="K257" s="9">
        <v>8.9898560000000002E-2</v>
      </c>
      <c r="L257" s="9">
        <v>8.4617250000000005E-2</v>
      </c>
      <c r="M257" s="9">
        <v>9.517987E-2</v>
      </c>
    </row>
    <row r="258" spans="2:13" ht="1" customHeight="1">
      <c r="B258" s="9" t="s">
        <v>45</v>
      </c>
      <c r="C258" s="9" t="str">
        <f t="shared" si="13"/>
        <v>Ecuador2010</v>
      </c>
      <c r="D258" s="9">
        <v>2010</v>
      </c>
      <c r="E258" s="9">
        <v>7.6103000000000004E-2</v>
      </c>
      <c r="F258" s="9">
        <v>7.3003209999999999E-2</v>
      </c>
      <c r="G258" s="9">
        <v>7.9202789999999995E-2</v>
      </c>
      <c r="H258" s="9">
        <v>6.6345940000000006E-2</v>
      </c>
      <c r="I258" s="9">
        <v>6.2516420000000003E-2</v>
      </c>
      <c r="J258" s="9">
        <v>7.0175470000000004E-2</v>
      </c>
      <c r="K258" s="9">
        <v>8.9784420000000004E-2</v>
      </c>
      <c r="L258" s="9">
        <v>8.4539320000000001E-2</v>
      </c>
      <c r="M258" s="9">
        <v>9.5029520000000006E-2</v>
      </c>
    </row>
    <row r="259" spans="2:13" ht="1" customHeight="1">
      <c r="B259" s="9" t="s">
        <v>45</v>
      </c>
      <c r="C259" s="9" t="str">
        <f t="shared" si="13"/>
        <v>Ecuador2011</v>
      </c>
      <c r="D259" s="9">
        <v>2011</v>
      </c>
      <c r="E259" s="9">
        <v>7.2427699999999998E-2</v>
      </c>
      <c r="F259" s="9">
        <v>6.9109480000000001E-2</v>
      </c>
      <c r="G259" s="9">
        <v>7.574591E-2</v>
      </c>
      <c r="H259" s="9">
        <v>5.8478210000000003E-2</v>
      </c>
      <c r="I259" s="9">
        <v>5.4526320000000003E-2</v>
      </c>
      <c r="J259" s="9">
        <v>6.2430090000000001E-2</v>
      </c>
      <c r="K259" s="9">
        <v>9.1184840000000003E-2</v>
      </c>
      <c r="L259" s="9">
        <v>8.5374220000000001E-2</v>
      </c>
      <c r="M259" s="9">
        <v>9.699547E-2</v>
      </c>
    </row>
    <row r="260" spans="2:13" ht="1" customHeight="1">
      <c r="B260" s="9" t="s">
        <v>45</v>
      </c>
      <c r="C260" s="9" t="str">
        <f t="shared" si="13"/>
        <v>Ecuador2012</v>
      </c>
      <c r="D260" s="9">
        <v>2012</v>
      </c>
      <c r="E260" s="9">
        <v>7.0588300000000007E-2</v>
      </c>
      <c r="F260" s="9">
        <v>6.7368910000000004E-2</v>
      </c>
      <c r="G260" s="9">
        <v>7.3807689999999995E-2</v>
      </c>
      <c r="H260" s="9">
        <v>5.9828239999999998E-2</v>
      </c>
      <c r="I260" s="9">
        <v>5.6059020000000001E-2</v>
      </c>
      <c r="J260" s="9">
        <v>6.3597459999999995E-2</v>
      </c>
      <c r="K260" s="9">
        <v>8.4384710000000002E-2</v>
      </c>
      <c r="L260" s="9">
        <v>7.8666009999999995E-2</v>
      </c>
      <c r="M260" s="9">
        <v>9.0103420000000004E-2</v>
      </c>
    </row>
    <row r="261" spans="2:13" ht="1" customHeight="1">
      <c r="B261" s="9" t="s">
        <v>45</v>
      </c>
      <c r="C261" s="9" t="str">
        <f t="shared" si="13"/>
        <v>Ecuador2013</v>
      </c>
      <c r="D261" s="9">
        <v>2013</v>
      </c>
      <c r="E261" s="9">
        <v>7.6706549999999998E-2</v>
      </c>
      <c r="F261" s="9">
        <v>7.3832250000000002E-2</v>
      </c>
      <c r="G261" s="9">
        <v>7.9580849999999995E-2</v>
      </c>
      <c r="H261" s="9">
        <v>6.3128149999999994E-2</v>
      </c>
      <c r="I261" s="9">
        <v>5.970284E-2</v>
      </c>
      <c r="J261" s="9">
        <v>6.6553470000000003E-2</v>
      </c>
      <c r="K261" s="9">
        <v>9.6232750000000006E-2</v>
      </c>
      <c r="L261" s="9">
        <v>9.1299790000000006E-2</v>
      </c>
      <c r="M261" s="9">
        <v>0.10116571000000001</v>
      </c>
    </row>
    <row r="262" spans="2:13" ht="1" customHeight="1">
      <c r="B262" s="9" t="s">
        <v>45</v>
      </c>
      <c r="C262" s="9" t="str">
        <f t="shared" si="13"/>
        <v>Ecuador2014</v>
      </c>
      <c r="D262" s="9">
        <v>2014</v>
      </c>
      <c r="E262" s="9">
        <v>7.2500549999999997E-2</v>
      </c>
      <c r="F262" s="9">
        <v>6.9787979999999999E-2</v>
      </c>
      <c r="G262" s="9">
        <v>7.5213130000000003E-2</v>
      </c>
      <c r="H262" s="9">
        <v>6.1345820000000002E-2</v>
      </c>
      <c r="I262" s="9">
        <v>5.8133169999999998E-2</v>
      </c>
      <c r="J262" s="9">
        <v>6.4558459999999998E-2</v>
      </c>
      <c r="K262" s="9">
        <v>8.7342639999999999E-2</v>
      </c>
      <c r="L262" s="9">
        <v>8.2681240000000003E-2</v>
      </c>
      <c r="M262" s="9">
        <v>9.2004039999999995E-2</v>
      </c>
    </row>
    <row r="263" spans="2:13" ht="1" customHeight="1">
      <c r="B263" s="9" t="s">
        <v>47</v>
      </c>
      <c r="C263" s="9" t="str">
        <f t="shared" si="13"/>
        <v>Guatemala1995</v>
      </c>
      <c r="D263" s="9">
        <v>1995</v>
      </c>
      <c r="E263" s="9">
        <v>0.11777932000000001</v>
      </c>
      <c r="F263" s="9">
        <v>0.1124266</v>
      </c>
      <c r="G263" s="9">
        <v>0.12313203</v>
      </c>
      <c r="H263" s="9">
        <v>0.10408486</v>
      </c>
      <c r="I263" s="9">
        <v>9.7636249999999994E-2</v>
      </c>
      <c r="J263" s="9">
        <v>0.11053346</v>
      </c>
      <c r="K263" s="9">
        <v>0.13886925</v>
      </c>
      <c r="L263" s="9">
        <v>0.12985847</v>
      </c>
      <c r="M263" s="9">
        <v>0.14788003999999999</v>
      </c>
    </row>
    <row r="264" spans="2:13" ht="1" customHeight="1">
      <c r="B264" s="9" t="s">
        <v>47</v>
      </c>
      <c r="C264" s="9" t="str">
        <f t="shared" si="13"/>
        <v>Guatemala1996</v>
      </c>
      <c r="D264" s="9">
        <v>1996</v>
      </c>
      <c r="E264" s="9">
        <v>0.11777932000000001</v>
      </c>
      <c r="F264" s="9">
        <v>0.1124266</v>
      </c>
      <c r="G264" s="9">
        <v>0.12313203</v>
      </c>
      <c r="H264" s="9">
        <v>0.10408486</v>
      </c>
      <c r="I264" s="9">
        <v>9.7636249999999994E-2</v>
      </c>
      <c r="J264" s="9">
        <v>0.11053346</v>
      </c>
      <c r="K264" s="9">
        <v>0.13886925</v>
      </c>
      <c r="L264" s="9">
        <v>0.12985847</v>
      </c>
      <c r="M264" s="9">
        <v>0.14788003999999999</v>
      </c>
    </row>
    <row r="265" spans="2:13" ht="1" customHeight="1">
      <c r="B265" s="9" t="s">
        <v>47</v>
      </c>
      <c r="C265" s="9" t="str">
        <f t="shared" si="13"/>
        <v>Guatemala1997</v>
      </c>
      <c r="D265" s="9">
        <v>1997</v>
      </c>
      <c r="E265" s="9">
        <v>0.11777932000000001</v>
      </c>
      <c r="F265" s="9">
        <v>0.1124266</v>
      </c>
      <c r="G265" s="9">
        <v>0.12313203</v>
      </c>
      <c r="H265" s="9">
        <v>0.10408486</v>
      </c>
      <c r="I265" s="9">
        <v>9.7636249999999994E-2</v>
      </c>
      <c r="J265" s="9">
        <v>0.11053346</v>
      </c>
      <c r="K265" s="9">
        <v>0.13886925</v>
      </c>
      <c r="L265" s="9">
        <v>0.12985847</v>
      </c>
      <c r="M265" s="9">
        <v>0.14788003999999999</v>
      </c>
    </row>
    <row r="266" spans="2:13" ht="1" customHeight="1">
      <c r="B266" s="9" t="s">
        <v>47</v>
      </c>
      <c r="C266" s="9" t="str">
        <f t="shared" si="13"/>
        <v>Guatemala1998</v>
      </c>
      <c r="D266" s="9">
        <v>1998</v>
      </c>
      <c r="E266" s="9">
        <v>0.11777932000000001</v>
      </c>
      <c r="F266" s="9">
        <v>0.1124266</v>
      </c>
      <c r="G266" s="9">
        <v>0.12313203</v>
      </c>
      <c r="H266" s="9">
        <v>0.10408486</v>
      </c>
      <c r="I266" s="9">
        <v>9.7636249999999994E-2</v>
      </c>
      <c r="J266" s="9">
        <v>0.11053346</v>
      </c>
      <c r="K266" s="9">
        <v>0.13886925</v>
      </c>
      <c r="L266" s="9">
        <v>0.12985847</v>
      </c>
      <c r="M266" s="9">
        <v>0.14788003999999999</v>
      </c>
    </row>
    <row r="267" spans="2:13" ht="1" customHeight="1">
      <c r="B267" s="9" t="s">
        <v>47</v>
      </c>
      <c r="C267" s="9" t="str">
        <f t="shared" si="13"/>
        <v>Guatemala1999</v>
      </c>
      <c r="D267" s="9">
        <v>1999</v>
      </c>
      <c r="E267" s="9">
        <v>0.12522129000000001</v>
      </c>
      <c r="F267" s="9">
        <v>0.11866785000000001</v>
      </c>
      <c r="G267" s="9">
        <v>0.13177474</v>
      </c>
      <c r="H267" s="9">
        <v>0.11944312</v>
      </c>
      <c r="I267" s="9">
        <v>0.11120521999999999</v>
      </c>
      <c r="J267" s="9">
        <v>0.12768103</v>
      </c>
      <c r="K267" s="9">
        <v>0.13429613000000001</v>
      </c>
      <c r="L267" s="9">
        <v>0.12364875</v>
      </c>
      <c r="M267" s="9">
        <v>0.14494351</v>
      </c>
    </row>
    <row r="268" spans="2:13" ht="1" customHeight="1">
      <c r="B268" s="9" t="s">
        <v>47</v>
      </c>
      <c r="C268" s="9" t="str">
        <f t="shared" si="13"/>
        <v>Guatemala2000</v>
      </c>
      <c r="D268" s="9">
        <v>2000</v>
      </c>
      <c r="E268" s="9">
        <v>0.12522129000000001</v>
      </c>
      <c r="F268" s="9">
        <v>0.11866785000000001</v>
      </c>
      <c r="G268" s="9">
        <v>0.13177474</v>
      </c>
      <c r="H268" s="9">
        <v>0.11944312</v>
      </c>
      <c r="I268" s="9">
        <v>0.11120521999999999</v>
      </c>
      <c r="J268" s="9">
        <v>0.12768103</v>
      </c>
      <c r="K268" s="9">
        <v>0.13429613000000001</v>
      </c>
      <c r="L268" s="9">
        <v>0.12364875</v>
      </c>
      <c r="M268" s="9">
        <v>0.14494351</v>
      </c>
    </row>
    <row r="269" spans="2:13" ht="1" customHeight="1">
      <c r="B269" s="9" t="s">
        <v>47</v>
      </c>
      <c r="C269" s="9" t="str">
        <f t="shared" si="13"/>
        <v>Guatemala2001</v>
      </c>
      <c r="D269" s="9">
        <v>2001</v>
      </c>
      <c r="E269" s="9">
        <v>0.12286303</v>
      </c>
      <c r="F269" s="9">
        <v>0.11519677</v>
      </c>
      <c r="G269" s="9">
        <v>0.13052928999999999</v>
      </c>
      <c r="H269" s="9">
        <v>0.11789925</v>
      </c>
      <c r="I269" s="9">
        <v>0.10803184</v>
      </c>
      <c r="J269" s="9">
        <v>0.12776666</v>
      </c>
      <c r="K269" s="9">
        <v>0.13187937</v>
      </c>
      <c r="L269" s="9">
        <v>0.12029152</v>
      </c>
      <c r="M269" s="9">
        <v>0.14346722000000001</v>
      </c>
    </row>
    <row r="270" spans="2:13" ht="1" customHeight="1">
      <c r="B270" s="9" t="s">
        <v>47</v>
      </c>
      <c r="C270" s="9" t="str">
        <f t="shared" si="13"/>
        <v>Guatemala2002</v>
      </c>
      <c r="D270" s="9">
        <v>2002</v>
      </c>
      <c r="E270" s="9">
        <v>0.12286303</v>
      </c>
      <c r="F270" s="9">
        <v>0.11519677</v>
      </c>
      <c r="G270" s="9">
        <v>0.13052928999999999</v>
      </c>
      <c r="H270" s="9">
        <v>0.11789925</v>
      </c>
      <c r="I270" s="9">
        <v>0.10803184</v>
      </c>
      <c r="J270" s="9">
        <v>0.12776666</v>
      </c>
      <c r="K270" s="9">
        <v>0.13187937</v>
      </c>
      <c r="L270" s="9">
        <v>0.12029152</v>
      </c>
      <c r="M270" s="9">
        <v>0.14346722000000001</v>
      </c>
    </row>
    <row r="271" spans="2:13" ht="1" customHeight="1">
      <c r="B271" s="9" t="s">
        <v>47</v>
      </c>
      <c r="C271" s="9" t="str">
        <f t="shared" si="13"/>
        <v>Guatemala2003</v>
      </c>
      <c r="D271" s="9">
        <v>2003</v>
      </c>
      <c r="E271" s="9">
        <v>0.11627696</v>
      </c>
      <c r="F271" s="9">
        <v>0.10849520999999999</v>
      </c>
      <c r="G271" s="9">
        <v>0.12405871</v>
      </c>
      <c r="H271" s="9">
        <v>0.11487948000000001</v>
      </c>
      <c r="I271" s="9">
        <v>0.10525329999999999</v>
      </c>
      <c r="J271" s="9">
        <v>0.12450565</v>
      </c>
      <c r="K271" s="9">
        <v>0.11965077</v>
      </c>
      <c r="L271" s="9">
        <v>0.10659159</v>
      </c>
      <c r="M271" s="9">
        <v>0.13270994999999999</v>
      </c>
    </row>
    <row r="272" spans="2:13" ht="1" customHeight="1">
      <c r="B272" s="9" t="s">
        <v>47</v>
      </c>
      <c r="C272" s="9" t="str">
        <f t="shared" si="13"/>
        <v>Guatemala2004</v>
      </c>
      <c r="D272" s="9">
        <v>2004</v>
      </c>
      <c r="E272" s="9">
        <v>0.10723776</v>
      </c>
      <c r="F272" s="9">
        <v>0.10177936</v>
      </c>
      <c r="G272" s="9">
        <v>0.11269616</v>
      </c>
      <c r="H272" s="9">
        <v>0.10271727</v>
      </c>
      <c r="I272" s="9">
        <v>9.575256E-2</v>
      </c>
      <c r="J272" s="9">
        <v>0.10968197</v>
      </c>
      <c r="K272" s="9">
        <v>0.11529792</v>
      </c>
      <c r="L272" s="9">
        <v>0.10673539999999999</v>
      </c>
      <c r="M272" s="9">
        <v>0.12386045</v>
      </c>
    </row>
    <row r="273" spans="2:13" ht="1" customHeight="1">
      <c r="B273" s="9" t="s">
        <v>47</v>
      </c>
      <c r="C273" s="9" t="str">
        <f t="shared" si="13"/>
        <v>Guatemala2005</v>
      </c>
      <c r="D273" s="9">
        <v>2005</v>
      </c>
      <c r="E273" s="9">
        <v>0.11064005</v>
      </c>
      <c r="F273" s="9">
        <v>0.10704073</v>
      </c>
      <c r="G273" s="9">
        <v>0.11423937000000001</v>
      </c>
      <c r="H273" s="9">
        <v>0.1085111</v>
      </c>
      <c r="I273" s="9">
        <v>0.1040903</v>
      </c>
      <c r="J273" s="9">
        <v>0.1129319</v>
      </c>
      <c r="K273" s="9">
        <v>0.11394351</v>
      </c>
      <c r="L273" s="9">
        <v>0.10774892</v>
      </c>
      <c r="M273" s="9">
        <v>0.1201381</v>
      </c>
    </row>
    <row r="274" spans="2:13" ht="1" customHeight="1">
      <c r="B274" s="9" t="s">
        <v>47</v>
      </c>
      <c r="C274" s="9" t="str">
        <f t="shared" si="13"/>
        <v>Guatemala2006</v>
      </c>
      <c r="D274" s="9">
        <v>2006</v>
      </c>
      <c r="E274" s="9">
        <v>0.11064005</v>
      </c>
      <c r="F274" s="9">
        <v>0.10704073</v>
      </c>
      <c r="G274" s="9">
        <v>0.11423937000000001</v>
      </c>
      <c r="H274" s="9">
        <v>0.1085111</v>
      </c>
      <c r="I274" s="9">
        <v>0.1040903</v>
      </c>
      <c r="J274" s="9">
        <v>0.1129319</v>
      </c>
      <c r="K274" s="9">
        <v>0.11394351</v>
      </c>
      <c r="L274" s="9">
        <v>0.10774892</v>
      </c>
      <c r="M274" s="9">
        <v>0.1201381</v>
      </c>
    </row>
    <row r="275" spans="2:13" ht="1" customHeight="1">
      <c r="B275" s="9" t="s">
        <v>47</v>
      </c>
      <c r="C275" s="9" t="str">
        <f t="shared" si="13"/>
        <v>Guatemala2007</v>
      </c>
      <c r="D275" s="9">
        <v>2007</v>
      </c>
      <c r="E275" s="9">
        <v>0.11064005</v>
      </c>
      <c r="F275" s="9">
        <v>0.10704073</v>
      </c>
      <c r="G275" s="9">
        <v>0.11423937000000001</v>
      </c>
      <c r="H275" s="9">
        <v>0.1085111</v>
      </c>
      <c r="I275" s="9">
        <v>0.1040903</v>
      </c>
      <c r="J275" s="9">
        <v>0.1129319</v>
      </c>
      <c r="K275" s="9">
        <v>0.11394351</v>
      </c>
      <c r="L275" s="9">
        <v>0.10774892</v>
      </c>
      <c r="M275" s="9">
        <v>0.1201381</v>
      </c>
    </row>
    <row r="276" spans="2:13" ht="1" customHeight="1">
      <c r="B276" s="9" t="s">
        <v>47</v>
      </c>
      <c r="C276" s="9" t="str">
        <f t="shared" ref="C276:C339" si="14">CONCATENATE(B276,D276)</f>
        <v>Guatemala2008</v>
      </c>
      <c r="D276" s="9">
        <v>2008</v>
      </c>
      <c r="E276" s="9">
        <v>0.10273334000000001</v>
      </c>
      <c r="F276" s="9">
        <v>9.6113100000000007E-2</v>
      </c>
      <c r="G276" s="9">
        <v>0.10935358000000001</v>
      </c>
      <c r="H276" s="9">
        <v>9.8426890000000003E-2</v>
      </c>
      <c r="I276" s="9">
        <v>9.1736360000000003E-2</v>
      </c>
      <c r="J276" s="9">
        <v>0.10511743</v>
      </c>
      <c r="K276" s="9">
        <v>0.11118768</v>
      </c>
      <c r="L276" s="9">
        <v>9.6959989999999996E-2</v>
      </c>
      <c r="M276" s="9">
        <v>0.12541537</v>
      </c>
    </row>
    <row r="277" spans="2:13" ht="1" customHeight="1">
      <c r="B277" s="9" t="s">
        <v>47</v>
      </c>
      <c r="C277" s="9" t="str">
        <f t="shared" si="14"/>
        <v>Guatemala2009</v>
      </c>
      <c r="D277" s="9">
        <v>2009</v>
      </c>
      <c r="E277" s="9">
        <v>0.10273334000000001</v>
      </c>
      <c r="F277" s="9">
        <v>9.6113100000000007E-2</v>
      </c>
      <c r="G277" s="9">
        <v>0.10935358000000001</v>
      </c>
      <c r="H277" s="9">
        <v>9.8426890000000003E-2</v>
      </c>
      <c r="I277" s="9">
        <v>9.1736360000000003E-2</v>
      </c>
      <c r="J277" s="9">
        <v>0.10511743</v>
      </c>
      <c r="K277" s="9">
        <v>0.11118768</v>
      </c>
      <c r="L277" s="9">
        <v>9.6959989999999996E-2</v>
      </c>
      <c r="M277" s="9">
        <v>0.12541537</v>
      </c>
    </row>
    <row r="278" spans="2:13" ht="1" customHeight="1">
      <c r="B278" s="9" t="s">
        <v>47</v>
      </c>
      <c r="C278" s="9" t="str">
        <f t="shared" si="14"/>
        <v>Guatemala2010</v>
      </c>
      <c r="D278" s="9">
        <v>2010</v>
      </c>
      <c r="E278" s="9">
        <v>0.10273334000000001</v>
      </c>
      <c r="F278" s="9">
        <v>9.6113100000000007E-2</v>
      </c>
      <c r="G278" s="9">
        <v>0.10935358000000001</v>
      </c>
      <c r="H278" s="9">
        <v>9.8426890000000003E-2</v>
      </c>
      <c r="I278" s="9">
        <v>9.1736360000000003E-2</v>
      </c>
      <c r="J278" s="9">
        <v>0.10511743</v>
      </c>
      <c r="K278" s="9">
        <v>0.11118768</v>
      </c>
      <c r="L278" s="9">
        <v>9.6959989999999996E-2</v>
      </c>
      <c r="M278" s="9">
        <v>0.12541537</v>
      </c>
    </row>
    <row r="279" spans="2:13" ht="1" customHeight="1">
      <c r="B279" s="9" t="s">
        <v>47</v>
      </c>
      <c r="C279" s="9" t="str">
        <f t="shared" si="14"/>
        <v>Guatemala2011</v>
      </c>
      <c r="D279" s="9">
        <v>2011</v>
      </c>
      <c r="E279" s="9">
        <v>9.6667569999999994E-2</v>
      </c>
      <c r="F279" s="9">
        <v>8.9677560000000003E-2</v>
      </c>
      <c r="G279" s="9">
        <v>0.10365758</v>
      </c>
      <c r="H279" s="9">
        <v>8.5667270000000004E-2</v>
      </c>
      <c r="I279" s="9">
        <v>7.6696269999999997E-2</v>
      </c>
      <c r="J279" s="9">
        <v>9.4638269999999997E-2</v>
      </c>
      <c r="K279" s="9">
        <v>0.11719896</v>
      </c>
      <c r="L279" s="9">
        <v>0.10708561</v>
      </c>
      <c r="M279" s="9">
        <v>0.12731229999999999</v>
      </c>
    </row>
    <row r="280" spans="2:13" ht="1" customHeight="1">
      <c r="B280" s="9" t="s">
        <v>47</v>
      </c>
      <c r="C280" s="9" t="str">
        <f t="shared" si="14"/>
        <v>Guatemala2012</v>
      </c>
      <c r="D280" s="9">
        <v>2012</v>
      </c>
      <c r="E280" s="9">
        <v>0.11105043000000001</v>
      </c>
      <c r="F280" s="9">
        <v>0.10549066999999999</v>
      </c>
      <c r="G280" s="9">
        <v>0.11661017999999999</v>
      </c>
      <c r="H280" s="9">
        <v>0.10364772</v>
      </c>
      <c r="I280" s="9">
        <v>9.6880999999999995E-2</v>
      </c>
      <c r="J280" s="9">
        <v>0.11041442999999999</v>
      </c>
      <c r="K280" s="9">
        <v>0.12473072</v>
      </c>
      <c r="L280" s="9">
        <v>0.11535767</v>
      </c>
      <c r="M280" s="9">
        <v>0.13410377000000001</v>
      </c>
    </row>
    <row r="281" spans="2:13" ht="1" customHeight="1">
      <c r="B281" s="9" t="s">
        <v>47</v>
      </c>
      <c r="C281" s="9" t="str">
        <f t="shared" si="14"/>
        <v>Guatemala2013</v>
      </c>
      <c r="D281" s="9">
        <v>2013</v>
      </c>
      <c r="E281" s="9">
        <v>9.8765320000000004E-2</v>
      </c>
      <c r="F281" s="9">
        <v>9.3527310000000002E-2</v>
      </c>
      <c r="G281" s="9">
        <v>0.10400333</v>
      </c>
      <c r="H281" s="9">
        <v>9.4510910000000004E-2</v>
      </c>
      <c r="I281" s="9">
        <v>8.8119039999999996E-2</v>
      </c>
      <c r="J281" s="9">
        <v>0.10090278</v>
      </c>
      <c r="K281" s="9">
        <v>0.10490737999999999</v>
      </c>
      <c r="L281" s="9">
        <v>9.6336669999999999E-2</v>
      </c>
      <c r="M281" s="9">
        <v>0.11347809</v>
      </c>
    </row>
    <row r="282" spans="2:13" ht="1" customHeight="1">
      <c r="B282" s="9" t="s">
        <v>47</v>
      </c>
      <c r="C282" s="9" t="str">
        <f t="shared" si="14"/>
        <v>Guatemala2014</v>
      </c>
      <c r="D282" s="9">
        <v>2014</v>
      </c>
      <c r="E282" s="9">
        <v>0.10709365</v>
      </c>
      <c r="F282" s="9">
        <v>0.10058288</v>
      </c>
      <c r="G282" s="9">
        <v>0.11360442</v>
      </c>
      <c r="H282" s="9">
        <v>0.1040431</v>
      </c>
      <c r="I282" s="9">
        <v>9.5431119999999994E-2</v>
      </c>
      <c r="J282" s="9">
        <v>0.11265507</v>
      </c>
      <c r="K282" s="9">
        <v>0.11388284</v>
      </c>
      <c r="L282" s="9">
        <v>0.10480538</v>
      </c>
      <c r="M282" s="9">
        <v>0.12296029</v>
      </c>
    </row>
    <row r="283" spans="2:13" ht="1" customHeight="1">
      <c r="B283" s="9" t="s">
        <v>52</v>
      </c>
      <c r="C283" s="9" t="str">
        <f t="shared" si="14"/>
        <v>Mexico1995</v>
      </c>
      <c r="D283" s="9">
        <v>1995</v>
      </c>
      <c r="E283" s="9">
        <v>0.11637090999999999</v>
      </c>
      <c r="F283" s="9">
        <v>0.11268741</v>
      </c>
      <c r="G283" s="9">
        <v>0.12005440000000001</v>
      </c>
      <c r="H283" s="9">
        <v>0.10430541</v>
      </c>
      <c r="I283" s="9">
        <v>0.10024349</v>
      </c>
      <c r="J283" s="9">
        <v>0.10836733</v>
      </c>
      <c r="K283" s="9">
        <v>0.13677763000000001</v>
      </c>
      <c r="L283" s="9">
        <v>0.12966741000000001</v>
      </c>
      <c r="M283" s="9">
        <v>0.14388783999999999</v>
      </c>
    </row>
    <row r="284" spans="2:13" ht="1" customHeight="1">
      <c r="B284" s="9" t="s">
        <v>52</v>
      </c>
      <c r="C284" s="9" t="str">
        <f t="shared" si="14"/>
        <v>Mexico1996</v>
      </c>
      <c r="D284" s="9">
        <v>1996</v>
      </c>
      <c r="E284" s="9">
        <v>0.11637090999999999</v>
      </c>
      <c r="F284" s="9">
        <v>0.11268741</v>
      </c>
      <c r="G284" s="9">
        <v>0.12005440000000001</v>
      </c>
      <c r="H284" s="9">
        <v>0.10430541</v>
      </c>
      <c r="I284" s="9">
        <v>0.10024349</v>
      </c>
      <c r="J284" s="9">
        <v>0.10836733</v>
      </c>
      <c r="K284" s="9">
        <v>0.13677763000000001</v>
      </c>
      <c r="L284" s="9">
        <v>0.12966741000000001</v>
      </c>
      <c r="M284" s="9">
        <v>0.14388783999999999</v>
      </c>
    </row>
    <row r="285" spans="2:13" ht="1" customHeight="1">
      <c r="B285" s="9" t="s">
        <v>52</v>
      </c>
      <c r="C285" s="9" t="str">
        <f t="shared" si="14"/>
        <v>Mexico1997</v>
      </c>
      <c r="D285" s="9">
        <v>1997</v>
      </c>
      <c r="E285" s="9">
        <v>0.12116048</v>
      </c>
      <c r="F285" s="9">
        <v>0.11710184999999999</v>
      </c>
      <c r="G285" s="9">
        <v>0.12521910999999999</v>
      </c>
      <c r="H285" s="9">
        <v>0.10635184</v>
      </c>
      <c r="I285" s="9">
        <v>0.10176568</v>
      </c>
      <c r="J285" s="9">
        <v>0.11093801</v>
      </c>
      <c r="K285" s="9">
        <v>0.14638804</v>
      </c>
      <c r="L285" s="9">
        <v>0.13866919</v>
      </c>
      <c r="M285" s="9">
        <v>0.15410689</v>
      </c>
    </row>
    <row r="286" spans="2:13" ht="1" customHeight="1">
      <c r="B286" s="9" t="s">
        <v>52</v>
      </c>
      <c r="C286" s="9" t="str">
        <f t="shared" si="14"/>
        <v>Mexico1998</v>
      </c>
      <c r="D286" s="9">
        <v>1998</v>
      </c>
      <c r="E286" s="9">
        <v>0.12116048</v>
      </c>
      <c r="F286" s="9">
        <v>0.11710184999999999</v>
      </c>
      <c r="G286" s="9">
        <v>0.12521910999999999</v>
      </c>
      <c r="H286" s="9">
        <v>0.10635184</v>
      </c>
      <c r="I286" s="9">
        <v>0.10176568</v>
      </c>
      <c r="J286" s="9">
        <v>0.11093801</v>
      </c>
      <c r="K286" s="9">
        <v>0.14638804</v>
      </c>
      <c r="L286" s="9">
        <v>0.13866919</v>
      </c>
      <c r="M286" s="9">
        <v>0.15410689</v>
      </c>
    </row>
    <row r="287" spans="2:13" ht="1" customHeight="1">
      <c r="B287" s="9" t="s">
        <v>52</v>
      </c>
      <c r="C287" s="9" t="str">
        <f t="shared" si="14"/>
        <v>Mexico1999</v>
      </c>
      <c r="D287" s="9">
        <v>1999</v>
      </c>
      <c r="E287" s="9">
        <v>0.11699540999999999</v>
      </c>
      <c r="F287" s="9">
        <v>0.11221773</v>
      </c>
      <c r="G287" s="9">
        <v>0.12177309</v>
      </c>
      <c r="H287" s="9">
        <v>0.10261579</v>
      </c>
      <c r="I287" s="9">
        <v>9.6924499999999997E-2</v>
      </c>
      <c r="J287" s="9">
        <v>0.10830707000000001</v>
      </c>
      <c r="K287" s="9">
        <v>0.14439927</v>
      </c>
      <c r="L287" s="9">
        <v>0.13577009000000001</v>
      </c>
      <c r="M287" s="9">
        <v>0.15302843999999999</v>
      </c>
    </row>
    <row r="288" spans="2:13" ht="1" customHeight="1">
      <c r="B288" s="9" t="s">
        <v>52</v>
      </c>
      <c r="C288" s="9" t="str">
        <f t="shared" si="14"/>
        <v>Mexico2000</v>
      </c>
      <c r="D288" s="9">
        <v>2000</v>
      </c>
      <c r="E288" s="9">
        <v>0.11699540999999999</v>
      </c>
      <c r="F288" s="9">
        <v>0.11221773</v>
      </c>
      <c r="G288" s="9">
        <v>0.12177309</v>
      </c>
      <c r="H288" s="9">
        <v>0.10261579</v>
      </c>
      <c r="I288" s="9">
        <v>9.6924499999999997E-2</v>
      </c>
      <c r="J288" s="9">
        <v>0.10830707000000001</v>
      </c>
      <c r="K288" s="9">
        <v>0.14439927</v>
      </c>
      <c r="L288" s="9">
        <v>0.13577009000000001</v>
      </c>
      <c r="M288" s="9">
        <v>0.15302843999999999</v>
      </c>
    </row>
    <row r="289" spans="2:13" ht="1" customHeight="1">
      <c r="B289" s="9" t="s">
        <v>52</v>
      </c>
      <c r="C289" s="9" t="str">
        <f t="shared" si="14"/>
        <v>Mexico2001</v>
      </c>
      <c r="D289" s="9">
        <v>2001</v>
      </c>
      <c r="E289" s="9">
        <v>0.12117483</v>
      </c>
      <c r="F289" s="9">
        <v>0.11675890999999999</v>
      </c>
      <c r="G289" s="9">
        <v>0.12559076</v>
      </c>
      <c r="H289" s="9">
        <v>0.10331048</v>
      </c>
      <c r="I289" s="9">
        <v>9.8496609999999998E-2</v>
      </c>
      <c r="J289" s="9">
        <v>0.10812434999999999</v>
      </c>
      <c r="K289" s="9">
        <v>0.14957854000000001</v>
      </c>
      <c r="L289" s="9">
        <v>0.14126083</v>
      </c>
      <c r="M289" s="9">
        <v>0.15789623999999999</v>
      </c>
    </row>
    <row r="290" spans="2:13" ht="1" customHeight="1">
      <c r="B290" s="9" t="s">
        <v>52</v>
      </c>
      <c r="C290" s="9" t="str">
        <f t="shared" si="14"/>
        <v>Mexico2002</v>
      </c>
      <c r="D290" s="9">
        <v>2002</v>
      </c>
      <c r="E290" s="9">
        <v>0.12117483</v>
      </c>
      <c r="F290" s="9">
        <v>0.11675890999999999</v>
      </c>
      <c r="G290" s="9">
        <v>0.12559076</v>
      </c>
      <c r="H290" s="9">
        <v>0.10331048</v>
      </c>
      <c r="I290" s="9">
        <v>9.8496609999999998E-2</v>
      </c>
      <c r="J290" s="9">
        <v>0.10812434999999999</v>
      </c>
      <c r="K290" s="9">
        <v>0.14957854000000001</v>
      </c>
      <c r="L290" s="9">
        <v>0.14126083</v>
      </c>
      <c r="M290" s="9">
        <v>0.15789623999999999</v>
      </c>
    </row>
    <row r="291" spans="2:13" ht="1" customHeight="1">
      <c r="B291" s="9" t="s">
        <v>52</v>
      </c>
      <c r="C291" s="9" t="str">
        <f t="shared" si="14"/>
        <v>Mexico2003</v>
      </c>
      <c r="D291" s="9">
        <v>2003</v>
      </c>
      <c r="E291" s="9">
        <v>0.1051314</v>
      </c>
      <c r="F291" s="9">
        <v>0.10136291</v>
      </c>
      <c r="G291" s="9">
        <v>0.10889989</v>
      </c>
      <c r="H291" s="9">
        <v>9.5569760000000004E-2</v>
      </c>
      <c r="I291" s="9">
        <v>9.1510620000000001E-2</v>
      </c>
      <c r="J291" s="9">
        <v>9.9628900000000006E-2</v>
      </c>
      <c r="K291" s="9">
        <v>0.11910568000000001</v>
      </c>
      <c r="L291" s="9">
        <v>0.11172538999999999</v>
      </c>
      <c r="M291" s="9">
        <v>0.12648597</v>
      </c>
    </row>
    <row r="292" spans="2:13" ht="1" customHeight="1">
      <c r="B292" s="9" t="s">
        <v>52</v>
      </c>
      <c r="C292" s="9" t="str">
        <f t="shared" si="14"/>
        <v>Mexico2004</v>
      </c>
      <c r="D292" s="9">
        <v>2004</v>
      </c>
      <c r="E292" s="9">
        <v>0.1051314</v>
      </c>
      <c r="F292" s="9">
        <v>0.10136291</v>
      </c>
      <c r="G292" s="9">
        <v>0.10889989</v>
      </c>
      <c r="H292" s="9">
        <v>9.5569760000000004E-2</v>
      </c>
      <c r="I292" s="9">
        <v>9.1510620000000001E-2</v>
      </c>
      <c r="J292" s="9">
        <v>9.9628900000000006E-2</v>
      </c>
      <c r="K292" s="9">
        <v>0.11910568000000001</v>
      </c>
      <c r="L292" s="9">
        <v>0.11172538999999999</v>
      </c>
      <c r="M292" s="9">
        <v>0.12648597</v>
      </c>
    </row>
    <row r="293" spans="2:13" ht="1" customHeight="1">
      <c r="B293" s="9" t="s">
        <v>52</v>
      </c>
      <c r="C293" s="9" t="str">
        <f t="shared" si="14"/>
        <v>Mexico2005</v>
      </c>
      <c r="D293" s="9">
        <v>2005</v>
      </c>
      <c r="E293" s="9">
        <v>0.10574638</v>
      </c>
      <c r="F293" s="9">
        <v>0.10283299</v>
      </c>
      <c r="G293" s="9">
        <v>0.10865978</v>
      </c>
      <c r="H293" s="9">
        <v>9.4722310000000004E-2</v>
      </c>
      <c r="I293" s="9">
        <v>9.1264230000000002E-2</v>
      </c>
      <c r="J293" s="9">
        <v>9.8180390000000006E-2</v>
      </c>
      <c r="K293" s="9">
        <v>0.1214143</v>
      </c>
      <c r="L293" s="9">
        <v>0.11635735</v>
      </c>
      <c r="M293" s="9">
        <v>0.12647126</v>
      </c>
    </row>
    <row r="294" spans="2:13" ht="1" customHeight="1">
      <c r="B294" s="9" t="s">
        <v>52</v>
      </c>
      <c r="C294" s="9" t="str">
        <f t="shared" si="14"/>
        <v>Mexico2006</v>
      </c>
      <c r="D294" s="9">
        <v>2006</v>
      </c>
      <c r="E294" s="9">
        <v>0.10613142</v>
      </c>
      <c r="F294" s="9">
        <v>0.10267276</v>
      </c>
      <c r="G294" s="9">
        <v>0.10959009</v>
      </c>
      <c r="H294" s="9">
        <v>8.6521260000000003E-2</v>
      </c>
      <c r="I294" s="9">
        <v>8.2669290000000006E-2</v>
      </c>
      <c r="J294" s="9">
        <v>9.0373220000000004E-2</v>
      </c>
      <c r="K294" s="9">
        <v>0.13237565000000001</v>
      </c>
      <c r="L294" s="9">
        <v>0.12611543</v>
      </c>
      <c r="M294" s="9">
        <v>0.13863587999999999</v>
      </c>
    </row>
    <row r="295" spans="2:13" ht="1" customHeight="1">
      <c r="B295" s="9" t="s">
        <v>52</v>
      </c>
      <c r="C295" s="9" t="str">
        <f t="shared" si="14"/>
        <v>Mexico2007</v>
      </c>
      <c r="D295" s="9">
        <v>2007</v>
      </c>
      <c r="E295" s="9">
        <v>0.10068275</v>
      </c>
      <c r="F295" s="9">
        <v>9.7808240000000005E-2</v>
      </c>
      <c r="G295" s="9">
        <v>0.10355726</v>
      </c>
      <c r="H295" s="9">
        <v>9.0068220000000004E-2</v>
      </c>
      <c r="I295" s="9">
        <v>8.6542690000000005E-2</v>
      </c>
      <c r="J295" s="9">
        <v>9.3593759999999998E-2</v>
      </c>
      <c r="K295" s="9">
        <v>0.11726966</v>
      </c>
      <c r="L295" s="9">
        <v>0.11238097</v>
      </c>
      <c r="M295" s="9">
        <v>0.12215835</v>
      </c>
    </row>
    <row r="296" spans="2:13" ht="1" customHeight="1">
      <c r="B296" s="9" t="s">
        <v>52</v>
      </c>
      <c r="C296" s="9" t="str">
        <f t="shared" si="14"/>
        <v>Mexico2008</v>
      </c>
      <c r="D296" s="9">
        <v>2008</v>
      </c>
      <c r="E296" s="9">
        <v>0.10068275</v>
      </c>
      <c r="F296" s="9">
        <v>9.7808240000000005E-2</v>
      </c>
      <c r="G296" s="9">
        <v>0.10355726</v>
      </c>
      <c r="H296" s="9">
        <v>9.0068220000000004E-2</v>
      </c>
      <c r="I296" s="9">
        <v>8.6542690000000005E-2</v>
      </c>
      <c r="J296" s="9">
        <v>9.3593759999999998E-2</v>
      </c>
      <c r="K296" s="9">
        <v>0.11726966</v>
      </c>
      <c r="L296" s="9">
        <v>0.11238097</v>
      </c>
      <c r="M296" s="9">
        <v>0.12215835</v>
      </c>
    </row>
    <row r="297" spans="2:13" ht="1" customHeight="1">
      <c r="B297" s="9" t="s">
        <v>52</v>
      </c>
      <c r="C297" s="9" t="str">
        <f t="shared" si="14"/>
        <v>Mexico2009</v>
      </c>
      <c r="D297" s="9">
        <v>2009</v>
      </c>
      <c r="E297" s="9">
        <v>0.10105347000000001</v>
      </c>
      <c r="F297" s="9">
        <v>9.8113549999999994E-2</v>
      </c>
      <c r="G297" s="9">
        <v>0.10399339</v>
      </c>
      <c r="H297" s="9">
        <v>8.9930170000000004E-2</v>
      </c>
      <c r="I297" s="9">
        <v>8.6378170000000004E-2</v>
      </c>
      <c r="J297" s="9">
        <v>9.3482159999999995E-2</v>
      </c>
      <c r="K297" s="9">
        <v>0.11813914</v>
      </c>
      <c r="L297" s="9">
        <v>0.11307646</v>
      </c>
      <c r="M297" s="9">
        <v>0.12320183</v>
      </c>
    </row>
    <row r="298" spans="2:13" ht="1" customHeight="1">
      <c r="B298" s="9" t="s">
        <v>52</v>
      </c>
      <c r="C298" s="9" t="str">
        <f t="shared" si="14"/>
        <v>Mexico2010</v>
      </c>
      <c r="D298" s="9">
        <v>2010</v>
      </c>
      <c r="E298" s="9">
        <v>0.10105347000000001</v>
      </c>
      <c r="F298" s="9">
        <v>9.8113549999999994E-2</v>
      </c>
      <c r="G298" s="9">
        <v>0.10399339</v>
      </c>
      <c r="H298" s="9">
        <v>8.9930170000000004E-2</v>
      </c>
      <c r="I298" s="9">
        <v>8.6378170000000004E-2</v>
      </c>
      <c r="J298" s="9">
        <v>9.3482159999999995E-2</v>
      </c>
      <c r="K298" s="9">
        <v>0.11813914</v>
      </c>
      <c r="L298" s="9">
        <v>0.11307646</v>
      </c>
      <c r="M298" s="9">
        <v>0.12320183</v>
      </c>
    </row>
    <row r="299" spans="2:13" ht="1" customHeight="1">
      <c r="B299" s="9" t="s">
        <v>52</v>
      </c>
      <c r="C299" s="9" t="str">
        <f t="shared" si="14"/>
        <v>Mexico2011</v>
      </c>
      <c r="D299" s="9">
        <v>2011</v>
      </c>
      <c r="E299" s="9">
        <v>0.11278409</v>
      </c>
      <c r="F299" s="9">
        <v>0.1074553</v>
      </c>
      <c r="G299" s="9">
        <v>0.11811288</v>
      </c>
      <c r="H299" s="9">
        <v>9.3880749999999999E-2</v>
      </c>
      <c r="I299" s="9">
        <v>8.7678249999999999E-2</v>
      </c>
      <c r="J299" s="9">
        <v>0.10008325</v>
      </c>
      <c r="K299" s="9">
        <v>0.13828245</v>
      </c>
      <c r="L299" s="9">
        <v>0.12882832</v>
      </c>
      <c r="M299" s="9">
        <v>0.14773658000000001</v>
      </c>
    </row>
    <row r="300" spans="2:13" ht="1" customHeight="1">
      <c r="B300" s="9" t="s">
        <v>52</v>
      </c>
      <c r="C300" s="9" t="str">
        <f t="shared" si="14"/>
        <v>Mexico2012</v>
      </c>
      <c r="D300" s="9">
        <v>2012</v>
      </c>
      <c r="E300" s="9">
        <v>0.11278409</v>
      </c>
      <c r="F300" s="9">
        <v>0.1074553</v>
      </c>
      <c r="G300" s="9">
        <v>0.11811288</v>
      </c>
      <c r="H300" s="9">
        <v>9.3880749999999999E-2</v>
      </c>
      <c r="I300" s="9">
        <v>8.7678249999999999E-2</v>
      </c>
      <c r="J300" s="9">
        <v>0.10008325</v>
      </c>
      <c r="K300" s="9">
        <v>0.13828245</v>
      </c>
      <c r="L300" s="9">
        <v>0.12882832</v>
      </c>
      <c r="M300" s="9">
        <v>0.14773658000000001</v>
      </c>
    </row>
    <row r="301" spans="2:13" ht="1" customHeight="1">
      <c r="B301" s="9" t="s">
        <v>52</v>
      </c>
      <c r="C301" s="9" t="str">
        <f t="shared" si="14"/>
        <v>Mexico2013</v>
      </c>
      <c r="D301" s="9">
        <v>2013</v>
      </c>
      <c r="E301" s="9">
        <v>0.11540172999999999</v>
      </c>
      <c r="F301" s="9">
        <v>0.11198194</v>
      </c>
      <c r="G301" s="9">
        <v>0.11882152</v>
      </c>
      <c r="H301" s="9">
        <v>9.8862389999999994E-2</v>
      </c>
      <c r="I301" s="9">
        <v>9.4898040000000003E-2</v>
      </c>
      <c r="J301" s="9">
        <v>0.10282674999999999</v>
      </c>
      <c r="K301" s="9">
        <v>0.13870155000000001</v>
      </c>
      <c r="L301" s="9">
        <v>0.13262724000000001</v>
      </c>
      <c r="M301" s="9">
        <v>0.14477586000000001</v>
      </c>
    </row>
    <row r="302" spans="2:13" ht="1" customHeight="1">
      <c r="B302" s="9" t="s">
        <v>52</v>
      </c>
      <c r="C302" s="9" t="str">
        <f t="shared" si="14"/>
        <v>Mexico2014</v>
      </c>
      <c r="D302" s="9">
        <v>2014</v>
      </c>
      <c r="E302" s="9">
        <v>0.11540172999999999</v>
      </c>
      <c r="F302" s="9">
        <v>0.11198194</v>
      </c>
      <c r="G302" s="9">
        <v>0.11882152</v>
      </c>
      <c r="H302" s="9">
        <v>9.8862389999999994E-2</v>
      </c>
      <c r="I302" s="9">
        <v>9.4898040000000003E-2</v>
      </c>
      <c r="J302" s="9">
        <v>0.10282674999999999</v>
      </c>
      <c r="K302" s="9">
        <v>0.13870155000000001</v>
      </c>
      <c r="L302" s="9">
        <v>0.13262724000000001</v>
      </c>
      <c r="M302" s="9">
        <v>0.14477586000000001</v>
      </c>
    </row>
    <row r="303" spans="2:13" ht="1" customHeight="1">
      <c r="B303" s="9" t="s">
        <v>54</v>
      </c>
      <c r="C303" s="9" t="str">
        <f t="shared" si="14"/>
        <v>Panama1995</v>
      </c>
      <c r="D303" s="9">
        <v>1995</v>
      </c>
      <c r="E303" s="9">
        <v>0.11215242</v>
      </c>
      <c r="F303" s="9">
        <v>0.10903813</v>
      </c>
      <c r="G303" s="9">
        <v>0.11526670999999999</v>
      </c>
      <c r="H303" s="9">
        <v>9.7752980000000003E-2</v>
      </c>
      <c r="I303" s="9">
        <v>9.3934610000000002E-2</v>
      </c>
      <c r="J303" s="9">
        <v>0.10157135</v>
      </c>
      <c r="K303" s="9">
        <v>0.13794049999999999</v>
      </c>
      <c r="L303" s="9">
        <v>0.13261792999999999</v>
      </c>
      <c r="M303" s="9">
        <v>0.14326306999999999</v>
      </c>
    </row>
    <row r="304" spans="2:13" ht="1" customHeight="1">
      <c r="B304" s="9" t="s">
        <v>54</v>
      </c>
      <c r="C304" s="9" t="str">
        <f t="shared" si="14"/>
        <v>Panama1996</v>
      </c>
      <c r="D304" s="9">
        <v>1996</v>
      </c>
      <c r="E304" s="9">
        <v>0.12631116000000001</v>
      </c>
      <c r="F304" s="9">
        <v>0.12295148</v>
      </c>
      <c r="G304" s="9">
        <v>0.12967085</v>
      </c>
      <c r="H304" s="9">
        <v>0.11625719</v>
      </c>
      <c r="I304" s="9">
        <v>0.11206637</v>
      </c>
      <c r="J304" s="9">
        <v>0.12044802</v>
      </c>
      <c r="K304" s="9">
        <v>0.14516677</v>
      </c>
      <c r="L304" s="9">
        <v>0.13955901000000001</v>
      </c>
      <c r="M304" s="9">
        <v>0.15077454000000001</v>
      </c>
    </row>
    <row r="305" spans="2:13" ht="1" customHeight="1">
      <c r="B305" s="9" t="s">
        <v>54</v>
      </c>
      <c r="C305" s="9" t="str">
        <f t="shared" si="14"/>
        <v>Panama1997</v>
      </c>
      <c r="D305" s="9">
        <v>1997</v>
      </c>
      <c r="E305" s="9">
        <v>0.12514232</v>
      </c>
      <c r="F305" s="9">
        <v>0.12183796</v>
      </c>
      <c r="G305" s="9">
        <v>0.12844668000000001</v>
      </c>
      <c r="H305" s="9">
        <v>0.1172409</v>
      </c>
      <c r="I305" s="9">
        <v>0.11294171</v>
      </c>
      <c r="J305" s="9">
        <v>0.12154007999999999</v>
      </c>
      <c r="K305" s="9">
        <v>0.13830580000000001</v>
      </c>
      <c r="L305" s="9">
        <v>0.13321463</v>
      </c>
      <c r="M305" s="9">
        <v>0.14339695999999999</v>
      </c>
    </row>
    <row r="306" spans="2:13" ht="1" customHeight="1">
      <c r="B306" s="9" t="s">
        <v>54</v>
      </c>
      <c r="C306" s="9" t="str">
        <f t="shared" si="14"/>
        <v>Panama1998</v>
      </c>
      <c r="D306" s="9">
        <v>1998</v>
      </c>
      <c r="E306" s="9">
        <v>0.12568509</v>
      </c>
      <c r="F306" s="9">
        <v>0.12225139</v>
      </c>
      <c r="G306" s="9">
        <v>0.12911879000000001</v>
      </c>
      <c r="H306" s="9">
        <v>0.11801196</v>
      </c>
      <c r="I306" s="9">
        <v>0.11366072000000001</v>
      </c>
      <c r="J306" s="9">
        <v>0.12236319</v>
      </c>
      <c r="K306" s="9">
        <v>0.13991822000000001</v>
      </c>
      <c r="L306" s="9">
        <v>0.13436769000000001</v>
      </c>
      <c r="M306" s="9">
        <v>0.14546875000000001</v>
      </c>
    </row>
    <row r="307" spans="2:13" ht="1" customHeight="1">
      <c r="B307" s="9" t="s">
        <v>54</v>
      </c>
      <c r="C307" s="9" t="str">
        <f t="shared" si="14"/>
        <v>Panama1999</v>
      </c>
      <c r="D307" s="9">
        <v>1999</v>
      </c>
      <c r="E307" s="9">
        <v>0.12636538</v>
      </c>
      <c r="F307" s="9">
        <v>0.12315106000000001</v>
      </c>
      <c r="G307" s="9">
        <v>0.12957969999999999</v>
      </c>
      <c r="H307" s="9">
        <v>0.11833200000000001</v>
      </c>
      <c r="I307" s="9">
        <v>0.11434213</v>
      </c>
      <c r="J307" s="9">
        <v>0.12232187</v>
      </c>
      <c r="K307" s="9">
        <v>0.14134278</v>
      </c>
      <c r="L307" s="9">
        <v>0.13588926000000001</v>
      </c>
      <c r="M307" s="9">
        <v>0.14679629999999999</v>
      </c>
    </row>
    <row r="308" spans="2:13" ht="1" customHeight="1">
      <c r="B308" s="9" t="s">
        <v>54</v>
      </c>
      <c r="C308" s="9" t="str">
        <f t="shared" si="14"/>
        <v>Panama2000</v>
      </c>
      <c r="D308" s="9">
        <v>2000</v>
      </c>
      <c r="E308" s="9">
        <v>0.12340009</v>
      </c>
      <c r="F308" s="9">
        <v>0.12007178</v>
      </c>
      <c r="G308" s="9">
        <v>0.12672839999999999</v>
      </c>
      <c r="H308" s="9">
        <v>0.11641636</v>
      </c>
      <c r="I308" s="9">
        <v>0.11223572</v>
      </c>
      <c r="J308" s="9">
        <v>0.12059699</v>
      </c>
      <c r="K308" s="9">
        <v>0.13609968</v>
      </c>
      <c r="L308" s="9">
        <v>0.13057256</v>
      </c>
      <c r="M308" s="9">
        <v>0.14162680999999999</v>
      </c>
    </row>
    <row r="309" spans="2:13" ht="1" customHeight="1">
      <c r="B309" s="9" t="s">
        <v>54</v>
      </c>
      <c r="C309" s="9" t="str">
        <f t="shared" si="14"/>
        <v>Panama2001</v>
      </c>
      <c r="D309" s="9">
        <v>2001</v>
      </c>
      <c r="E309" s="9">
        <v>0.12702843</v>
      </c>
      <c r="F309" s="9">
        <v>0.12384837999999999</v>
      </c>
      <c r="G309" s="9">
        <v>0.13020849000000001</v>
      </c>
      <c r="H309" s="9">
        <v>0.1172236</v>
      </c>
      <c r="I309" s="9">
        <v>0.11325374000000001</v>
      </c>
      <c r="J309" s="9">
        <v>0.12119344999999999</v>
      </c>
      <c r="K309" s="9">
        <v>0.14480075000000001</v>
      </c>
      <c r="L309" s="9">
        <v>0.1394425</v>
      </c>
      <c r="M309" s="9">
        <v>0.15015899999999999</v>
      </c>
    </row>
    <row r="310" spans="2:13" ht="1" customHeight="1">
      <c r="B310" s="9" t="s">
        <v>54</v>
      </c>
      <c r="C310" s="9" t="str">
        <f t="shared" si="14"/>
        <v>Panama2002</v>
      </c>
      <c r="D310" s="9">
        <v>2002</v>
      </c>
      <c r="E310" s="9">
        <v>0.13518231</v>
      </c>
      <c r="F310" s="9">
        <v>0.13192587</v>
      </c>
      <c r="G310" s="9">
        <v>0.13843875999999999</v>
      </c>
      <c r="H310" s="9">
        <v>0.12550521000000001</v>
      </c>
      <c r="I310" s="9">
        <v>0.12152296999999999</v>
      </c>
      <c r="J310" s="9">
        <v>0.12948745</v>
      </c>
      <c r="K310" s="9">
        <v>0.15371615999999999</v>
      </c>
      <c r="L310" s="9">
        <v>0.14810237000000001</v>
      </c>
      <c r="M310" s="9">
        <v>0.15932995999999999</v>
      </c>
    </row>
    <row r="311" spans="2:13" ht="1" customHeight="1">
      <c r="B311" s="9" t="s">
        <v>54</v>
      </c>
      <c r="C311" s="9" t="str">
        <f t="shared" si="14"/>
        <v>Panama2003</v>
      </c>
      <c r="D311" s="9">
        <v>2003</v>
      </c>
      <c r="E311" s="9">
        <v>0.12945153000000001</v>
      </c>
      <c r="F311" s="9">
        <v>0.12629715999999999</v>
      </c>
      <c r="G311" s="9">
        <v>0.13260590999999999</v>
      </c>
      <c r="H311" s="9">
        <v>0.11815458</v>
      </c>
      <c r="I311" s="9">
        <v>0.11428033999999999</v>
      </c>
      <c r="J311" s="9">
        <v>0.12202882</v>
      </c>
      <c r="K311" s="9">
        <v>0.14957867999999999</v>
      </c>
      <c r="L311" s="9">
        <v>0.14417685</v>
      </c>
      <c r="M311" s="9">
        <v>0.15498050999999999</v>
      </c>
    </row>
    <row r="312" spans="2:13" ht="1" customHeight="1">
      <c r="B312" s="9" t="s">
        <v>54</v>
      </c>
      <c r="C312" s="9" t="str">
        <f t="shared" si="14"/>
        <v>Panama2004</v>
      </c>
      <c r="D312" s="9">
        <v>2004</v>
      </c>
      <c r="E312" s="9">
        <v>0.13482324000000001</v>
      </c>
      <c r="F312" s="9">
        <v>0.13147806000000001</v>
      </c>
      <c r="G312" s="9">
        <v>0.13816841999999999</v>
      </c>
      <c r="H312" s="9">
        <v>0.11875426</v>
      </c>
      <c r="I312" s="9">
        <v>0.11458512</v>
      </c>
      <c r="J312" s="9">
        <v>0.12292338999999999</v>
      </c>
      <c r="K312" s="9">
        <v>0.1609758</v>
      </c>
      <c r="L312" s="9">
        <v>0.15555200999999999</v>
      </c>
      <c r="M312" s="9">
        <v>0.16639958999999999</v>
      </c>
    </row>
    <row r="313" spans="2:13" ht="1" customHeight="1">
      <c r="B313" s="9" t="s">
        <v>54</v>
      </c>
      <c r="C313" s="9" t="str">
        <f t="shared" si="14"/>
        <v>Panama2005</v>
      </c>
      <c r="D313" s="9">
        <v>2005</v>
      </c>
      <c r="E313" s="9">
        <v>0.13319438</v>
      </c>
      <c r="F313" s="9">
        <v>0.12972492999999999</v>
      </c>
      <c r="G313" s="9">
        <v>0.13666382999999999</v>
      </c>
      <c r="H313" s="9">
        <v>0.11742295</v>
      </c>
      <c r="I313" s="9">
        <v>0.11321402</v>
      </c>
      <c r="J313" s="9">
        <v>0.12163188</v>
      </c>
      <c r="K313" s="9">
        <v>0.15882103</v>
      </c>
      <c r="L313" s="9">
        <v>0.15304348000000001</v>
      </c>
      <c r="M313" s="9">
        <v>0.16459858999999999</v>
      </c>
    </row>
    <row r="314" spans="2:13" ht="1" customHeight="1">
      <c r="B314" s="9" t="s">
        <v>54</v>
      </c>
      <c r="C314" s="9" t="str">
        <f t="shared" si="14"/>
        <v>Panama2006</v>
      </c>
      <c r="D314" s="9">
        <v>2006</v>
      </c>
      <c r="E314" s="9">
        <v>0.13527313999999999</v>
      </c>
      <c r="F314" s="9">
        <v>0.13170392</v>
      </c>
      <c r="G314" s="9">
        <v>0.13884236999999999</v>
      </c>
      <c r="H314" s="9">
        <v>0.11870053</v>
      </c>
      <c r="I314" s="9">
        <v>0.11427331</v>
      </c>
      <c r="J314" s="9">
        <v>0.12312774999999999</v>
      </c>
      <c r="K314" s="9">
        <v>0.16187510999999999</v>
      </c>
      <c r="L314" s="9">
        <v>0.15599203</v>
      </c>
      <c r="M314" s="9">
        <v>0.16775819</v>
      </c>
    </row>
    <row r="315" spans="2:13" ht="1" customHeight="1">
      <c r="B315" s="9" t="s">
        <v>54</v>
      </c>
      <c r="C315" s="9" t="str">
        <f t="shared" si="14"/>
        <v>Panama2007</v>
      </c>
      <c r="D315" s="9">
        <v>2007</v>
      </c>
      <c r="E315" s="9">
        <v>0.12531661999999999</v>
      </c>
      <c r="F315" s="9">
        <v>0.12213894</v>
      </c>
      <c r="G315" s="9">
        <v>0.12849431</v>
      </c>
      <c r="H315" s="9">
        <v>0.10794263</v>
      </c>
      <c r="I315" s="9">
        <v>0.10405726</v>
      </c>
      <c r="J315" s="9">
        <v>0.11182801000000001</v>
      </c>
      <c r="K315" s="9">
        <v>0.15113679999999999</v>
      </c>
      <c r="L315" s="9">
        <v>0.14581076000000001</v>
      </c>
      <c r="M315" s="9">
        <v>0.15646283</v>
      </c>
    </row>
    <row r="316" spans="2:13" ht="1" customHeight="1">
      <c r="B316" s="9" t="s">
        <v>54</v>
      </c>
      <c r="C316" s="9" t="str">
        <f t="shared" si="14"/>
        <v>Panama2008</v>
      </c>
      <c r="D316" s="9">
        <v>2008</v>
      </c>
      <c r="E316" s="9">
        <v>0.12648648000000001</v>
      </c>
      <c r="F316" s="9">
        <v>0.12300603</v>
      </c>
      <c r="G316" s="9">
        <v>0.12996694</v>
      </c>
      <c r="H316" s="9">
        <v>0.11029016</v>
      </c>
      <c r="I316" s="9">
        <v>0.10594806</v>
      </c>
      <c r="J316" s="9">
        <v>0.11463225</v>
      </c>
      <c r="K316" s="9">
        <v>0.15065353000000001</v>
      </c>
      <c r="L316" s="9">
        <v>0.14493302</v>
      </c>
      <c r="M316" s="9">
        <v>0.15637403</v>
      </c>
    </row>
    <row r="317" spans="2:13" ht="1" customHeight="1">
      <c r="B317" s="9" t="s">
        <v>54</v>
      </c>
      <c r="C317" s="9" t="str">
        <f t="shared" si="14"/>
        <v>Panama2009</v>
      </c>
      <c r="D317" s="9">
        <v>2009</v>
      </c>
      <c r="E317" s="9">
        <v>0.12723587</v>
      </c>
      <c r="F317" s="9">
        <v>0.12388873</v>
      </c>
      <c r="G317" s="9">
        <v>0.130583</v>
      </c>
      <c r="H317" s="9">
        <v>0.11016708</v>
      </c>
      <c r="I317" s="9">
        <v>0.10603946</v>
      </c>
      <c r="J317" s="9">
        <v>0.1142947</v>
      </c>
      <c r="K317" s="9">
        <v>0.15171275000000001</v>
      </c>
      <c r="L317" s="9">
        <v>0.14627799999999999</v>
      </c>
      <c r="M317" s="9">
        <v>0.1571475</v>
      </c>
    </row>
    <row r="318" spans="2:13" ht="1" customHeight="1">
      <c r="B318" s="9" t="s">
        <v>54</v>
      </c>
      <c r="C318" s="9" t="str">
        <f t="shared" si="14"/>
        <v>Panama2010</v>
      </c>
      <c r="D318" s="9">
        <v>2010</v>
      </c>
      <c r="E318" s="9">
        <v>0.12615317000000001</v>
      </c>
      <c r="F318" s="9">
        <v>0.12269281999999999</v>
      </c>
      <c r="G318" s="9">
        <v>0.12961352000000001</v>
      </c>
      <c r="H318" s="9">
        <v>0.11265712</v>
      </c>
      <c r="I318" s="9">
        <v>0.10840163</v>
      </c>
      <c r="J318" s="9">
        <v>0.11691261999999999</v>
      </c>
      <c r="K318" s="9">
        <v>0.14566925999999999</v>
      </c>
      <c r="L318" s="9">
        <v>0.13992894</v>
      </c>
      <c r="M318" s="9">
        <v>0.15140957999999999</v>
      </c>
    </row>
    <row r="319" spans="2:13" ht="1" customHeight="1">
      <c r="B319" s="9" t="s">
        <v>54</v>
      </c>
      <c r="C319" s="9" t="str">
        <f t="shared" si="14"/>
        <v>Panama2011</v>
      </c>
      <c r="D319" s="9">
        <v>2011</v>
      </c>
      <c r="E319" s="9">
        <v>0.11839309000000001</v>
      </c>
      <c r="F319" s="9">
        <v>0.11494093</v>
      </c>
      <c r="G319" s="9">
        <v>0.12184526</v>
      </c>
      <c r="H319" s="9">
        <v>0.1036711</v>
      </c>
      <c r="I319" s="9">
        <v>9.9373100000000006E-2</v>
      </c>
      <c r="J319" s="9">
        <v>0.10796910999999999</v>
      </c>
      <c r="K319" s="9">
        <v>0.14033219999999999</v>
      </c>
      <c r="L319" s="9">
        <v>0.13461571</v>
      </c>
      <c r="M319" s="9">
        <v>0.14604867999999999</v>
      </c>
    </row>
    <row r="320" spans="2:13" ht="1" customHeight="1">
      <c r="B320" s="9" t="s">
        <v>54</v>
      </c>
      <c r="C320" s="9" t="str">
        <f t="shared" si="14"/>
        <v>Panama2012</v>
      </c>
      <c r="D320" s="9">
        <v>2012</v>
      </c>
      <c r="E320" s="9">
        <v>0.119868</v>
      </c>
      <c r="F320" s="9">
        <v>0.11657974</v>
      </c>
      <c r="G320" s="9">
        <v>0.12315624999999999</v>
      </c>
      <c r="H320" s="9">
        <v>0.10374313</v>
      </c>
      <c r="I320" s="9">
        <v>9.9707589999999999E-2</v>
      </c>
      <c r="J320" s="9">
        <v>0.10777866</v>
      </c>
      <c r="K320" s="9">
        <v>0.14306455000000001</v>
      </c>
      <c r="L320" s="9">
        <v>0.13754008000000001</v>
      </c>
      <c r="M320" s="9">
        <v>0.14858901999999999</v>
      </c>
    </row>
    <row r="321" spans="2:13" ht="1" customHeight="1">
      <c r="B321" s="9" t="s">
        <v>54</v>
      </c>
      <c r="C321" s="9" t="str">
        <f t="shared" si="14"/>
        <v>Panama2013</v>
      </c>
      <c r="D321" s="9">
        <v>2013</v>
      </c>
      <c r="E321" s="9">
        <v>0.11969531</v>
      </c>
      <c r="F321" s="9">
        <v>0.11623334</v>
      </c>
      <c r="G321" s="9">
        <v>0.12315727999999999</v>
      </c>
      <c r="H321" s="9">
        <v>0.10114945</v>
      </c>
      <c r="I321" s="9">
        <v>9.6992449999999994E-2</v>
      </c>
      <c r="J321" s="9">
        <v>0.10530644</v>
      </c>
      <c r="K321" s="9">
        <v>0.14825384999999999</v>
      </c>
      <c r="L321" s="9">
        <v>0.14241715999999999</v>
      </c>
      <c r="M321" s="9">
        <v>0.15409054999999999</v>
      </c>
    </row>
    <row r="322" spans="2:13" ht="1" customHeight="1">
      <c r="B322" s="9" t="s">
        <v>54</v>
      </c>
      <c r="C322" s="9" t="str">
        <f t="shared" si="14"/>
        <v>Panama2014</v>
      </c>
      <c r="D322" s="9">
        <v>2014</v>
      </c>
      <c r="E322" s="9">
        <v>0.11685710000000001</v>
      </c>
      <c r="F322" s="9">
        <v>0.11335041</v>
      </c>
      <c r="G322" s="9">
        <v>0.12036380000000001</v>
      </c>
      <c r="H322" s="9">
        <v>9.7480300000000006E-2</v>
      </c>
      <c r="I322" s="9">
        <v>9.2899040000000002E-2</v>
      </c>
      <c r="J322" s="9">
        <v>0.10206156</v>
      </c>
      <c r="K322" s="9">
        <v>0.14295731</v>
      </c>
      <c r="L322" s="9">
        <v>0.13757783000000001</v>
      </c>
      <c r="M322" s="9">
        <v>0.14833679</v>
      </c>
    </row>
    <row r="323" spans="2:13" ht="1" customHeight="1">
      <c r="B323" s="9" t="s">
        <v>56</v>
      </c>
      <c r="C323" s="9" t="str">
        <f t="shared" si="14"/>
        <v>Peru1995</v>
      </c>
      <c r="D323" s="9">
        <v>1995</v>
      </c>
      <c r="E323" s="9">
        <v>0.14490159</v>
      </c>
      <c r="F323" s="9">
        <v>0.13764786000000001</v>
      </c>
      <c r="G323" s="9">
        <v>0.15215532000000001</v>
      </c>
      <c r="H323" s="9">
        <v>0.15645091999999999</v>
      </c>
      <c r="I323" s="9">
        <v>0.14648864</v>
      </c>
      <c r="J323" s="9">
        <v>0.16641321000000001</v>
      </c>
      <c r="K323" s="9">
        <v>0.13129469999999999</v>
      </c>
      <c r="L323" s="9">
        <v>0.12060083000000001</v>
      </c>
      <c r="M323" s="9">
        <v>0.14198858</v>
      </c>
    </row>
    <row r="324" spans="2:13" ht="1" customHeight="1">
      <c r="B324" s="9" t="s">
        <v>56</v>
      </c>
      <c r="C324" s="9" t="str">
        <f t="shared" si="14"/>
        <v>Peru1996</v>
      </c>
      <c r="D324" s="9">
        <v>1996</v>
      </c>
      <c r="E324" s="9">
        <v>0.14490159</v>
      </c>
      <c r="F324" s="9">
        <v>0.13764786000000001</v>
      </c>
      <c r="G324" s="9">
        <v>0.15215532000000001</v>
      </c>
      <c r="H324" s="9">
        <v>0.15645091999999999</v>
      </c>
      <c r="I324" s="9">
        <v>0.14648864</v>
      </c>
      <c r="J324" s="9">
        <v>0.16641321000000001</v>
      </c>
      <c r="K324" s="9">
        <v>0.13129469999999999</v>
      </c>
      <c r="L324" s="9">
        <v>0.12060083000000001</v>
      </c>
      <c r="M324" s="9">
        <v>0.14198858</v>
      </c>
    </row>
    <row r="325" spans="2:13" ht="1" customHeight="1">
      <c r="B325" s="9" t="s">
        <v>56</v>
      </c>
      <c r="C325" s="9" t="str">
        <f t="shared" si="14"/>
        <v>Peru1997</v>
      </c>
      <c r="D325" s="9">
        <v>1997</v>
      </c>
      <c r="E325" s="9">
        <v>0.14490159</v>
      </c>
      <c r="F325" s="9">
        <v>0.13764786000000001</v>
      </c>
      <c r="G325" s="9">
        <v>0.15215532000000001</v>
      </c>
      <c r="H325" s="9">
        <v>0.15645091999999999</v>
      </c>
      <c r="I325" s="9">
        <v>0.14648864</v>
      </c>
      <c r="J325" s="9">
        <v>0.16641321000000001</v>
      </c>
      <c r="K325" s="9">
        <v>0.13129469999999999</v>
      </c>
      <c r="L325" s="9">
        <v>0.12060083000000001</v>
      </c>
      <c r="M325" s="9">
        <v>0.14198858</v>
      </c>
    </row>
    <row r="326" spans="2:13" ht="1" customHeight="1">
      <c r="B326" s="9" t="s">
        <v>56</v>
      </c>
      <c r="C326" s="9" t="str">
        <f t="shared" si="14"/>
        <v>Peru1998</v>
      </c>
      <c r="D326" s="9">
        <v>1998</v>
      </c>
      <c r="E326" s="9">
        <v>0.14757923000000001</v>
      </c>
      <c r="F326" s="9">
        <v>0.14048024000000001</v>
      </c>
      <c r="G326" s="9">
        <v>0.15467822000000001</v>
      </c>
      <c r="H326" s="9">
        <v>0.15808037</v>
      </c>
      <c r="I326" s="9">
        <v>0.14799398</v>
      </c>
      <c r="J326" s="9">
        <v>0.16816675</v>
      </c>
      <c r="K326" s="9">
        <v>0.13679211999999999</v>
      </c>
      <c r="L326" s="9">
        <v>0.12669916000000001</v>
      </c>
      <c r="M326" s="9">
        <v>0.14688508</v>
      </c>
    </row>
    <row r="327" spans="2:13" ht="1" customHeight="1">
      <c r="B327" s="9" t="s">
        <v>56</v>
      </c>
      <c r="C327" s="9" t="str">
        <f t="shared" si="14"/>
        <v>Peru1999</v>
      </c>
      <c r="D327" s="9">
        <v>1999</v>
      </c>
      <c r="E327" s="9">
        <v>0.16045369000000001</v>
      </c>
      <c r="F327" s="9">
        <v>0.15014559</v>
      </c>
      <c r="G327" s="9">
        <v>0.17076179</v>
      </c>
      <c r="H327" s="9">
        <v>0.16379057</v>
      </c>
      <c r="I327" s="9">
        <v>0.14919682000000001</v>
      </c>
      <c r="J327" s="9">
        <v>0.17838432000000001</v>
      </c>
      <c r="K327" s="9">
        <v>0.15614541000000001</v>
      </c>
      <c r="L327" s="9">
        <v>0.14127424</v>
      </c>
      <c r="M327" s="9">
        <v>0.17101659</v>
      </c>
    </row>
    <row r="328" spans="2:13" ht="1" customHeight="1">
      <c r="B328" s="9" t="s">
        <v>56</v>
      </c>
      <c r="C328" s="9" t="str">
        <f t="shared" si="14"/>
        <v>Peru2000</v>
      </c>
      <c r="D328" s="9">
        <v>2000</v>
      </c>
      <c r="E328" s="9">
        <v>0.13874153</v>
      </c>
      <c r="F328" s="9">
        <v>0.12695909</v>
      </c>
      <c r="G328" s="9">
        <v>0.15052397000000001</v>
      </c>
      <c r="H328" s="9">
        <v>0.14513135999999999</v>
      </c>
      <c r="I328" s="9">
        <v>0.12869516</v>
      </c>
      <c r="J328" s="9">
        <v>0.16156756</v>
      </c>
      <c r="K328" s="9">
        <v>0.12774785</v>
      </c>
      <c r="L328" s="9">
        <v>0.11060759000000001</v>
      </c>
      <c r="M328" s="9">
        <v>0.14488809999999999</v>
      </c>
    </row>
    <row r="329" spans="2:13" ht="1" customHeight="1">
      <c r="B329" s="9" t="s">
        <v>56</v>
      </c>
      <c r="C329" s="9" t="str">
        <f t="shared" si="14"/>
        <v>Peru2001</v>
      </c>
      <c r="D329" s="9">
        <v>2001</v>
      </c>
      <c r="E329" s="9">
        <v>0.13930675000000001</v>
      </c>
      <c r="F329" s="9">
        <v>0.13394956</v>
      </c>
      <c r="G329" s="9">
        <v>0.14466393999999999</v>
      </c>
      <c r="H329" s="9">
        <v>0.14268239999999999</v>
      </c>
      <c r="I329" s="9">
        <v>0.13566543</v>
      </c>
      <c r="J329" s="9">
        <v>0.14969937</v>
      </c>
      <c r="K329" s="9">
        <v>0.13632062</v>
      </c>
      <c r="L329" s="9">
        <v>0.12783296999999999</v>
      </c>
      <c r="M329" s="9">
        <v>0.14480826999999999</v>
      </c>
    </row>
    <row r="330" spans="2:13" ht="1" customHeight="1">
      <c r="B330" s="9" t="s">
        <v>56</v>
      </c>
      <c r="C330" s="9" t="str">
        <f t="shared" si="14"/>
        <v>Peru2002</v>
      </c>
      <c r="D330" s="9">
        <v>2002</v>
      </c>
      <c r="E330" s="9">
        <v>0.13833450999999999</v>
      </c>
      <c r="F330" s="9">
        <v>0.13383503999999999</v>
      </c>
      <c r="G330" s="9">
        <v>0.14283398999999999</v>
      </c>
      <c r="H330" s="9">
        <v>0.14600126999999999</v>
      </c>
      <c r="I330" s="9">
        <v>0.14018184</v>
      </c>
      <c r="J330" s="9">
        <v>0.15182069000000001</v>
      </c>
      <c r="K330" s="9">
        <v>0.12849258</v>
      </c>
      <c r="L330" s="9">
        <v>0.12130923</v>
      </c>
      <c r="M330" s="9">
        <v>0.13567593</v>
      </c>
    </row>
    <row r="331" spans="2:13" ht="1" customHeight="1">
      <c r="B331" s="9" t="s">
        <v>56</v>
      </c>
      <c r="C331" s="9" t="str">
        <f t="shared" si="14"/>
        <v>Peru2003</v>
      </c>
      <c r="D331" s="9">
        <v>2003</v>
      </c>
      <c r="E331" s="9">
        <v>0.14412289</v>
      </c>
      <c r="F331" s="9">
        <v>0.13841059999999999</v>
      </c>
      <c r="G331" s="9">
        <v>0.14983516999999999</v>
      </c>
      <c r="H331" s="9">
        <v>0.15007982</v>
      </c>
      <c r="I331" s="9">
        <v>0.14299374000000001</v>
      </c>
      <c r="J331" s="9">
        <v>0.1571659</v>
      </c>
      <c r="K331" s="9">
        <v>0.13531329</v>
      </c>
      <c r="L331" s="9">
        <v>0.12595216000000001</v>
      </c>
      <c r="M331" s="9">
        <v>0.14467441</v>
      </c>
    </row>
    <row r="332" spans="2:13" ht="1" customHeight="1">
      <c r="B332" s="9" t="s">
        <v>56</v>
      </c>
      <c r="C332" s="9" t="str">
        <f t="shared" si="14"/>
        <v>Peru2004</v>
      </c>
      <c r="D332" s="9">
        <v>2004</v>
      </c>
      <c r="E332" s="9">
        <v>0.12081375</v>
      </c>
      <c r="F332" s="9">
        <v>0.11720815</v>
      </c>
      <c r="G332" s="9">
        <v>0.12441936000000001</v>
      </c>
      <c r="H332" s="9">
        <v>0.12057972</v>
      </c>
      <c r="I332" s="9">
        <v>0.11619537000000001</v>
      </c>
      <c r="J332" s="9">
        <v>0.12496407</v>
      </c>
      <c r="K332" s="9">
        <v>0.12090822</v>
      </c>
      <c r="L332" s="9">
        <v>0.11487657</v>
      </c>
      <c r="M332" s="9">
        <v>0.12693987000000001</v>
      </c>
    </row>
    <row r="333" spans="2:13" ht="1" customHeight="1">
      <c r="B333" s="9" t="s">
        <v>56</v>
      </c>
      <c r="C333" s="9" t="str">
        <f t="shared" si="14"/>
        <v>Peru2005</v>
      </c>
      <c r="D333" s="9">
        <v>2005</v>
      </c>
      <c r="E333" s="9">
        <v>0.11731654</v>
      </c>
      <c r="F333" s="9">
        <v>0.11369427</v>
      </c>
      <c r="G333" s="9">
        <v>0.12093880999999999</v>
      </c>
      <c r="H333" s="9">
        <v>0.1184071</v>
      </c>
      <c r="I333" s="9">
        <v>0.11382565</v>
      </c>
      <c r="J333" s="9">
        <v>0.12298853999999999</v>
      </c>
      <c r="K333" s="9">
        <v>0.1172733</v>
      </c>
      <c r="L333" s="9">
        <v>0.11137556</v>
      </c>
      <c r="M333" s="9">
        <v>0.12317104</v>
      </c>
    </row>
    <row r="334" spans="2:13" ht="1" customHeight="1">
      <c r="B334" s="9" t="s">
        <v>56</v>
      </c>
      <c r="C334" s="9" t="str">
        <f t="shared" si="14"/>
        <v>Peru2006</v>
      </c>
      <c r="D334" s="9">
        <v>2006</v>
      </c>
      <c r="E334" s="9">
        <v>0.12555314000000001</v>
      </c>
      <c r="F334" s="9">
        <v>0.12204019000000001</v>
      </c>
      <c r="G334" s="9">
        <v>0.12906608999999999</v>
      </c>
      <c r="H334" s="9">
        <v>0.12634348000000001</v>
      </c>
      <c r="I334" s="9">
        <v>0.12216655999999999</v>
      </c>
      <c r="J334" s="9">
        <v>0.13052040000000001</v>
      </c>
      <c r="K334" s="9">
        <v>0.12424449</v>
      </c>
      <c r="L334" s="9">
        <v>0.11813162000000001</v>
      </c>
      <c r="M334" s="9">
        <v>0.13035735000000001</v>
      </c>
    </row>
    <row r="335" spans="2:13" ht="1" customHeight="1">
      <c r="B335" s="9" t="s">
        <v>56</v>
      </c>
      <c r="C335" s="9" t="str">
        <f t="shared" si="14"/>
        <v>Peru2007</v>
      </c>
      <c r="D335" s="9">
        <v>2007</v>
      </c>
      <c r="E335" s="9">
        <v>0.12510489999999999</v>
      </c>
      <c r="F335" s="9">
        <v>0.12190570000000001</v>
      </c>
      <c r="G335" s="9">
        <v>0.12830411</v>
      </c>
      <c r="H335" s="9">
        <v>0.12174187</v>
      </c>
      <c r="I335" s="9">
        <v>0.11772804000000001</v>
      </c>
      <c r="J335" s="9">
        <v>0.1257557</v>
      </c>
      <c r="K335" s="9">
        <v>0.12832668999999999</v>
      </c>
      <c r="L335" s="9">
        <v>0.12317975</v>
      </c>
      <c r="M335" s="9">
        <v>0.13347363000000001</v>
      </c>
    </row>
    <row r="336" spans="2:13" ht="1" customHeight="1">
      <c r="B336" s="9" t="s">
        <v>56</v>
      </c>
      <c r="C336" s="9" t="str">
        <f t="shared" si="14"/>
        <v>Peru2008</v>
      </c>
      <c r="D336" s="9">
        <v>2008</v>
      </c>
      <c r="E336" s="9">
        <v>0.12229598999999999</v>
      </c>
      <c r="F336" s="9">
        <v>0.11895396</v>
      </c>
      <c r="G336" s="9">
        <v>0.12563801999999999</v>
      </c>
      <c r="H336" s="9">
        <v>0.11962573</v>
      </c>
      <c r="I336" s="9">
        <v>0.11526017</v>
      </c>
      <c r="J336" s="9">
        <v>0.1239913</v>
      </c>
      <c r="K336" s="9">
        <v>0.12516963</v>
      </c>
      <c r="L336" s="9">
        <v>0.12003479</v>
      </c>
      <c r="M336" s="9">
        <v>0.13030446000000001</v>
      </c>
    </row>
    <row r="337" spans="2:13" ht="1" customHeight="1">
      <c r="B337" s="9" t="s">
        <v>56</v>
      </c>
      <c r="C337" s="9" t="str">
        <f t="shared" si="14"/>
        <v>Peru2009</v>
      </c>
      <c r="D337" s="9">
        <v>2009</v>
      </c>
      <c r="E337" s="9">
        <v>0.11581081</v>
      </c>
      <c r="F337" s="9">
        <v>0.1125814</v>
      </c>
      <c r="G337" s="9">
        <v>0.11904020999999999</v>
      </c>
      <c r="H337" s="9">
        <v>0.11044687</v>
      </c>
      <c r="I337" s="9">
        <v>0.10624784</v>
      </c>
      <c r="J337" s="9">
        <v>0.11464589</v>
      </c>
      <c r="K337" s="9">
        <v>0.12089751999999999</v>
      </c>
      <c r="L337" s="9">
        <v>0.11592087</v>
      </c>
      <c r="M337" s="9">
        <v>0.12587417000000001</v>
      </c>
    </row>
    <row r="338" spans="2:13" ht="1" customHeight="1">
      <c r="B338" s="9" t="s">
        <v>56</v>
      </c>
      <c r="C338" s="9" t="str">
        <f t="shared" si="14"/>
        <v>Peru2010</v>
      </c>
      <c r="D338" s="9">
        <v>2010</v>
      </c>
      <c r="E338" s="9">
        <v>0.10827152</v>
      </c>
      <c r="F338" s="9">
        <v>0.10490482</v>
      </c>
      <c r="G338" s="9">
        <v>0.11163821</v>
      </c>
      <c r="H338" s="9">
        <v>0.10343151</v>
      </c>
      <c r="I338" s="9">
        <v>9.9002779999999999E-2</v>
      </c>
      <c r="J338" s="9">
        <v>0.10786024</v>
      </c>
      <c r="K338" s="9">
        <v>0.11238405999999999</v>
      </c>
      <c r="L338" s="9">
        <v>0.10724923</v>
      </c>
      <c r="M338" s="9">
        <v>0.11751889</v>
      </c>
    </row>
    <row r="339" spans="2:13" ht="1" customHeight="1">
      <c r="B339" s="9" t="s">
        <v>56</v>
      </c>
      <c r="C339" s="9" t="str">
        <f t="shared" si="14"/>
        <v>Peru2011</v>
      </c>
      <c r="D339" s="9">
        <v>2011</v>
      </c>
      <c r="E339" s="9">
        <v>0.10577506</v>
      </c>
      <c r="F339" s="9">
        <v>0.10268605</v>
      </c>
      <c r="G339" s="9">
        <v>0.10886406999999999</v>
      </c>
      <c r="H339" s="9">
        <v>0.10166289000000001</v>
      </c>
      <c r="I339" s="9">
        <v>9.7698859999999998E-2</v>
      </c>
      <c r="J339" s="9">
        <v>0.10562691</v>
      </c>
      <c r="K339" s="9">
        <v>0.11001079</v>
      </c>
      <c r="L339" s="9">
        <v>0.10525698</v>
      </c>
      <c r="M339" s="9">
        <v>0.11476459999999999</v>
      </c>
    </row>
    <row r="340" spans="2:13" ht="1" customHeight="1">
      <c r="B340" s="9" t="s">
        <v>56</v>
      </c>
      <c r="C340" s="9" t="str">
        <f t="shared" ref="C340:C403" si="15">CONCATENATE(B340,D340)</f>
        <v>Peru2012</v>
      </c>
      <c r="D340" s="9">
        <v>2012</v>
      </c>
      <c r="E340" s="9">
        <v>0.10956281</v>
      </c>
      <c r="F340" s="9">
        <v>0.10659664000000001</v>
      </c>
      <c r="G340" s="9">
        <v>0.11252898</v>
      </c>
      <c r="H340" s="9">
        <v>0.10553835</v>
      </c>
      <c r="I340" s="9">
        <v>0.10158091</v>
      </c>
      <c r="J340" s="9">
        <v>0.10949579</v>
      </c>
      <c r="K340" s="9">
        <v>0.1132344</v>
      </c>
      <c r="L340" s="9">
        <v>0.10876321</v>
      </c>
      <c r="M340" s="9">
        <v>0.11770559</v>
      </c>
    </row>
    <row r="341" spans="2:13" ht="1" customHeight="1">
      <c r="B341" s="9" t="s">
        <v>56</v>
      </c>
      <c r="C341" s="9" t="str">
        <f t="shared" si="15"/>
        <v>Peru2013</v>
      </c>
      <c r="D341" s="9">
        <v>2013</v>
      </c>
      <c r="E341" s="9">
        <v>0.11443942</v>
      </c>
      <c r="F341" s="9">
        <v>0.11175348</v>
      </c>
      <c r="G341" s="9">
        <v>0.11712536</v>
      </c>
      <c r="H341" s="9">
        <v>0.10846042</v>
      </c>
      <c r="I341" s="9">
        <v>0.10501531</v>
      </c>
      <c r="J341" s="9">
        <v>0.11190553</v>
      </c>
      <c r="K341" s="9">
        <v>0.12054149</v>
      </c>
      <c r="L341" s="9">
        <v>0.11638198</v>
      </c>
      <c r="M341" s="9">
        <v>0.12470100000000001</v>
      </c>
    </row>
    <row r="342" spans="2:13" ht="1" customHeight="1">
      <c r="B342" s="9" t="s">
        <v>56</v>
      </c>
      <c r="C342" s="9" t="str">
        <f t="shared" si="15"/>
        <v>Peru2014</v>
      </c>
      <c r="D342" s="9">
        <v>2014</v>
      </c>
      <c r="E342" s="9">
        <v>0.11473224</v>
      </c>
      <c r="F342" s="9">
        <v>0.11211608000000001</v>
      </c>
      <c r="G342" s="9">
        <v>0.11734840000000001</v>
      </c>
      <c r="H342" s="9">
        <v>0.11223903</v>
      </c>
      <c r="I342" s="9">
        <v>0.108823</v>
      </c>
      <c r="J342" s="9">
        <v>0.11565505</v>
      </c>
      <c r="K342" s="9">
        <v>0.11688016</v>
      </c>
      <c r="L342" s="9">
        <v>0.11289565</v>
      </c>
      <c r="M342" s="9">
        <v>0.12086466</v>
      </c>
    </row>
    <row r="343" spans="2:13" ht="1" customHeight="1">
      <c r="B343" s="9" t="s">
        <v>55</v>
      </c>
      <c r="C343" s="9" t="str">
        <f t="shared" si="15"/>
        <v>Paraguay1995</v>
      </c>
      <c r="D343" s="9">
        <v>1995</v>
      </c>
      <c r="E343" s="9">
        <v>0.11819622</v>
      </c>
      <c r="F343" s="9">
        <v>0.11341297</v>
      </c>
      <c r="G343" s="9">
        <v>0.12297948</v>
      </c>
      <c r="H343" s="9">
        <v>0.11331971</v>
      </c>
      <c r="I343" s="9">
        <v>0.10762892</v>
      </c>
      <c r="J343" s="9">
        <v>0.11901050000000001</v>
      </c>
      <c r="K343" s="9">
        <v>0.12549764999999999</v>
      </c>
      <c r="L343" s="9">
        <v>0.11714488000000001</v>
      </c>
      <c r="M343" s="9">
        <v>0.13385042999999999</v>
      </c>
    </row>
    <row r="344" spans="2:13" ht="1" customHeight="1">
      <c r="B344" s="9" t="s">
        <v>55</v>
      </c>
      <c r="C344" s="9" t="str">
        <f t="shared" si="15"/>
        <v>Paraguay1996</v>
      </c>
      <c r="D344" s="9">
        <v>1996</v>
      </c>
      <c r="E344" s="9">
        <v>9.2360659999999997E-2</v>
      </c>
      <c r="F344" s="9">
        <v>8.6978990000000006E-2</v>
      </c>
      <c r="G344" s="9">
        <v>9.7742330000000002E-2</v>
      </c>
      <c r="H344" s="9">
        <v>7.9918359999999994E-2</v>
      </c>
      <c r="I344" s="9">
        <v>7.3143520000000004E-2</v>
      </c>
      <c r="J344" s="9">
        <v>8.6693199999999998E-2</v>
      </c>
      <c r="K344" s="9">
        <v>0.10769794000000001</v>
      </c>
      <c r="L344" s="9">
        <v>9.8998710000000004E-2</v>
      </c>
      <c r="M344" s="9">
        <v>0.11639716999999999</v>
      </c>
    </row>
    <row r="345" spans="2:13" ht="1" customHeight="1">
      <c r="B345" s="9" t="s">
        <v>55</v>
      </c>
      <c r="C345" s="9" t="str">
        <f t="shared" si="15"/>
        <v>Paraguay1997</v>
      </c>
      <c r="D345" s="9">
        <v>1997</v>
      </c>
      <c r="E345" s="9">
        <v>0.11966001</v>
      </c>
      <c r="F345" s="9">
        <v>0.11415119</v>
      </c>
      <c r="G345" s="9">
        <v>0.12516883000000001</v>
      </c>
      <c r="H345" s="9">
        <v>0.12159187</v>
      </c>
      <c r="I345" s="9">
        <v>0.1144931</v>
      </c>
      <c r="J345" s="9">
        <v>0.12869064</v>
      </c>
      <c r="K345" s="9">
        <v>0.1172347</v>
      </c>
      <c r="L345" s="9">
        <v>0.10849274</v>
      </c>
      <c r="M345" s="9">
        <v>0.12597665999999999</v>
      </c>
    </row>
    <row r="346" spans="2:13" ht="1" customHeight="1">
      <c r="B346" s="9" t="s">
        <v>55</v>
      </c>
      <c r="C346" s="9" t="str">
        <f t="shared" si="15"/>
        <v>Paraguay1998</v>
      </c>
      <c r="D346" s="9">
        <v>1998</v>
      </c>
      <c r="E346" s="9">
        <v>0.11966001</v>
      </c>
      <c r="F346" s="9">
        <v>0.11415119</v>
      </c>
      <c r="G346" s="9">
        <v>0.12516883000000001</v>
      </c>
      <c r="H346" s="9">
        <v>0.12159187</v>
      </c>
      <c r="I346" s="9">
        <v>0.1144931</v>
      </c>
      <c r="J346" s="9">
        <v>0.12869064</v>
      </c>
      <c r="K346" s="9">
        <v>0.1172347</v>
      </c>
      <c r="L346" s="9">
        <v>0.10849274</v>
      </c>
      <c r="M346" s="9">
        <v>0.12597665999999999</v>
      </c>
    </row>
    <row r="347" spans="2:13" ht="1" customHeight="1">
      <c r="B347" s="9" t="s">
        <v>55</v>
      </c>
      <c r="C347" s="9" t="str">
        <f t="shared" si="15"/>
        <v>Paraguay1999</v>
      </c>
      <c r="D347" s="9">
        <v>1999</v>
      </c>
      <c r="E347" s="9">
        <v>0.11030771</v>
      </c>
      <c r="F347" s="9">
        <v>0.10470479000000001</v>
      </c>
      <c r="G347" s="9">
        <v>0.11591064</v>
      </c>
      <c r="H347" s="9">
        <v>0.1109478</v>
      </c>
      <c r="I347" s="9">
        <v>0.10403086</v>
      </c>
      <c r="J347" s="9">
        <v>0.11786475</v>
      </c>
      <c r="K347" s="9">
        <v>0.10916877</v>
      </c>
      <c r="L347" s="9">
        <v>9.9975900000000006E-2</v>
      </c>
      <c r="M347" s="9">
        <v>0.11836164</v>
      </c>
    </row>
    <row r="348" spans="2:13" ht="1" customHeight="1">
      <c r="B348" s="9" t="s">
        <v>55</v>
      </c>
      <c r="C348" s="9" t="str">
        <f t="shared" si="15"/>
        <v>Paraguay2000</v>
      </c>
      <c r="D348" s="9">
        <v>2000</v>
      </c>
      <c r="E348" s="9">
        <v>0.1143482</v>
      </c>
      <c r="F348" s="9">
        <v>0.10845609</v>
      </c>
      <c r="G348" s="9">
        <v>0.12024032</v>
      </c>
      <c r="H348" s="9">
        <v>0.10742765</v>
      </c>
      <c r="I348" s="9">
        <v>9.9972749999999999E-2</v>
      </c>
      <c r="J348" s="9">
        <v>0.11488255</v>
      </c>
      <c r="K348" s="9">
        <v>0.12312323</v>
      </c>
      <c r="L348" s="9">
        <v>0.11392513999999999</v>
      </c>
      <c r="M348" s="9">
        <v>0.13232131</v>
      </c>
    </row>
    <row r="349" spans="2:13" ht="1" customHeight="1">
      <c r="B349" s="9" t="s">
        <v>55</v>
      </c>
      <c r="C349" s="9" t="str">
        <f t="shared" si="15"/>
        <v>Paraguay2001</v>
      </c>
      <c r="D349" s="9">
        <v>2001</v>
      </c>
      <c r="E349" s="9">
        <v>0.1143482</v>
      </c>
      <c r="F349" s="9">
        <v>0.10845609</v>
      </c>
      <c r="G349" s="9">
        <v>0.12024032</v>
      </c>
      <c r="H349" s="9">
        <v>0.10742765</v>
      </c>
      <c r="I349" s="9">
        <v>9.9972749999999999E-2</v>
      </c>
      <c r="J349" s="9">
        <v>0.11488255</v>
      </c>
      <c r="K349" s="9">
        <v>0.12312323</v>
      </c>
      <c r="L349" s="9">
        <v>0.11392513999999999</v>
      </c>
      <c r="M349" s="9">
        <v>0.13232131</v>
      </c>
    </row>
    <row r="350" spans="2:13" ht="1" customHeight="1">
      <c r="B350" s="9" t="s">
        <v>55</v>
      </c>
      <c r="C350" s="9" t="str">
        <f t="shared" si="15"/>
        <v>Paraguay2002</v>
      </c>
      <c r="D350" s="9">
        <v>2002</v>
      </c>
      <c r="E350" s="9">
        <v>0.11219535</v>
      </c>
      <c r="F350" s="9">
        <v>0.10627668</v>
      </c>
      <c r="G350" s="9">
        <v>0.11811402999999999</v>
      </c>
      <c r="H350" s="9">
        <v>0.1087354</v>
      </c>
      <c r="I350" s="9">
        <v>0.10124582</v>
      </c>
      <c r="J350" s="9">
        <v>0.11622498000000001</v>
      </c>
      <c r="K350" s="9">
        <v>0.11611334</v>
      </c>
      <c r="L350" s="9">
        <v>0.10657302</v>
      </c>
      <c r="M350" s="9">
        <v>0.12565365000000001</v>
      </c>
    </row>
    <row r="351" spans="2:13" ht="1" customHeight="1">
      <c r="B351" s="9" t="s">
        <v>55</v>
      </c>
      <c r="C351" s="9" t="str">
        <f t="shared" si="15"/>
        <v>Paraguay2003</v>
      </c>
      <c r="D351" s="9">
        <v>2003</v>
      </c>
      <c r="E351" s="9">
        <v>0.10546997</v>
      </c>
      <c r="F351" s="9">
        <v>0.10162997999999999</v>
      </c>
      <c r="G351" s="9">
        <v>0.10930996</v>
      </c>
      <c r="H351" s="9">
        <v>9.917136E-2</v>
      </c>
      <c r="I351" s="9">
        <v>9.4319550000000002E-2</v>
      </c>
      <c r="J351" s="9">
        <v>0.10402317</v>
      </c>
      <c r="K351" s="9">
        <v>0.11375366000000001</v>
      </c>
      <c r="L351" s="9">
        <v>0.10761564</v>
      </c>
      <c r="M351" s="9">
        <v>0.11989169</v>
      </c>
    </row>
    <row r="352" spans="2:13" ht="1" customHeight="1">
      <c r="B352" s="9" t="s">
        <v>55</v>
      </c>
      <c r="C352" s="9" t="str">
        <f t="shared" si="15"/>
        <v>Paraguay2004</v>
      </c>
      <c r="D352" s="9">
        <v>2004</v>
      </c>
      <c r="E352" s="9">
        <v>9.49015E-2</v>
      </c>
      <c r="F352" s="9">
        <v>9.0576190000000001E-2</v>
      </c>
      <c r="G352" s="9">
        <v>9.9226819999999993E-2</v>
      </c>
      <c r="H352" s="9">
        <v>9.0088409999999994E-2</v>
      </c>
      <c r="I352" s="9">
        <v>8.4454029999999999E-2</v>
      </c>
      <c r="J352" s="9">
        <v>9.5722790000000002E-2</v>
      </c>
      <c r="K352" s="9">
        <v>0.10026164999999999</v>
      </c>
      <c r="L352" s="9">
        <v>9.3535199999999999E-2</v>
      </c>
      <c r="M352" s="9">
        <v>0.10698808999999999</v>
      </c>
    </row>
    <row r="353" spans="2:13" ht="1" customHeight="1">
      <c r="B353" s="9" t="s">
        <v>55</v>
      </c>
      <c r="C353" s="9" t="str">
        <f t="shared" si="15"/>
        <v>Paraguay2005</v>
      </c>
      <c r="D353" s="9">
        <v>2005</v>
      </c>
      <c r="E353" s="9">
        <v>9.6847030000000001E-2</v>
      </c>
      <c r="F353" s="9">
        <v>9.1611129999999999E-2</v>
      </c>
      <c r="G353" s="9">
        <v>0.10208293</v>
      </c>
      <c r="H353" s="9">
        <v>9.6926479999999995E-2</v>
      </c>
      <c r="I353" s="9">
        <v>9.0246259999999995E-2</v>
      </c>
      <c r="J353" s="9">
        <v>0.1036067</v>
      </c>
      <c r="K353" s="9">
        <v>9.5414399999999996E-2</v>
      </c>
      <c r="L353" s="9">
        <v>8.7087570000000003E-2</v>
      </c>
      <c r="M353" s="9">
        <v>0.10374122</v>
      </c>
    </row>
    <row r="354" spans="2:13" ht="1" customHeight="1">
      <c r="B354" s="9" t="s">
        <v>55</v>
      </c>
      <c r="C354" s="9" t="str">
        <f t="shared" si="15"/>
        <v>Paraguay2006</v>
      </c>
      <c r="D354" s="9">
        <v>2006</v>
      </c>
      <c r="E354" s="9">
        <v>0.10056793999999999</v>
      </c>
      <c r="F354" s="9">
        <v>9.5688679999999998E-2</v>
      </c>
      <c r="G354" s="9">
        <v>0.10544719</v>
      </c>
      <c r="H354" s="9">
        <v>9.3811229999999995E-2</v>
      </c>
      <c r="I354" s="9">
        <v>8.7620770000000001E-2</v>
      </c>
      <c r="J354" s="9">
        <v>0.10000168</v>
      </c>
      <c r="K354" s="9">
        <v>0.10864839</v>
      </c>
      <c r="L354" s="9">
        <v>0.10078632</v>
      </c>
      <c r="M354" s="9">
        <v>0.11651046</v>
      </c>
    </row>
    <row r="355" spans="2:13" ht="1" customHeight="1">
      <c r="B355" s="9" t="s">
        <v>55</v>
      </c>
      <c r="C355" s="9" t="str">
        <f t="shared" si="15"/>
        <v>Paraguay2007</v>
      </c>
      <c r="D355" s="9">
        <v>2007</v>
      </c>
      <c r="E355" s="9">
        <v>9.6624749999999995E-2</v>
      </c>
      <c r="F355" s="9">
        <v>9.1983590000000004E-2</v>
      </c>
      <c r="G355" s="9">
        <v>0.10126591</v>
      </c>
      <c r="H355" s="9">
        <v>8.6926020000000007E-2</v>
      </c>
      <c r="I355" s="9">
        <v>8.0879210000000007E-2</v>
      </c>
      <c r="J355" s="9">
        <v>9.2972840000000001E-2</v>
      </c>
      <c r="K355" s="9">
        <v>0.107381</v>
      </c>
      <c r="L355" s="9">
        <v>0.10018447</v>
      </c>
      <c r="M355" s="9">
        <v>0.11457753</v>
      </c>
    </row>
    <row r="356" spans="2:13" ht="1" customHeight="1">
      <c r="B356" s="9" t="s">
        <v>55</v>
      </c>
      <c r="C356" s="9" t="str">
        <f t="shared" si="15"/>
        <v>Paraguay2008</v>
      </c>
      <c r="D356" s="9">
        <v>2008</v>
      </c>
      <c r="E356" s="9">
        <v>9.265466E-2</v>
      </c>
      <c r="F356" s="9">
        <v>8.7524909999999997E-2</v>
      </c>
      <c r="G356" s="9">
        <v>9.7784410000000002E-2</v>
      </c>
      <c r="H356" s="9">
        <v>8.4413260000000004E-2</v>
      </c>
      <c r="I356" s="9">
        <v>7.7666170000000007E-2</v>
      </c>
      <c r="J356" s="9">
        <v>9.1160340000000006E-2</v>
      </c>
      <c r="K356" s="9">
        <v>0.10376475</v>
      </c>
      <c r="L356" s="9">
        <v>9.5974240000000002E-2</v>
      </c>
      <c r="M356" s="9">
        <v>0.11155526</v>
      </c>
    </row>
    <row r="357" spans="2:13" ht="1" customHeight="1">
      <c r="B357" s="9" t="s">
        <v>55</v>
      </c>
      <c r="C357" s="9" t="str">
        <f t="shared" si="15"/>
        <v>Paraguay2009</v>
      </c>
      <c r="D357" s="9">
        <v>2009</v>
      </c>
      <c r="E357" s="9">
        <v>0.10530396</v>
      </c>
      <c r="F357" s="9">
        <v>9.9107749999999994E-2</v>
      </c>
      <c r="G357" s="9">
        <v>0.11150018</v>
      </c>
      <c r="H357" s="9">
        <v>9.4138369999999999E-2</v>
      </c>
      <c r="I357" s="9">
        <v>8.6324170000000006E-2</v>
      </c>
      <c r="J357" s="9">
        <v>0.10195256</v>
      </c>
      <c r="K357" s="9">
        <v>0.12125316999999999</v>
      </c>
      <c r="L357" s="9">
        <v>0.11127257</v>
      </c>
      <c r="M357" s="9">
        <v>0.13123377</v>
      </c>
    </row>
    <row r="358" spans="2:13" ht="1" customHeight="1">
      <c r="B358" s="9" t="s">
        <v>55</v>
      </c>
      <c r="C358" s="9" t="str">
        <f t="shared" si="15"/>
        <v>Paraguay2010</v>
      </c>
      <c r="D358" s="9">
        <v>2010</v>
      </c>
      <c r="E358" s="9">
        <v>9.5197279999999995E-2</v>
      </c>
      <c r="F358" s="9">
        <v>9.0165830000000002E-2</v>
      </c>
      <c r="G358" s="9">
        <v>0.10022871999999999</v>
      </c>
      <c r="H358" s="9">
        <v>8.5609190000000002E-2</v>
      </c>
      <c r="I358" s="9">
        <v>7.9261479999999995E-2</v>
      </c>
      <c r="J358" s="9">
        <v>9.1956910000000003E-2</v>
      </c>
      <c r="K358" s="9">
        <v>0.10798793</v>
      </c>
      <c r="L358" s="9">
        <v>9.9904950000000006E-2</v>
      </c>
      <c r="M358" s="9">
        <v>0.11607091999999999</v>
      </c>
    </row>
    <row r="359" spans="2:13" ht="1" customHeight="1">
      <c r="B359" s="9" t="s">
        <v>55</v>
      </c>
      <c r="C359" s="9" t="str">
        <f t="shared" si="15"/>
        <v>Paraguay2011</v>
      </c>
      <c r="D359" s="9">
        <v>2011</v>
      </c>
      <c r="E359" s="9">
        <v>9.9636119999999995E-2</v>
      </c>
      <c r="F359" s="9">
        <v>9.4509430000000005E-2</v>
      </c>
      <c r="G359" s="9">
        <v>0.10476282000000001</v>
      </c>
      <c r="H359" s="9">
        <v>9.0355389999999994E-2</v>
      </c>
      <c r="I359" s="9">
        <v>8.3896319999999996E-2</v>
      </c>
      <c r="J359" s="9">
        <v>9.6814460000000005E-2</v>
      </c>
      <c r="K359" s="9">
        <v>0.1110845</v>
      </c>
      <c r="L359" s="9">
        <v>0.10285867999999999</v>
      </c>
      <c r="M359" s="9">
        <v>0.11931033000000001</v>
      </c>
    </row>
    <row r="360" spans="2:13" ht="1" customHeight="1">
      <c r="B360" s="9" t="s">
        <v>55</v>
      </c>
      <c r="C360" s="9" t="str">
        <f t="shared" si="15"/>
        <v>Paraguay2012</v>
      </c>
      <c r="D360" s="9">
        <v>2012</v>
      </c>
      <c r="E360" s="9">
        <v>0.10853809</v>
      </c>
      <c r="F360" s="9">
        <v>0.10312668999999999</v>
      </c>
      <c r="G360" s="9">
        <v>0.11394948000000001</v>
      </c>
      <c r="H360" s="9">
        <v>9.7209069999999995E-2</v>
      </c>
      <c r="I360" s="9">
        <v>9.0434180000000003E-2</v>
      </c>
      <c r="J360" s="9">
        <v>0.10398396</v>
      </c>
      <c r="K360" s="9">
        <v>0.12255064</v>
      </c>
      <c r="L360" s="9">
        <v>0.11379306</v>
      </c>
      <c r="M360" s="9">
        <v>0.13130823</v>
      </c>
    </row>
    <row r="361" spans="2:13" ht="1" customHeight="1">
      <c r="B361" s="9" t="s">
        <v>55</v>
      </c>
      <c r="C361" s="9" t="str">
        <f t="shared" si="15"/>
        <v>Paraguay2013</v>
      </c>
      <c r="D361" s="9">
        <v>2013</v>
      </c>
      <c r="E361" s="9">
        <v>9.5285610000000007E-2</v>
      </c>
      <c r="F361" s="9">
        <v>9.0370030000000004E-2</v>
      </c>
      <c r="G361" s="9">
        <v>0.10020118</v>
      </c>
      <c r="H361" s="9">
        <v>8.5182170000000001E-2</v>
      </c>
      <c r="I361" s="9">
        <v>7.8749879999999994E-2</v>
      </c>
      <c r="J361" s="9">
        <v>9.1614470000000003E-2</v>
      </c>
      <c r="K361" s="9">
        <v>0.10700742000000001</v>
      </c>
      <c r="L361" s="9">
        <v>9.9551269999999997E-2</v>
      </c>
      <c r="M361" s="9">
        <v>0.11446357</v>
      </c>
    </row>
    <row r="362" spans="2:13" ht="1" customHeight="1">
      <c r="B362" s="9" t="s">
        <v>55</v>
      </c>
      <c r="C362" s="9" t="str">
        <f t="shared" si="15"/>
        <v>Paraguay2014</v>
      </c>
      <c r="D362" s="9">
        <v>2014</v>
      </c>
      <c r="E362" s="9">
        <v>8.8392860000000004E-2</v>
      </c>
      <c r="F362" s="9">
        <v>8.3234370000000002E-2</v>
      </c>
      <c r="G362" s="9">
        <v>9.3551339999999997E-2</v>
      </c>
      <c r="H362" s="9">
        <v>7.8791769999999997E-2</v>
      </c>
      <c r="I362" s="9">
        <v>7.2063580000000002E-2</v>
      </c>
      <c r="J362" s="9">
        <v>8.5519960000000006E-2</v>
      </c>
      <c r="K362" s="9">
        <v>0.10127008999999999</v>
      </c>
      <c r="L362" s="9">
        <v>9.3156199999999995E-2</v>
      </c>
      <c r="M362" s="9">
        <v>0.10938397</v>
      </c>
    </row>
    <row r="363" spans="2:13" ht="1" customHeight="1">
      <c r="B363" s="9" t="s">
        <v>46</v>
      </c>
      <c r="C363" s="9" t="str">
        <f t="shared" si="15"/>
        <v>El Salvador1995</v>
      </c>
      <c r="D363" s="9">
        <v>1995</v>
      </c>
      <c r="E363" s="9">
        <v>8.2238560000000002E-2</v>
      </c>
      <c r="F363" s="9">
        <v>7.9903349999999998E-2</v>
      </c>
      <c r="G363" s="9">
        <v>8.4573770000000006E-2</v>
      </c>
      <c r="H363" s="9">
        <v>7.5719250000000002E-2</v>
      </c>
      <c r="I363" s="9">
        <v>7.2771160000000001E-2</v>
      </c>
      <c r="J363" s="9">
        <v>7.8667329999999994E-2</v>
      </c>
      <c r="K363" s="9">
        <v>9.0486990000000003E-2</v>
      </c>
      <c r="L363" s="9">
        <v>8.6739590000000005E-2</v>
      </c>
      <c r="M363" s="9">
        <v>9.4234390000000001E-2</v>
      </c>
    </row>
    <row r="364" spans="2:13" ht="1" customHeight="1">
      <c r="B364" s="9" t="s">
        <v>46</v>
      </c>
      <c r="C364" s="9" t="str">
        <f t="shared" si="15"/>
        <v>El Salvador1996</v>
      </c>
      <c r="D364" s="9">
        <v>1996</v>
      </c>
      <c r="E364" s="9">
        <v>8.0497280000000004E-2</v>
      </c>
      <c r="F364" s="9">
        <v>7.8003390000000006E-2</v>
      </c>
      <c r="G364" s="9">
        <v>8.2991179999999998E-2</v>
      </c>
      <c r="H364" s="9">
        <v>7.9171249999999999E-2</v>
      </c>
      <c r="I364" s="9">
        <v>7.6031409999999994E-2</v>
      </c>
      <c r="J364" s="9">
        <v>8.2311090000000003E-2</v>
      </c>
      <c r="K364" s="9">
        <v>8.278721E-2</v>
      </c>
      <c r="L364" s="9">
        <v>7.8751070000000006E-2</v>
      </c>
      <c r="M364" s="9">
        <v>8.6823349999999994E-2</v>
      </c>
    </row>
    <row r="365" spans="2:13" ht="1" customHeight="1">
      <c r="B365" s="9" t="s">
        <v>46</v>
      </c>
      <c r="C365" s="9" t="str">
        <f t="shared" si="15"/>
        <v>El Salvador1997</v>
      </c>
      <c r="D365" s="9">
        <v>1997</v>
      </c>
      <c r="E365" s="9">
        <v>8.2719150000000005E-2</v>
      </c>
      <c r="F365" s="9">
        <v>8.0346959999999995E-2</v>
      </c>
      <c r="G365" s="9">
        <v>8.5091349999999996E-2</v>
      </c>
      <c r="H365" s="9">
        <v>8.2039150000000005E-2</v>
      </c>
      <c r="I365" s="9">
        <v>7.9058219999999998E-2</v>
      </c>
      <c r="J365" s="9">
        <v>8.5020079999999998E-2</v>
      </c>
      <c r="K365" s="9">
        <v>8.383198E-2</v>
      </c>
      <c r="L365" s="9">
        <v>7.9978740000000006E-2</v>
      </c>
      <c r="M365" s="9">
        <v>8.7685219999999994E-2</v>
      </c>
    </row>
    <row r="366" spans="2:13" ht="1" customHeight="1">
      <c r="B366" s="9" t="s">
        <v>46</v>
      </c>
      <c r="C366" s="9" t="str">
        <f t="shared" si="15"/>
        <v>El Salvador1998</v>
      </c>
      <c r="D366" s="9">
        <v>1998</v>
      </c>
      <c r="E366" s="9">
        <v>8.4952570000000005E-2</v>
      </c>
      <c r="F366" s="9">
        <v>8.1895590000000004E-2</v>
      </c>
      <c r="G366" s="9">
        <v>8.8009560000000001E-2</v>
      </c>
      <c r="H366" s="9">
        <v>8.2911380000000007E-2</v>
      </c>
      <c r="I366" s="9">
        <v>7.899805E-2</v>
      </c>
      <c r="J366" s="9">
        <v>8.6824709999999999E-2</v>
      </c>
      <c r="K366" s="9">
        <v>8.7271790000000002E-2</v>
      </c>
      <c r="L366" s="9">
        <v>8.2513600000000006E-2</v>
      </c>
      <c r="M366" s="9">
        <v>9.2029970000000003E-2</v>
      </c>
    </row>
    <row r="367" spans="2:13" ht="1" customHeight="1">
      <c r="B367" s="9" t="s">
        <v>46</v>
      </c>
      <c r="C367" s="9" t="str">
        <f t="shared" si="15"/>
        <v>El Salvador1999</v>
      </c>
      <c r="D367" s="9">
        <v>1999</v>
      </c>
      <c r="E367" s="9">
        <v>8.8476949999999999E-2</v>
      </c>
      <c r="F367" s="9">
        <v>8.5900069999999995E-2</v>
      </c>
      <c r="G367" s="9">
        <v>9.1053839999999997E-2</v>
      </c>
      <c r="H367" s="9">
        <v>8.4383979999999997E-2</v>
      </c>
      <c r="I367" s="9">
        <v>8.1022289999999997E-2</v>
      </c>
      <c r="J367" s="9">
        <v>8.7745669999999998E-2</v>
      </c>
      <c r="K367" s="9">
        <v>9.334932E-2</v>
      </c>
      <c r="L367" s="9">
        <v>8.9378009999999994E-2</v>
      </c>
      <c r="M367" s="9">
        <v>9.732064E-2</v>
      </c>
    </row>
    <row r="368" spans="2:13" ht="1" customHeight="1">
      <c r="B368" s="9" t="s">
        <v>46</v>
      </c>
      <c r="C368" s="9" t="str">
        <f t="shared" si="15"/>
        <v>El Salvador2000</v>
      </c>
      <c r="D368" s="9">
        <v>2000</v>
      </c>
      <c r="E368" s="9">
        <v>8.4492960000000006E-2</v>
      </c>
      <c r="F368" s="9">
        <v>8.19526E-2</v>
      </c>
      <c r="G368" s="9">
        <v>8.7033319999999997E-2</v>
      </c>
      <c r="H368" s="9">
        <v>8.0338649999999998E-2</v>
      </c>
      <c r="I368" s="9">
        <v>7.7088149999999994E-2</v>
      </c>
      <c r="J368" s="9">
        <v>8.3589150000000001E-2</v>
      </c>
      <c r="K368" s="9">
        <v>8.9141490000000004E-2</v>
      </c>
      <c r="L368" s="9">
        <v>8.5166290000000006E-2</v>
      </c>
      <c r="M368" s="9">
        <v>9.3116690000000002E-2</v>
      </c>
    </row>
    <row r="369" spans="2:13" ht="1" customHeight="1">
      <c r="B369" s="9" t="s">
        <v>46</v>
      </c>
      <c r="C369" s="9" t="str">
        <f t="shared" si="15"/>
        <v>El Salvador2001</v>
      </c>
      <c r="D369" s="9">
        <v>2001</v>
      </c>
      <c r="E369" s="9">
        <v>8.7094370000000004E-2</v>
      </c>
      <c r="F369" s="9">
        <v>8.4189959999999994E-2</v>
      </c>
      <c r="G369" s="9">
        <v>8.9998770000000006E-2</v>
      </c>
      <c r="H369" s="9">
        <v>8.5339150000000003E-2</v>
      </c>
      <c r="I369" s="9">
        <v>8.168164E-2</v>
      </c>
      <c r="J369" s="9">
        <v>8.8996649999999997E-2</v>
      </c>
      <c r="K369" s="9">
        <v>8.8948260000000001E-2</v>
      </c>
      <c r="L369" s="9">
        <v>8.4287790000000001E-2</v>
      </c>
      <c r="M369" s="9">
        <v>9.3608730000000001E-2</v>
      </c>
    </row>
    <row r="370" spans="2:13" ht="1" customHeight="1">
      <c r="B370" s="9" t="s">
        <v>46</v>
      </c>
      <c r="C370" s="9" t="str">
        <f t="shared" si="15"/>
        <v>El Salvador2002</v>
      </c>
      <c r="D370" s="9">
        <v>2002</v>
      </c>
      <c r="E370" s="9">
        <v>8.1682110000000002E-2</v>
      </c>
      <c r="F370" s="9">
        <v>7.9097479999999998E-2</v>
      </c>
      <c r="G370" s="9">
        <v>8.4266729999999998E-2</v>
      </c>
      <c r="H370" s="9">
        <v>8.196465E-2</v>
      </c>
      <c r="I370" s="9">
        <v>7.8583920000000002E-2</v>
      </c>
      <c r="J370" s="9">
        <v>8.5345389999999993E-2</v>
      </c>
      <c r="K370" s="9">
        <v>8.1642960000000001E-2</v>
      </c>
      <c r="L370" s="9">
        <v>7.7655600000000005E-2</v>
      </c>
      <c r="M370" s="9">
        <v>8.5630319999999996E-2</v>
      </c>
    </row>
    <row r="371" spans="2:13" ht="1" customHeight="1">
      <c r="B371" s="9" t="s">
        <v>46</v>
      </c>
      <c r="C371" s="9" t="str">
        <f t="shared" si="15"/>
        <v>El Salvador2003</v>
      </c>
      <c r="D371" s="9">
        <v>2003</v>
      </c>
      <c r="E371" s="9">
        <v>7.5470739999999994E-2</v>
      </c>
      <c r="F371" s="9">
        <v>7.2928850000000003E-2</v>
      </c>
      <c r="G371" s="9">
        <v>7.8012620000000005E-2</v>
      </c>
      <c r="H371" s="9">
        <v>7.3600209999999999E-2</v>
      </c>
      <c r="I371" s="9">
        <v>7.0372080000000004E-2</v>
      </c>
      <c r="J371" s="9">
        <v>7.6828339999999995E-2</v>
      </c>
      <c r="K371" s="9">
        <v>7.7659270000000002E-2</v>
      </c>
      <c r="L371" s="9">
        <v>7.364967E-2</v>
      </c>
      <c r="M371" s="9">
        <v>8.1668859999999996E-2</v>
      </c>
    </row>
    <row r="372" spans="2:13" ht="1" customHeight="1">
      <c r="B372" s="9" t="s">
        <v>46</v>
      </c>
      <c r="C372" s="9" t="str">
        <f t="shared" si="15"/>
        <v>El Salvador2004</v>
      </c>
      <c r="D372" s="9">
        <v>2004</v>
      </c>
      <c r="E372" s="9">
        <v>7.0096640000000002E-2</v>
      </c>
      <c r="F372" s="9">
        <v>6.7254640000000004E-2</v>
      </c>
      <c r="G372" s="9">
        <v>7.2938630000000004E-2</v>
      </c>
      <c r="H372" s="9">
        <v>6.8329459999999995E-2</v>
      </c>
      <c r="I372" s="9">
        <v>6.453383E-2</v>
      </c>
      <c r="J372" s="9">
        <v>7.2125099999999998E-2</v>
      </c>
      <c r="K372" s="9">
        <v>7.3095309999999997E-2</v>
      </c>
      <c r="L372" s="9">
        <v>6.8799200000000005E-2</v>
      </c>
      <c r="M372" s="9">
        <v>7.7391420000000002E-2</v>
      </c>
    </row>
    <row r="373" spans="2:13" ht="1" customHeight="1">
      <c r="B373" s="9" t="s">
        <v>46</v>
      </c>
      <c r="C373" s="9" t="str">
        <f t="shared" si="15"/>
        <v>El Salvador2005</v>
      </c>
      <c r="D373" s="9">
        <v>2005</v>
      </c>
      <c r="E373" s="9">
        <v>8.3274299999999996E-2</v>
      </c>
      <c r="F373" s="9">
        <v>8.030342E-2</v>
      </c>
      <c r="G373" s="9">
        <v>8.6245169999999996E-2</v>
      </c>
      <c r="H373" s="9">
        <v>7.6220469999999999E-2</v>
      </c>
      <c r="I373" s="9">
        <v>7.235519E-2</v>
      </c>
      <c r="J373" s="9">
        <v>8.0085760000000006E-2</v>
      </c>
      <c r="K373" s="9">
        <v>9.081475E-2</v>
      </c>
      <c r="L373" s="9">
        <v>8.6316840000000006E-2</v>
      </c>
      <c r="M373" s="9">
        <v>9.5312649999999999E-2</v>
      </c>
    </row>
    <row r="374" spans="2:13" ht="1" customHeight="1">
      <c r="B374" s="9" t="s">
        <v>46</v>
      </c>
      <c r="C374" s="9" t="str">
        <f t="shared" si="15"/>
        <v>El Salvador2006</v>
      </c>
      <c r="D374" s="9">
        <v>2006</v>
      </c>
      <c r="E374" s="9">
        <v>7.2312290000000001E-2</v>
      </c>
      <c r="F374" s="9">
        <v>6.9461519999999999E-2</v>
      </c>
      <c r="G374" s="9">
        <v>7.5163069999999998E-2</v>
      </c>
      <c r="H374" s="9">
        <v>6.4400499999999999E-2</v>
      </c>
      <c r="I374" s="9">
        <v>6.0698090000000003E-2</v>
      </c>
      <c r="J374" s="9">
        <v>6.8102919999999997E-2</v>
      </c>
      <c r="K374" s="9">
        <v>8.050409E-2</v>
      </c>
      <c r="L374" s="9">
        <v>7.6170779999999993E-2</v>
      </c>
      <c r="M374" s="9">
        <v>8.4837399999999993E-2</v>
      </c>
    </row>
    <row r="375" spans="2:13" ht="1" customHeight="1">
      <c r="B375" s="9" t="s">
        <v>46</v>
      </c>
      <c r="C375" s="9" t="str">
        <f t="shared" si="15"/>
        <v>El Salvador2007</v>
      </c>
      <c r="D375" s="9">
        <v>2007</v>
      </c>
      <c r="E375" s="9">
        <v>7.6579939999999999E-2</v>
      </c>
      <c r="F375" s="9">
        <v>7.4106610000000003E-2</v>
      </c>
      <c r="G375" s="9">
        <v>7.9053269999999995E-2</v>
      </c>
      <c r="H375" s="9">
        <v>6.9504099999999999E-2</v>
      </c>
      <c r="I375" s="9">
        <v>6.6332820000000001E-2</v>
      </c>
      <c r="J375" s="9">
        <v>7.2675379999999998E-2</v>
      </c>
      <c r="K375" s="9">
        <v>8.5017560000000006E-2</v>
      </c>
      <c r="L375" s="9">
        <v>8.1129999999999994E-2</v>
      </c>
      <c r="M375" s="9">
        <v>8.8905129999999999E-2</v>
      </c>
    </row>
    <row r="376" spans="2:13" ht="1" customHeight="1">
      <c r="B376" s="9" t="s">
        <v>46</v>
      </c>
      <c r="C376" s="9" t="str">
        <f t="shared" si="15"/>
        <v>El Salvador2008</v>
      </c>
      <c r="D376" s="9">
        <v>2008</v>
      </c>
      <c r="E376" s="9">
        <v>7.8136650000000002E-2</v>
      </c>
      <c r="F376" s="9">
        <v>7.5635610000000006E-2</v>
      </c>
      <c r="G376" s="9">
        <v>8.0637680000000003E-2</v>
      </c>
      <c r="H376" s="9">
        <v>7.1476380000000006E-2</v>
      </c>
      <c r="I376" s="9">
        <v>6.8413420000000003E-2</v>
      </c>
      <c r="J376" s="9">
        <v>7.4539339999999996E-2</v>
      </c>
      <c r="K376" s="9">
        <v>8.5570019999999997E-2</v>
      </c>
      <c r="L376" s="9">
        <v>8.1502480000000002E-2</v>
      </c>
      <c r="M376" s="9">
        <v>8.9637560000000005E-2</v>
      </c>
    </row>
    <row r="377" spans="2:13" ht="1" customHeight="1">
      <c r="B377" s="9" t="s">
        <v>46</v>
      </c>
      <c r="C377" s="9" t="str">
        <f t="shared" si="15"/>
        <v>El Salvador2009</v>
      </c>
      <c r="D377" s="9">
        <v>2009</v>
      </c>
      <c r="E377" s="9">
        <v>7.700601E-2</v>
      </c>
      <c r="F377" s="9">
        <v>7.4559810000000004E-2</v>
      </c>
      <c r="G377" s="9">
        <v>7.9452200000000001E-2</v>
      </c>
      <c r="H377" s="9">
        <v>6.8449040000000003E-2</v>
      </c>
      <c r="I377" s="9">
        <v>6.5486089999999997E-2</v>
      </c>
      <c r="J377" s="9">
        <v>7.141198E-2</v>
      </c>
      <c r="K377" s="9">
        <v>8.6466349999999997E-2</v>
      </c>
      <c r="L377" s="9">
        <v>8.2524180000000003E-2</v>
      </c>
      <c r="M377" s="9">
        <v>9.0408530000000001E-2</v>
      </c>
    </row>
    <row r="378" spans="2:13" ht="1" customHeight="1">
      <c r="B378" s="9" t="s">
        <v>46</v>
      </c>
      <c r="C378" s="9" t="str">
        <f t="shared" si="15"/>
        <v>El Salvador2010</v>
      </c>
      <c r="D378" s="9">
        <v>2010</v>
      </c>
      <c r="E378" s="9">
        <v>7.5358499999999995E-2</v>
      </c>
      <c r="F378" s="9">
        <v>7.295691E-2</v>
      </c>
      <c r="G378" s="9">
        <v>7.7760090000000004E-2</v>
      </c>
      <c r="H378" s="9">
        <v>6.7456870000000002E-2</v>
      </c>
      <c r="I378" s="9">
        <v>6.451672E-2</v>
      </c>
      <c r="J378" s="9">
        <v>7.0397029999999999E-2</v>
      </c>
      <c r="K378" s="9">
        <v>8.4175390000000003E-2</v>
      </c>
      <c r="L378" s="9">
        <v>8.0332189999999998E-2</v>
      </c>
      <c r="M378" s="9">
        <v>8.8018579999999999E-2</v>
      </c>
    </row>
    <row r="379" spans="2:13" ht="1" customHeight="1">
      <c r="B379" s="9" t="s">
        <v>46</v>
      </c>
      <c r="C379" s="9" t="str">
        <f t="shared" si="15"/>
        <v>El Salvador2011</v>
      </c>
      <c r="D379" s="9">
        <v>2011</v>
      </c>
      <c r="E379" s="9">
        <v>7.1838799999999994E-2</v>
      </c>
      <c r="F379" s="9">
        <v>6.9598980000000005E-2</v>
      </c>
      <c r="G379" s="9">
        <v>7.4078619999999998E-2</v>
      </c>
      <c r="H379" s="9">
        <v>6.2469419999999998E-2</v>
      </c>
      <c r="I379" s="9">
        <v>5.9673700000000003E-2</v>
      </c>
      <c r="J379" s="9">
        <v>6.5265139999999999E-2</v>
      </c>
      <c r="K379" s="9">
        <v>8.239639E-2</v>
      </c>
      <c r="L379" s="9">
        <v>7.8830209999999998E-2</v>
      </c>
      <c r="M379" s="9">
        <v>8.5962559999999993E-2</v>
      </c>
    </row>
    <row r="380" spans="2:13" ht="1" customHeight="1">
      <c r="B380" s="9" t="s">
        <v>46</v>
      </c>
      <c r="C380" s="9" t="str">
        <f t="shared" si="15"/>
        <v>El Salvador2012</v>
      </c>
      <c r="D380" s="9">
        <v>2012</v>
      </c>
      <c r="E380" s="9">
        <v>7.0320279999999999E-2</v>
      </c>
      <c r="F380" s="9">
        <v>6.7961209999999994E-2</v>
      </c>
      <c r="G380" s="9">
        <v>7.2679350000000004E-2</v>
      </c>
      <c r="H380" s="9">
        <v>6.2323900000000002E-2</v>
      </c>
      <c r="I380" s="9">
        <v>5.9500839999999999E-2</v>
      </c>
      <c r="J380" s="9">
        <v>6.5146960000000004E-2</v>
      </c>
      <c r="K380" s="9">
        <v>7.8948699999999997E-2</v>
      </c>
      <c r="L380" s="9">
        <v>7.5118149999999995E-2</v>
      </c>
      <c r="M380" s="9">
        <v>8.2779240000000004E-2</v>
      </c>
    </row>
    <row r="381" spans="2:13" ht="1" customHeight="1">
      <c r="B381" s="9" t="s">
        <v>46</v>
      </c>
      <c r="C381" s="9" t="str">
        <f t="shared" si="15"/>
        <v>El Salvador2013</v>
      </c>
      <c r="D381" s="9">
        <v>2013</v>
      </c>
      <c r="E381" s="9">
        <v>6.8406449999999994E-2</v>
      </c>
      <c r="F381" s="9">
        <v>6.6027779999999994E-2</v>
      </c>
      <c r="G381" s="9">
        <v>7.0785120000000007E-2</v>
      </c>
      <c r="H381" s="9">
        <v>6.0771180000000001E-2</v>
      </c>
      <c r="I381" s="9">
        <v>5.7733479999999997E-2</v>
      </c>
      <c r="J381" s="9">
        <v>6.3808889999999993E-2</v>
      </c>
      <c r="K381" s="9">
        <v>7.6768199999999995E-2</v>
      </c>
      <c r="L381" s="9">
        <v>7.3047109999999998E-2</v>
      </c>
      <c r="M381" s="9">
        <v>8.0489290000000005E-2</v>
      </c>
    </row>
    <row r="382" spans="2:13" ht="1" customHeight="1">
      <c r="B382" s="9" t="s">
        <v>46</v>
      </c>
      <c r="C382" s="9" t="str">
        <f t="shared" si="15"/>
        <v>El Salvador2014</v>
      </c>
      <c r="D382" s="9">
        <v>2014</v>
      </c>
      <c r="E382" s="9">
        <v>6.8406449999999994E-2</v>
      </c>
      <c r="F382" s="9">
        <v>6.6027779999999994E-2</v>
      </c>
      <c r="G382" s="9">
        <v>7.0785120000000007E-2</v>
      </c>
      <c r="H382" s="9">
        <v>6.0771180000000001E-2</v>
      </c>
      <c r="I382" s="9">
        <v>5.7733479999999997E-2</v>
      </c>
      <c r="J382" s="9">
        <v>6.3808889999999993E-2</v>
      </c>
      <c r="K382" s="9">
        <v>7.6768199999999995E-2</v>
      </c>
      <c r="L382" s="9">
        <v>7.3047109999999998E-2</v>
      </c>
      <c r="M382" s="9">
        <v>8.0489290000000005E-2</v>
      </c>
    </row>
    <row r="383" spans="2:13" ht="1" customHeight="1">
      <c r="B383" s="9" t="s">
        <v>58</v>
      </c>
      <c r="C383" s="9" t="str">
        <f t="shared" si="15"/>
        <v>Uruguay1995</v>
      </c>
      <c r="D383" s="9">
        <v>1995</v>
      </c>
      <c r="E383" s="9">
        <v>9.219716E-2</v>
      </c>
      <c r="F383" s="9">
        <v>8.9811450000000001E-2</v>
      </c>
      <c r="G383" s="9">
        <v>9.4582860000000005E-2</v>
      </c>
      <c r="H383" s="9">
        <v>8.2776160000000001E-2</v>
      </c>
      <c r="I383" s="9">
        <v>7.9745259999999998E-2</v>
      </c>
      <c r="J383" s="9">
        <v>8.5807060000000004E-2</v>
      </c>
      <c r="K383" s="9">
        <v>0.10485029999999999</v>
      </c>
      <c r="L383" s="9">
        <v>0.10102706</v>
      </c>
      <c r="M383" s="9">
        <v>0.10867354</v>
      </c>
    </row>
    <row r="384" spans="2:13" ht="1" customHeight="1">
      <c r="B384" s="9" t="s">
        <v>58</v>
      </c>
      <c r="C384" s="9" t="str">
        <f t="shared" si="15"/>
        <v>Uruguay1996</v>
      </c>
      <c r="D384" s="9">
        <v>1996</v>
      </c>
      <c r="E384" s="9">
        <v>9.1269230000000007E-2</v>
      </c>
      <c r="F384" s="9">
        <v>8.8809929999999995E-2</v>
      </c>
      <c r="G384" s="9">
        <v>9.3728530000000004E-2</v>
      </c>
      <c r="H384" s="9">
        <v>8.0211080000000004E-2</v>
      </c>
      <c r="I384" s="9">
        <v>7.7094079999999995E-2</v>
      </c>
      <c r="J384" s="9">
        <v>8.3328089999999994E-2</v>
      </c>
      <c r="K384" s="9">
        <v>0.10531821</v>
      </c>
      <c r="L384" s="9">
        <v>0.10138588</v>
      </c>
      <c r="M384" s="9">
        <v>0.10925055</v>
      </c>
    </row>
    <row r="385" spans="2:13" ht="1" customHeight="1">
      <c r="B385" s="9" t="s">
        <v>58</v>
      </c>
      <c r="C385" s="9" t="str">
        <f t="shared" si="15"/>
        <v>Uruguay1997</v>
      </c>
      <c r="D385" s="9">
        <v>1997</v>
      </c>
      <c r="E385" s="9">
        <v>9.5313439999999999E-2</v>
      </c>
      <c r="F385" s="9">
        <v>9.2806330000000006E-2</v>
      </c>
      <c r="G385" s="9">
        <v>9.7820560000000001E-2</v>
      </c>
      <c r="H385" s="9">
        <v>8.6946239999999994E-2</v>
      </c>
      <c r="I385" s="9">
        <v>8.3727239999999994E-2</v>
      </c>
      <c r="J385" s="9">
        <v>9.0165250000000002E-2</v>
      </c>
      <c r="K385" s="9">
        <v>0.10591913999999999</v>
      </c>
      <c r="L385" s="9">
        <v>0.10195419999999999</v>
      </c>
      <c r="M385" s="9">
        <v>0.10988407</v>
      </c>
    </row>
    <row r="386" spans="2:13" ht="1" customHeight="1">
      <c r="B386" s="9" t="s">
        <v>58</v>
      </c>
      <c r="C386" s="9" t="str">
        <f t="shared" si="15"/>
        <v>Uruguay1998</v>
      </c>
      <c r="D386" s="9">
        <v>1998</v>
      </c>
      <c r="E386" s="9">
        <v>9.2761360000000001E-2</v>
      </c>
      <c r="F386" s="9">
        <v>9.0151220000000004E-2</v>
      </c>
      <c r="G386" s="9">
        <v>9.5371499999999998E-2</v>
      </c>
      <c r="H386" s="9">
        <v>8.4328219999999995E-2</v>
      </c>
      <c r="I386" s="9">
        <v>8.0942609999999998E-2</v>
      </c>
      <c r="J386" s="9">
        <v>8.7713819999999998E-2</v>
      </c>
      <c r="K386" s="9">
        <v>0.10285863000000001</v>
      </c>
      <c r="L386" s="9">
        <v>9.8786269999999995E-2</v>
      </c>
      <c r="M386" s="9">
        <v>0.10693097999999999</v>
      </c>
    </row>
    <row r="387" spans="2:13" ht="1" customHeight="1">
      <c r="B387" s="9" t="s">
        <v>58</v>
      </c>
      <c r="C387" s="9" t="str">
        <f t="shared" si="15"/>
        <v>Uruguay1999</v>
      </c>
      <c r="D387" s="9">
        <v>1999</v>
      </c>
      <c r="E387" s="9">
        <v>9.6707619999999994E-2</v>
      </c>
      <c r="F387" s="9">
        <v>9.4062699999999999E-2</v>
      </c>
      <c r="G387" s="9">
        <v>9.9352540000000003E-2</v>
      </c>
      <c r="H387" s="9">
        <v>8.3982080000000001E-2</v>
      </c>
      <c r="I387" s="9">
        <v>8.0459820000000001E-2</v>
      </c>
      <c r="J387" s="9">
        <v>8.7504349999999995E-2</v>
      </c>
      <c r="K387" s="9">
        <v>0.11252109</v>
      </c>
      <c r="L387" s="9">
        <v>0.10854469</v>
      </c>
      <c r="M387" s="9">
        <v>0.11649749</v>
      </c>
    </row>
    <row r="388" spans="2:13" ht="1" customHeight="1">
      <c r="B388" s="9" t="s">
        <v>58</v>
      </c>
      <c r="C388" s="9" t="str">
        <f t="shared" si="15"/>
        <v>Uruguay2000</v>
      </c>
      <c r="D388" s="9">
        <v>2000</v>
      </c>
      <c r="E388" s="9">
        <v>9.7004660000000006E-2</v>
      </c>
      <c r="F388" s="9">
        <v>9.4335890000000006E-2</v>
      </c>
      <c r="G388" s="9">
        <v>9.9673429999999993E-2</v>
      </c>
      <c r="H388" s="9">
        <v>8.4387799999999999E-2</v>
      </c>
      <c r="I388" s="9">
        <v>8.0810709999999994E-2</v>
      </c>
      <c r="J388" s="9">
        <v>8.7964890000000004E-2</v>
      </c>
      <c r="K388" s="9">
        <v>0.11194736</v>
      </c>
      <c r="L388" s="9">
        <v>0.10796414999999999</v>
      </c>
      <c r="M388" s="9">
        <v>0.11593058000000001</v>
      </c>
    </row>
    <row r="389" spans="2:13" ht="1" customHeight="1">
      <c r="B389" s="9" t="s">
        <v>58</v>
      </c>
      <c r="C389" s="9" t="str">
        <f t="shared" si="15"/>
        <v>Uruguay2001</v>
      </c>
      <c r="D389" s="9">
        <v>2001</v>
      </c>
      <c r="E389" s="9">
        <v>0.11020265999999999</v>
      </c>
      <c r="F389" s="9">
        <v>0.10754415000000001</v>
      </c>
      <c r="G389" s="9">
        <v>0.11286117</v>
      </c>
      <c r="H389" s="9">
        <v>0.10165157</v>
      </c>
      <c r="I389" s="9">
        <v>9.8138539999999996E-2</v>
      </c>
      <c r="J389" s="9">
        <v>0.1051646</v>
      </c>
      <c r="K389" s="9">
        <v>0.11969477000000001</v>
      </c>
      <c r="L389" s="9">
        <v>0.11565689</v>
      </c>
      <c r="M389" s="9">
        <v>0.12373265</v>
      </c>
    </row>
    <row r="390" spans="2:13" ht="1" customHeight="1">
      <c r="B390" s="9" t="s">
        <v>58</v>
      </c>
      <c r="C390" s="9" t="str">
        <f t="shared" si="15"/>
        <v>Uruguay2002</v>
      </c>
      <c r="D390" s="9">
        <v>2002</v>
      </c>
      <c r="E390" s="9">
        <v>0.11394764</v>
      </c>
      <c r="F390" s="9">
        <v>0.11119726000000001</v>
      </c>
      <c r="G390" s="9">
        <v>0.11669802999999999</v>
      </c>
      <c r="H390" s="9">
        <v>0.10822900000000001</v>
      </c>
      <c r="I390" s="9">
        <v>0.10445789</v>
      </c>
      <c r="J390" s="9">
        <v>0.11200010000000001</v>
      </c>
      <c r="K390" s="9">
        <v>0.12029157</v>
      </c>
      <c r="L390" s="9">
        <v>0.11624922</v>
      </c>
      <c r="M390" s="9">
        <v>0.12433393</v>
      </c>
    </row>
    <row r="391" spans="2:13" ht="1" customHeight="1">
      <c r="B391" s="9" t="s">
        <v>58</v>
      </c>
      <c r="C391" s="9" t="str">
        <f t="shared" si="15"/>
        <v>Uruguay2003</v>
      </c>
      <c r="D391" s="9">
        <v>2003</v>
      </c>
      <c r="E391" s="9">
        <v>0.11660197</v>
      </c>
      <c r="F391" s="9">
        <v>0.11376776</v>
      </c>
      <c r="G391" s="9">
        <v>0.11943618</v>
      </c>
      <c r="H391" s="9">
        <v>0.10835262</v>
      </c>
      <c r="I391" s="9">
        <v>0.10450676</v>
      </c>
      <c r="J391" s="9">
        <v>0.11219848</v>
      </c>
      <c r="K391" s="9">
        <v>0.12563282000000001</v>
      </c>
      <c r="L391" s="9">
        <v>0.12145208</v>
      </c>
      <c r="M391" s="9">
        <v>0.12981356999999999</v>
      </c>
    </row>
    <row r="392" spans="2:13" ht="1" customHeight="1">
      <c r="B392" s="9" t="s">
        <v>58</v>
      </c>
      <c r="C392" s="9" t="str">
        <f t="shared" si="15"/>
        <v>Uruguay2004</v>
      </c>
      <c r="D392" s="9">
        <v>2004</v>
      </c>
      <c r="E392" s="9">
        <v>0.11886004</v>
      </c>
      <c r="F392" s="9">
        <v>0.11607489999999999</v>
      </c>
      <c r="G392" s="9">
        <v>0.12164518000000001</v>
      </c>
      <c r="H392" s="9">
        <v>0.11055344</v>
      </c>
      <c r="I392" s="9">
        <v>0.10680066000000001</v>
      </c>
      <c r="J392" s="9">
        <v>0.11430622</v>
      </c>
      <c r="K392" s="9">
        <v>0.12823503999999999</v>
      </c>
      <c r="L392" s="9">
        <v>0.12409629</v>
      </c>
      <c r="M392" s="9">
        <v>0.13237378</v>
      </c>
    </row>
    <row r="393" spans="2:13" ht="1" customHeight="1">
      <c r="B393" s="9" t="s">
        <v>58</v>
      </c>
      <c r="C393" s="9" t="str">
        <f t="shared" si="15"/>
        <v>Uruguay2005</v>
      </c>
      <c r="D393" s="9">
        <v>2005</v>
      </c>
      <c r="E393" s="9">
        <v>0.12475777</v>
      </c>
      <c r="F393" s="9">
        <v>0.12186212</v>
      </c>
      <c r="G393" s="9">
        <v>0.12765341999999999</v>
      </c>
      <c r="H393" s="9">
        <v>0.11636895999999999</v>
      </c>
      <c r="I393" s="9">
        <v>0.11248527</v>
      </c>
      <c r="J393" s="9">
        <v>0.12025265</v>
      </c>
      <c r="K393" s="9">
        <v>0.13333521000000001</v>
      </c>
      <c r="L393" s="9">
        <v>0.1290298</v>
      </c>
      <c r="M393" s="9">
        <v>0.13764061999999999</v>
      </c>
    </row>
    <row r="394" spans="2:13" ht="1" customHeight="1">
      <c r="B394" s="9" t="s">
        <v>58</v>
      </c>
      <c r="C394" s="9" t="str">
        <f t="shared" si="15"/>
        <v>Uruguay2006</v>
      </c>
      <c r="D394" s="9">
        <v>2006</v>
      </c>
      <c r="E394" s="9">
        <v>0.10395206999999999</v>
      </c>
      <c r="F394" s="9">
        <v>0.10145055</v>
      </c>
      <c r="G394" s="9">
        <v>0.10645359</v>
      </c>
      <c r="H394" s="9">
        <v>0.10186248000000001</v>
      </c>
      <c r="I394" s="9">
        <v>9.8343070000000005E-2</v>
      </c>
      <c r="J394" s="9">
        <v>0.10538188</v>
      </c>
      <c r="K394" s="9">
        <v>0.10586825</v>
      </c>
      <c r="L394" s="9">
        <v>0.10231527999999999</v>
      </c>
      <c r="M394" s="9">
        <v>0.10942122</v>
      </c>
    </row>
    <row r="395" spans="2:13" ht="1" customHeight="1">
      <c r="B395" s="9" t="s">
        <v>58</v>
      </c>
      <c r="C395" s="9" t="str">
        <f t="shared" si="15"/>
        <v>Uruguay2007</v>
      </c>
      <c r="D395" s="9">
        <v>2007</v>
      </c>
      <c r="E395" s="9">
        <v>0.11094055999999999</v>
      </c>
      <c r="F395" s="9">
        <v>0.1087216</v>
      </c>
      <c r="G395" s="9">
        <v>0.11315952</v>
      </c>
      <c r="H395" s="9">
        <v>9.7544099999999995E-2</v>
      </c>
      <c r="I395" s="9">
        <v>9.4664609999999996E-2</v>
      </c>
      <c r="J395" s="9">
        <v>0.10042358999999999</v>
      </c>
      <c r="K395" s="9">
        <v>0.12430185000000001</v>
      </c>
      <c r="L395" s="9">
        <v>0.1208967</v>
      </c>
      <c r="M395" s="9">
        <v>0.12770699999999999</v>
      </c>
    </row>
    <row r="396" spans="2:13" ht="1" customHeight="1">
      <c r="B396" s="9" t="s">
        <v>58</v>
      </c>
      <c r="C396" s="9" t="str">
        <f t="shared" si="15"/>
        <v>Uruguay2008</v>
      </c>
      <c r="D396" s="9">
        <v>2008</v>
      </c>
      <c r="E396" s="9">
        <v>8.9046790000000001E-2</v>
      </c>
      <c r="F396" s="9">
        <v>8.6957660000000006E-2</v>
      </c>
      <c r="G396" s="9">
        <v>9.1135919999999995E-2</v>
      </c>
      <c r="H396" s="9">
        <v>7.8315659999999995E-2</v>
      </c>
      <c r="I396" s="9">
        <v>7.5520589999999999E-2</v>
      </c>
      <c r="J396" s="9">
        <v>8.1110719999999997E-2</v>
      </c>
      <c r="K396" s="9">
        <v>9.9336599999999997E-2</v>
      </c>
      <c r="L396" s="9">
        <v>9.6216819999999995E-2</v>
      </c>
      <c r="M396" s="9">
        <v>0.10245638</v>
      </c>
    </row>
    <row r="397" spans="2:13" ht="1" customHeight="1">
      <c r="B397" s="9" t="s">
        <v>58</v>
      </c>
      <c r="C397" s="9" t="str">
        <f t="shared" si="15"/>
        <v>Uruguay2009</v>
      </c>
      <c r="D397" s="9">
        <v>2009</v>
      </c>
      <c r="E397" s="9">
        <v>0.11756932</v>
      </c>
      <c r="F397" s="9">
        <v>0.11566593</v>
      </c>
      <c r="G397" s="9">
        <v>0.11947272</v>
      </c>
      <c r="H397" s="9">
        <v>0.10239638</v>
      </c>
      <c r="I397" s="9">
        <v>9.9797559999999993E-2</v>
      </c>
      <c r="J397" s="9">
        <v>0.1049952</v>
      </c>
      <c r="K397" s="9">
        <v>0.13244484000000001</v>
      </c>
      <c r="L397" s="9">
        <v>0.12968446</v>
      </c>
      <c r="M397" s="9">
        <v>0.13520523000000001</v>
      </c>
    </row>
    <row r="398" spans="2:13" ht="1" customHeight="1">
      <c r="B398" s="9" t="s">
        <v>58</v>
      </c>
      <c r="C398" s="9" t="str">
        <f t="shared" si="15"/>
        <v>Uruguay2010</v>
      </c>
      <c r="D398" s="9">
        <v>2010</v>
      </c>
      <c r="E398" s="9">
        <v>0.11267639</v>
      </c>
      <c r="F398" s="9">
        <v>0.11069742</v>
      </c>
      <c r="G398" s="9">
        <v>0.11465535</v>
      </c>
      <c r="H398" s="9">
        <v>9.5582239999999999E-2</v>
      </c>
      <c r="I398" s="9">
        <v>9.2823249999999996E-2</v>
      </c>
      <c r="J398" s="9">
        <v>9.8341230000000002E-2</v>
      </c>
      <c r="K398" s="9">
        <v>0.12961919999999999</v>
      </c>
      <c r="L398" s="9">
        <v>0.12682473</v>
      </c>
      <c r="M398" s="9">
        <v>0.13241367000000001</v>
      </c>
    </row>
    <row r="399" spans="2:13" ht="1" customHeight="1">
      <c r="B399" s="9" t="s">
        <v>58</v>
      </c>
      <c r="C399" s="9" t="str">
        <f t="shared" si="15"/>
        <v>Uruguay2011</v>
      </c>
      <c r="D399" s="9">
        <v>2011</v>
      </c>
      <c r="E399" s="9">
        <v>0.10599444</v>
      </c>
      <c r="F399" s="9">
        <v>0.10413271</v>
      </c>
      <c r="G399" s="9">
        <v>0.10785618</v>
      </c>
      <c r="H399" s="9">
        <v>8.7546559999999995E-2</v>
      </c>
      <c r="I399" s="9">
        <v>8.4938120000000006E-2</v>
      </c>
      <c r="J399" s="9">
        <v>9.0154990000000004E-2</v>
      </c>
      <c r="K399" s="9">
        <v>0.12375356</v>
      </c>
      <c r="L399" s="9">
        <v>0.12115779</v>
      </c>
      <c r="M399" s="9">
        <v>0.12634933000000001</v>
      </c>
    </row>
    <row r="400" spans="2:13" ht="1" customHeight="1">
      <c r="B400" s="9" t="s">
        <v>58</v>
      </c>
      <c r="C400" s="9" t="str">
        <f t="shared" si="15"/>
        <v>Uruguay2012</v>
      </c>
      <c r="D400" s="9">
        <v>2012</v>
      </c>
      <c r="E400" s="9">
        <v>0.10133962000000001</v>
      </c>
      <c r="F400" s="9">
        <v>9.9491780000000002E-2</v>
      </c>
      <c r="G400" s="9">
        <v>0.10318745999999999</v>
      </c>
      <c r="H400" s="9">
        <v>8.5382250000000007E-2</v>
      </c>
      <c r="I400" s="9">
        <v>8.2843639999999996E-2</v>
      </c>
      <c r="J400" s="9">
        <v>8.7920860000000003E-2</v>
      </c>
      <c r="K400" s="9">
        <v>0.11719146</v>
      </c>
      <c r="L400" s="9">
        <v>0.11453489</v>
      </c>
      <c r="M400" s="9">
        <v>0.11984802999999999</v>
      </c>
    </row>
    <row r="401" spans="2:13" ht="1" customHeight="1">
      <c r="B401" s="9" t="s">
        <v>58</v>
      </c>
      <c r="C401" s="9" t="str">
        <f t="shared" si="15"/>
        <v>Uruguay2013</v>
      </c>
      <c r="D401" s="9">
        <v>2013</v>
      </c>
      <c r="E401" s="9">
        <v>0.10046271</v>
      </c>
      <c r="F401" s="9">
        <v>9.8786730000000003E-2</v>
      </c>
      <c r="G401" s="9">
        <v>0.10213868</v>
      </c>
      <c r="H401" s="9">
        <v>8.4644559999999994E-2</v>
      </c>
      <c r="I401" s="9">
        <v>8.2308610000000004E-2</v>
      </c>
      <c r="J401" s="9">
        <v>8.6980509999999997E-2</v>
      </c>
      <c r="K401" s="9">
        <v>0.11654241</v>
      </c>
      <c r="L401" s="9">
        <v>0.11417863</v>
      </c>
      <c r="M401" s="9">
        <v>0.1189062</v>
      </c>
    </row>
    <row r="402" spans="2:13" ht="1" customHeight="1">
      <c r="B402" s="9" t="s">
        <v>58</v>
      </c>
      <c r="C402" s="9" t="str">
        <f t="shared" si="15"/>
        <v>Uruguay2014</v>
      </c>
      <c r="D402" s="9">
        <v>2014</v>
      </c>
      <c r="E402" s="9">
        <v>9.9985569999999996E-2</v>
      </c>
      <c r="F402" s="9">
        <v>9.8309270000000004E-2</v>
      </c>
      <c r="G402" s="9">
        <v>0.10166186000000001</v>
      </c>
      <c r="H402" s="9">
        <v>8.4731310000000004E-2</v>
      </c>
      <c r="I402" s="9">
        <v>8.2367620000000003E-2</v>
      </c>
      <c r="J402" s="9">
        <v>8.7095000000000006E-2</v>
      </c>
      <c r="K402" s="9">
        <v>0.11565873</v>
      </c>
      <c r="L402" s="9">
        <v>0.11330531000000001</v>
      </c>
      <c r="M402" s="9">
        <v>0.11801214</v>
      </c>
    </row>
    <row r="403" spans="2:13" ht="1" customHeight="1">
      <c r="B403" s="9" t="s">
        <v>59</v>
      </c>
      <c r="C403" s="9" t="str">
        <f t="shared" si="15"/>
        <v>Venezuela1995</v>
      </c>
      <c r="D403" s="9">
        <v>1995</v>
      </c>
      <c r="E403" s="9">
        <v>7.7535989999999999E-2</v>
      </c>
      <c r="F403" s="9">
        <v>7.480916E-2</v>
      </c>
      <c r="G403" s="9">
        <v>8.0262819999999999E-2</v>
      </c>
      <c r="H403" s="9">
        <v>7.0358939999999995E-2</v>
      </c>
      <c r="I403" s="9">
        <v>6.6968990000000006E-2</v>
      </c>
      <c r="J403" s="9">
        <v>7.3748889999999998E-2</v>
      </c>
      <c r="K403" s="9">
        <v>9.0187310000000007E-2</v>
      </c>
      <c r="L403" s="9">
        <v>8.5644139999999994E-2</v>
      </c>
      <c r="M403" s="9">
        <v>9.4730469999999997E-2</v>
      </c>
    </row>
    <row r="404" spans="2:13" ht="1" customHeight="1">
      <c r="B404" s="9" t="s">
        <v>59</v>
      </c>
      <c r="C404" s="9" t="str">
        <f t="shared" ref="C404:C422" si="16">CONCATENATE(B404,D404)</f>
        <v>Venezuela1996</v>
      </c>
      <c r="D404" s="9">
        <v>1996</v>
      </c>
      <c r="E404" s="9">
        <v>7.2099289999999996E-2</v>
      </c>
      <c r="F404" s="9">
        <v>6.8671629999999997E-2</v>
      </c>
      <c r="G404" s="9">
        <v>7.5526960000000004E-2</v>
      </c>
      <c r="H404" s="9">
        <v>6.0622040000000002E-2</v>
      </c>
      <c r="I404" s="9">
        <v>5.6366520000000003E-2</v>
      </c>
      <c r="J404" s="9">
        <v>6.4877569999999996E-2</v>
      </c>
      <c r="K404" s="9">
        <v>9.2408799999999999E-2</v>
      </c>
      <c r="L404" s="9">
        <v>8.6661530000000001E-2</v>
      </c>
      <c r="M404" s="9">
        <v>9.8156069999999998E-2</v>
      </c>
    </row>
    <row r="405" spans="2:13" ht="1" customHeight="1">
      <c r="B405" s="9" t="s">
        <v>59</v>
      </c>
      <c r="C405" s="9" t="str">
        <f t="shared" si="16"/>
        <v>Venezuela1997</v>
      </c>
      <c r="D405" s="9">
        <v>1997</v>
      </c>
      <c r="E405" s="9">
        <v>8.4515160000000006E-2</v>
      </c>
      <c r="F405" s="9">
        <v>8.1767699999999999E-2</v>
      </c>
      <c r="G405" s="9">
        <v>8.7262629999999994E-2</v>
      </c>
      <c r="H405" s="9">
        <v>7.2405040000000004E-2</v>
      </c>
      <c r="I405" s="9">
        <v>6.9050879999999995E-2</v>
      </c>
      <c r="J405" s="9">
        <v>7.5759199999999999E-2</v>
      </c>
      <c r="K405" s="9">
        <v>0.10575012</v>
      </c>
      <c r="L405" s="9">
        <v>0.10093385000000001</v>
      </c>
      <c r="M405" s="9">
        <v>0.1105664</v>
      </c>
    </row>
    <row r="406" spans="2:13" ht="1" customHeight="1">
      <c r="B406" s="9" t="s">
        <v>59</v>
      </c>
      <c r="C406" s="9" t="str">
        <f t="shared" si="16"/>
        <v>Venezuela1998</v>
      </c>
      <c r="D406" s="9">
        <v>1998</v>
      </c>
      <c r="E406" s="9">
        <v>8.4664340000000005E-2</v>
      </c>
      <c r="F406" s="9">
        <v>8.2095779999999993E-2</v>
      </c>
      <c r="G406" s="9">
        <v>8.7232909999999997E-2</v>
      </c>
      <c r="H406" s="9">
        <v>7.3082919999999996E-2</v>
      </c>
      <c r="I406" s="9">
        <v>6.9881819999999997E-2</v>
      </c>
      <c r="J406" s="9">
        <v>7.6284009999999999E-2</v>
      </c>
      <c r="K406" s="9">
        <v>0.10277043</v>
      </c>
      <c r="L406" s="9">
        <v>9.8464350000000006E-2</v>
      </c>
      <c r="M406" s="9">
        <v>0.10707651</v>
      </c>
    </row>
    <row r="407" spans="2:13" ht="1" customHeight="1">
      <c r="B407" s="9" t="s">
        <v>59</v>
      </c>
      <c r="C407" s="9" t="str">
        <f t="shared" si="16"/>
        <v>Venezuela1999</v>
      </c>
      <c r="D407" s="9">
        <v>1999</v>
      </c>
      <c r="E407" s="9">
        <v>7.9921710000000007E-2</v>
      </c>
      <c r="F407" s="9">
        <v>7.7123490000000003E-2</v>
      </c>
      <c r="G407" s="9">
        <v>8.2719929999999997E-2</v>
      </c>
      <c r="H407" s="9">
        <v>6.7379250000000002E-2</v>
      </c>
      <c r="I407" s="9">
        <v>6.3866249999999999E-2</v>
      </c>
      <c r="J407" s="9">
        <v>7.0892250000000004E-2</v>
      </c>
      <c r="K407" s="9">
        <v>9.9877510000000003E-2</v>
      </c>
      <c r="L407" s="9">
        <v>9.5263879999999995E-2</v>
      </c>
      <c r="M407" s="9">
        <v>0.10449114</v>
      </c>
    </row>
    <row r="408" spans="2:13" ht="1" customHeight="1">
      <c r="B408" s="9" t="s">
        <v>59</v>
      </c>
      <c r="C408" s="9" t="str">
        <f t="shared" si="16"/>
        <v>Venezuela2000</v>
      </c>
      <c r="D408" s="9">
        <v>2000</v>
      </c>
      <c r="E408" s="9">
        <v>6.7890510000000001E-2</v>
      </c>
      <c r="F408" s="9">
        <v>6.5218620000000005E-2</v>
      </c>
      <c r="G408" s="9">
        <v>7.0562399999999997E-2</v>
      </c>
      <c r="H408" s="9">
        <v>5.5636089999999999E-2</v>
      </c>
      <c r="I408" s="9">
        <v>5.2299619999999998E-2</v>
      </c>
      <c r="J408" s="9">
        <v>5.8972549999999999E-2</v>
      </c>
      <c r="K408" s="9">
        <v>8.707463E-2</v>
      </c>
      <c r="L408" s="9">
        <v>8.2695260000000007E-2</v>
      </c>
      <c r="M408" s="9">
        <v>9.1453999999999994E-2</v>
      </c>
    </row>
    <row r="409" spans="2:13" ht="1" customHeight="1">
      <c r="B409" s="9" t="s">
        <v>59</v>
      </c>
      <c r="C409" s="9" t="str">
        <f t="shared" si="16"/>
        <v>Venezuela2001</v>
      </c>
      <c r="D409" s="9">
        <v>2001</v>
      </c>
      <c r="E409" s="9">
        <v>8.8108889999999995E-2</v>
      </c>
      <c r="F409" s="9">
        <v>8.6466089999999995E-2</v>
      </c>
      <c r="G409" s="9">
        <v>8.9751700000000004E-2</v>
      </c>
      <c r="H409" s="9">
        <v>7.2256669999999995E-2</v>
      </c>
      <c r="I409" s="9">
        <v>7.0230840000000003E-2</v>
      </c>
      <c r="J409" s="9">
        <v>7.4282509999999996E-2</v>
      </c>
      <c r="K409" s="9">
        <v>0.11110839</v>
      </c>
      <c r="L409" s="9">
        <v>0.10837408</v>
      </c>
      <c r="M409" s="9">
        <v>0.11384270000000001</v>
      </c>
    </row>
    <row r="410" spans="2:13" ht="1" customHeight="1">
      <c r="B410" s="9" t="s">
        <v>59</v>
      </c>
      <c r="C410" s="9" t="str">
        <f t="shared" si="16"/>
        <v>Venezuela2002</v>
      </c>
      <c r="D410" s="9">
        <v>2002</v>
      </c>
      <c r="E410" s="9">
        <v>9.2886300000000005E-2</v>
      </c>
      <c r="F410" s="9">
        <v>9.1469090000000003E-2</v>
      </c>
      <c r="G410" s="9">
        <v>9.4303509999999993E-2</v>
      </c>
      <c r="H410" s="9">
        <v>7.8359059999999994E-2</v>
      </c>
      <c r="I410" s="9">
        <v>7.6616660000000003E-2</v>
      </c>
      <c r="J410" s="9">
        <v>8.0101459999999999E-2</v>
      </c>
      <c r="K410" s="9">
        <v>0.11396856</v>
      </c>
      <c r="L410" s="9">
        <v>0.11160465</v>
      </c>
      <c r="M410" s="9">
        <v>0.11633246999999999</v>
      </c>
    </row>
    <row r="411" spans="2:13" ht="1" customHeight="1">
      <c r="B411" s="9" t="s">
        <v>59</v>
      </c>
      <c r="C411" s="9" t="str">
        <f t="shared" si="16"/>
        <v>Venezuela2003</v>
      </c>
      <c r="D411" s="9">
        <v>2003</v>
      </c>
      <c r="E411" s="9">
        <v>8.8524759999999994E-2</v>
      </c>
      <c r="F411" s="9">
        <v>8.6912489999999995E-2</v>
      </c>
      <c r="G411" s="9">
        <v>9.0137040000000002E-2</v>
      </c>
      <c r="H411" s="9">
        <v>7.5321399999999997E-2</v>
      </c>
      <c r="I411" s="9">
        <v>7.3285260000000005E-2</v>
      </c>
      <c r="J411" s="9">
        <v>7.7357549999999997E-2</v>
      </c>
      <c r="K411" s="9">
        <v>0.10749257</v>
      </c>
      <c r="L411" s="9">
        <v>0.10489171999999999</v>
      </c>
      <c r="M411" s="9">
        <v>0.11009342</v>
      </c>
    </row>
    <row r="412" spans="2:13" ht="1" customHeight="1">
      <c r="B412" s="9" t="s">
        <v>59</v>
      </c>
      <c r="C412" s="9" t="str">
        <f t="shared" si="16"/>
        <v>Venezuela2004</v>
      </c>
      <c r="D412" s="9">
        <v>2004</v>
      </c>
      <c r="E412" s="9">
        <v>8.4805080000000005E-2</v>
      </c>
      <c r="F412" s="9">
        <v>8.2356470000000001E-2</v>
      </c>
      <c r="G412" s="9">
        <v>8.7253689999999995E-2</v>
      </c>
      <c r="H412" s="9">
        <v>7.3601970000000003E-2</v>
      </c>
      <c r="I412" s="9">
        <v>7.0481489999999994E-2</v>
      </c>
      <c r="J412" s="9">
        <v>7.6722460000000006E-2</v>
      </c>
      <c r="K412" s="9">
        <v>0.10062291</v>
      </c>
      <c r="L412" s="9">
        <v>9.6686530000000007E-2</v>
      </c>
      <c r="M412" s="9">
        <v>0.10455928</v>
      </c>
    </row>
    <row r="413" spans="2:13" ht="1" customHeight="1">
      <c r="B413" s="9" t="s">
        <v>59</v>
      </c>
      <c r="C413" s="9" t="str">
        <f t="shared" si="16"/>
        <v>Venezuela2005</v>
      </c>
      <c r="D413" s="9">
        <v>2005</v>
      </c>
      <c r="E413" s="9">
        <v>8.114354E-2</v>
      </c>
      <c r="F413" s="9">
        <v>7.9229160000000007E-2</v>
      </c>
      <c r="G413" s="9">
        <v>8.3057909999999999E-2</v>
      </c>
      <c r="H413" s="9">
        <v>6.7926459999999994E-2</v>
      </c>
      <c r="I413" s="9">
        <v>6.5469369999999999E-2</v>
      </c>
      <c r="J413" s="9">
        <v>7.0383559999999998E-2</v>
      </c>
      <c r="K413" s="9">
        <v>9.9926890000000004E-2</v>
      </c>
      <c r="L413" s="9">
        <v>9.6860180000000004E-2</v>
      </c>
      <c r="M413" s="9">
        <v>0.1029936</v>
      </c>
    </row>
    <row r="414" spans="2:13" ht="1" customHeight="1">
      <c r="B414" s="9" t="s">
        <v>59</v>
      </c>
      <c r="C414" s="9" t="str">
        <f t="shared" si="16"/>
        <v>Venezuela2006</v>
      </c>
      <c r="D414" s="9">
        <v>2006</v>
      </c>
      <c r="E414" s="9">
        <v>7.6785099999999995E-2</v>
      </c>
      <c r="F414" s="9">
        <v>7.527122E-2</v>
      </c>
      <c r="G414" s="9">
        <v>7.8298969999999996E-2</v>
      </c>
      <c r="H414" s="9">
        <v>6.1803820000000002E-2</v>
      </c>
      <c r="I414" s="9">
        <v>5.9934849999999998E-2</v>
      </c>
      <c r="J414" s="9">
        <v>6.3672800000000002E-2</v>
      </c>
      <c r="K414" s="9">
        <v>9.9404300000000001E-2</v>
      </c>
      <c r="L414" s="9">
        <v>9.6892759999999994E-2</v>
      </c>
      <c r="M414" s="9">
        <v>0.10191583</v>
      </c>
    </row>
    <row r="415" spans="2:13" ht="1" customHeight="1">
      <c r="B415" s="9" t="s">
        <v>59</v>
      </c>
      <c r="C415" s="9" t="str">
        <f t="shared" si="16"/>
        <v>Venezuela2007</v>
      </c>
      <c r="D415" s="9">
        <v>2007</v>
      </c>
      <c r="E415" s="9">
        <v>6.9802740000000002E-2</v>
      </c>
      <c r="F415" s="9">
        <v>6.8377809999999997E-2</v>
      </c>
      <c r="G415" s="9">
        <v>7.1227670000000007E-2</v>
      </c>
      <c r="H415" s="9">
        <v>5.5136110000000002E-2</v>
      </c>
      <c r="I415" s="9">
        <v>5.3390060000000003E-2</v>
      </c>
      <c r="J415" s="9">
        <v>5.6882160000000001E-2</v>
      </c>
      <c r="K415" s="9">
        <v>9.1444159999999997E-2</v>
      </c>
      <c r="L415" s="9">
        <v>8.9049139999999999E-2</v>
      </c>
      <c r="M415" s="9">
        <v>9.383917E-2</v>
      </c>
    </row>
    <row r="416" spans="2:13" ht="1" customHeight="1">
      <c r="B416" s="9" t="s">
        <v>59</v>
      </c>
      <c r="C416" s="9" t="str">
        <f t="shared" si="16"/>
        <v>Venezuela2008</v>
      </c>
      <c r="D416" s="9">
        <v>2008</v>
      </c>
      <c r="E416" s="9">
        <v>6.4801440000000002E-2</v>
      </c>
      <c r="F416" s="9">
        <v>6.3425629999999997E-2</v>
      </c>
      <c r="G416" s="9">
        <v>6.6177250000000007E-2</v>
      </c>
      <c r="H416" s="9">
        <v>5.215624E-2</v>
      </c>
      <c r="I416" s="9">
        <v>5.0481749999999999E-2</v>
      </c>
      <c r="J416" s="9">
        <v>5.383073E-2</v>
      </c>
      <c r="K416" s="9">
        <v>8.3627110000000004E-2</v>
      </c>
      <c r="L416" s="9">
        <v>8.1274410000000005E-2</v>
      </c>
      <c r="M416" s="9">
        <v>8.5979799999999995E-2</v>
      </c>
    </row>
    <row r="417" spans="2:13" ht="1" customHeight="1">
      <c r="B417" s="9" t="s">
        <v>59</v>
      </c>
      <c r="C417" s="9" t="str">
        <f t="shared" si="16"/>
        <v>Venezuela2009</v>
      </c>
      <c r="D417" s="9">
        <v>2009</v>
      </c>
      <c r="E417" s="9">
        <v>5.7933039999999998E-2</v>
      </c>
      <c r="F417" s="9">
        <v>5.6597429999999997E-2</v>
      </c>
      <c r="G417" s="9">
        <v>5.9268639999999997E-2</v>
      </c>
      <c r="H417" s="9">
        <v>4.6351089999999998E-2</v>
      </c>
      <c r="I417" s="9">
        <v>4.468457E-2</v>
      </c>
      <c r="J417" s="9">
        <v>4.8017610000000002E-2</v>
      </c>
      <c r="K417" s="9">
        <v>7.5024889999999997E-2</v>
      </c>
      <c r="L417" s="9">
        <v>7.2810360000000005E-2</v>
      </c>
      <c r="M417" s="9">
        <v>7.7239409999999994E-2</v>
      </c>
    </row>
    <row r="418" spans="2:13" ht="1" customHeight="1">
      <c r="B418" s="9" t="s">
        <v>59</v>
      </c>
      <c r="C418" s="9" t="str">
        <f t="shared" si="16"/>
        <v>Venezuela2010</v>
      </c>
      <c r="D418" s="9">
        <v>2010</v>
      </c>
      <c r="E418" s="9">
        <v>5.804248E-2</v>
      </c>
      <c r="F418" s="9">
        <v>5.6682320000000001E-2</v>
      </c>
      <c r="G418" s="9">
        <v>5.940264E-2</v>
      </c>
      <c r="H418" s="9">
        <v>4.6917300000000002E-2</v>
      </c>
      <c r="I418" s="9">
        <v>4.524827E-2</v>
      </c>
      <c r="J418" s="9">
        <v>4.8586329999999997E-2</v>
      </c>
      <c r="K418" s="9">
        <v>7.4602290000000002E-2</v>
      </c>
      <c r="L418" s="9">
        <v>7.2337330000000005E-2</v>
      </c>
      <c r="M418" s="9">
        <v>7.6867260000000007E-2</v>
      </c>
    </row>
    <row r="419" spans="2:13" ht="1" customHeight="1">
      <c r="B419" s="9" t="s">
        <v>59</v>
      </c>
      <c r="C419" s="9" t="str">
        <f t="shared" si="16"/>
        <v>Venezuela2011</v>
      </c>
      <c r="D419" s="9">
        <v>2011</v>
      </c>
      <c r="E419" s="9">
        <v>5.8408130000000003E-2</v>
      </c>
      <c r="F419" s="9">
        <v>5.7069160000000001E-2</v>
      </c>
      <c r="G419" s="9">
        <v>5.9747109999999999E-2</v>
      </c>
      <c r="H419" s="9">
        <v>4.6993600000000003E-2</v>
      </c>
      <c r="I419" s="9">
        <v>4.5370430000000003E-2</v>
      </c>
      <c r="J419" s="9">
        <v>4.8616779999999998E-2</v>
      </c>
      <c r="K419" s="9">
        <v>7.4986440000000001E-2</v>
      </c>
      <c r="L419" s="9">
        <v>7.2693569999999999E-2</v>
      </c>
      <c r="M419" s="9">
        <v>7.7279310000000004E-2</v>
      </c>
    </row>
    <row r="420" spans="2:13" ht="1" customHeight="1">
      <c r="B420" s="9" t="s">
        <v>59</v>
      </c>
      <c r="C420" s="9" t="str">
        <f t="shared" si="16"/>
        <v>Venezuela2012</v>
      </c>
      <c r="D420" s="9">
        <v>2012</v>
      </c>
      <c r="E420" s="9">
        <v>5.7023339999999999E-2</v>
      </c>
      <c r="F420" s="9">
        <v>5.5592290000000003E-2</v>
      </c>
      <c r="G420" s="9">
        <v>5.8454390000000002E-2</v>
      </c>
      <c r="H420" s="9">
        <v>4.7486140000000003E-2</v>
      </c>
      <c r="I420" s="9">
        <v>4.5715270000000002E-2</v>
      </c>
      <c r="J420" s="9">
        <v>4.9257009999999997E-2</v>
      </c>
      <c r="K420" s="9">
        <v>7.1004250000000005E-2</v>
      </c>
      <c r="L420" s="9">
        <v>6.8600099999999997E-2</v>
      </c>
      <c r="M420" s="9">
        <v>7.3408399999999999E-2</v>
      </c>
    </row>
    <row r="421" spans="2:13" ht="1" customHeight="1">
      <c r="B421" s="9" t="s">
        <v>59</v>
      </c>
      <c r="C421" s="9" t="str">
        <f t="shared" si="16"/>
        <v>Venezuela2013</v>
      </c>
      <c r="D421" s="9">
        <v>2013</v>
      </c>
      <c r="E421" s="9">
        <v>4.9420350000000002E-2</v>
      </c>
      <c r="F421" s="9">
        <v>4.7770510000000002E-2</v>
      </c>
      <c r="G421" s="9">
        <v>5.1070200000000003E-2</v>
      </c>
      <c r="H421" s="9">
        <v>3.9369550000000003E-2</v>
      </c>
      <c r="I421" s="9">
        <v>3.7295910000000002E-2</v>
      </c>
      <c r="J421" s="9">
        <v>4.1443180000000003E-2</v>
      </c>
      <c r="K421" s="9">
        <v>6.4138760000000003E-2</v>
      </c>
      <c r="L421" s="9">
        <v>6.1417850000000003E-2</v>
      </c>
      <c r="M421" s="9">
        <v>6.6859669999999996E-2</v>
      </c>
    </row>
    <row r="422" spans="2:13" ht="1" customHeight="1">
      <c r="B422" s="9" t="s">
        <v>59</v>
      </c>
      <c r="C422" s="9" t="str">
        <f t="shared" si="16"/>
        <v>Venezuela2014</v>
      </c>
      <c r="D422" s="9">
        <v>2014</v>
      </c>
      <c r="E422" s="9">
        <v>4.9420350000000002E-2</v>
      </c>
      <c r="F422" s="9">
        <v>4.7770510000000002E-2</v>
      </c>
      <c r="G422" s="9">
        <v>5.1070200000000003E-2</v>
      </c>
      <c r="H422" s="9">
        <v>3.9369550000000003E-2</v>
      </c>
      <c r="I422" s="9">
        <v>3.7295910000000002E-2</v>
      </c>
      <c r="J422" s="9">
        <v>4.1443180000000003E-2</v>
      </c>
      <c r="K422" s="9">
        <v>6.4138760000000003E-2</v>
      </c>
      <c r="L422" s="9">
        <v>6.1417850000000003E-2</v>
      </c>
      <c r="M422" s="9">
        <v>6.6859669999999996E-2</v>
      </c>
    </row>
    <row r="423" spans="2:13" ht="1" customHeight="1"/>
    <row r="424" spans="2:13" ht="1" customHeight="1"/>
    <row r="425" spans="2:13" ht="1" customHeight="1"/>
    <row r="426" spans="2:13" ht="1" customHeight="1"/>
    <row r="427" spans="2:13" ht="1" customHeight="1"/>
    <row r="428" spans="2:13" ht="1" customHeight="1"/>
    <row r="429" spans="2:13" ht="1" customHeight="1"/>
    <row r="430" spans="2:13" ht="1" customHeight="1">
      <c r="C430" s="9" t="s">
        <v>61</v>
      </c>
      <c r="D430" s="9" t="s">
        <v>247</v>
      </c>
    </row>
    <row r="431" spans="2:13" ht="1" customHeight="1">
      <c r="C431" s="9" t="s">
        <v>43</v>
      </c>
      <c r="D431" s="11">
        <v>0.42203859999999999</v>
      </c>
    </row>
    <row r="432" spans="2:13" ht="1" customHeight="1">
      <c r="C432" s="9" t="s">
        <v>41</v>
      </c>
      <c r="D432" s="11">
        <v>4.6932300000000003E-2</v>
      </c>
    </row>
    <row r="433" spans="3:4" ht="1" customHeight="1">
      <c r="C433" s="9" t="s">
        <v>46</v>
      </c>
      <c r="D433" s="11">
        <v>-0.13176959999999999</v>
      </c>
    </row>
    <row r="434" spans="3:4" ht="1" customHeight="1">
      <c r="C434" s="9" t="s">
        <v>42</v>
      </c>
      <c r="D434" s="11">
        <v>-0.24516750000000001</v>
      </c>
    </row>
    <row r="435" spans="3:4" ht="1" customHeight="1">
      <c r="C435" s="9" t="s">
        <v>54</v>
      </c>
      <c r="D435" s="11">
        <v>-0.27872989999999997</v>
      </c>
    </row>
    <row r="436" spans="3:4" ht="1" customHeight="1">
      <c r="C436" s="9" t="s">
        <v>45</v>
      </c>
      <c r="D436" s="11">
        <v>-0.29630329999999999</v>
      </c>
    </row>
    <row r="437" spans="3:4" ht="1" customHeight="1">
      <c r="C437" s="9" t="s">
        <v>58</v>
      </c>
      <c r="D437" s="11">
        <v>-0.32595410000000002</v>
      </c>
    </row>
    <row r="438" spans="3:4" ht="1" customHeight="1">
      <c r="C438" s="9" t="s">
        <v>52</v>
      </c>
      <c r="D438" s="11">
        <v>-0.36363109999999998</v>
      </c>
    </row>
    <row r="439" spans="3:4" ht="1" customHeight="1">
      <c r="C439" s="9" t="s">
        <v>36</v>
      </c>
      <c r="D439" s="11">
        <v>-0.64704700000000004</v>
      </c>
    </row>
    <row r="440" spans="3:4" ht="1" customHeight="1">
      <c r="C440" s="9" t="s">
        <v>248</v>
      </c>
      <c r="D440" s="11">
        <v>-0.70772299999999999</v>
      </c>
    </row>
    <row r="441" spans="3:4" ht="1" customHeight="1">
      <c r="C441" s="9" t="s">
        <v>47</v>
      </c>
      <c r="D441" s="11">
        <v>-1.00142</v>
      </c>
    </row>
    <row r="442" spans="3:4" ht="1" customHeight="1">
      <c r="C442" s="9" t="s">
        <v>55</v>
      </c>
      <c r="D442" s="11">
        <v>-1.0653250000000001</v>
      </c>
    </row>
    <row r="443" spans="3:4" ht="1" customHeight="1">
      <c r="C443" s="9" t="s">
        <v>249</v>
      </c>
      <c r="D443" s="11">
        <v>-1.2492319999999999</v>
      </c>
    </row>
    <row r="444" spans="3:4" ht="1" customHeight="1">
      <c r="C444" s="9" t="s">
        <v>40</v>
      </c>
      <c r="D444" s="11">
        <v>-2.0262359999999999</v>
      </c>
    </row>
    <row r="445" spans="3:4" ht="1" customHeight="1">
      <c r="C445" s="9" t="s">
        <v>59</v>
      </c>
      <c r="D445" s="11">
        <v>-2.8211810000000002</v>
      </c>
    </row>
    <row r="446" spans="3:4" ht="1" customHeight="1">
      <c r="C446" s="9" t="s">
        <v>50</v>
      </c>
      <c r="D446" s="11">
        <v>-3.4702440000000001</v>
      </c>
    </row>
    <row r="447" spans="3:4" ht="1" customHeight="1">
      <c r="C447" s="9" t="s">
        <v>56</v>
      </c>
      <c r="D447" s="11">
        <v>-3.551329</v>
      </c>
    </row>
    <row r="448" spans="3:4" ht="1" customHeight="1">
      <c r="C448" s="9" t="s">
        <v>39</v>
      </c>
      <c r="D448" s="11">
        <v>-4.7738490000000002</v>
      </c>
    </row>
    <row r="452" spans="1:4">
      <c r="A452" s="414"/>
      <c r="B452" s="414"/>
      <c r="C452" s="414"/>
      <c r="D452" s="414"/>
    </row>
  </sheetData>
  <mergeCells count="13">
    <mergeCell ref="A452:D452"/>
    <mergeCell ref="B44:Q44"/>
    <mergeCell ref="D54:F54"/>
    <mergeCell ref="G54:J54"/>
    <mergeCell ref="E56:G56"/>
    <mergeCell ref="H56:J56"/>
    <mergeCell ref="K56:M56"/>
    <mergeCell ref="E46:G46"/>
    <mergeCell ref="E47:G47"/>
    <mergeCell ref="H46:J46"/>
    <mergeCell ref="H47:J47"/>
    <mergeCell ref="K46:M46"/>
    <mergeCell ref="K47:M47"/>
  </mergeCells>
  <pageMargins left="0.7" right="0.7" top="0.75" bottom="0.75" header="0.3" footer="0.3"/>
  <pageSetup scale="5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ez-Disclosure Corporate" ma:contentTypeID="0x01010066B06E59AB175241BBFB297522263BEB0058836F66A07D664EA358AAC86C289FCA" ma:contentTypeVersion="13" ma:contentTypeDescription="A content type to manage public (corporate) IDB documents" ma:contentTypeScope="" ma:versionID="4a63720151dec02035f6303687533e35">
  <xsd:schema xmlns:xsd="http://www.w3.org/2001/XMLSchema" xmlns:xs="http://www.w3.org/2001/XMLSchema" xmlns:p="http://schemas.microsoft.com/office/2006/metadata/properties" xmlns:ns2="cdc7663a-08f0-4737-9e8c-148ce897a09c" targetNamespace="http://schemas.microsoft.com/office/2006/metadata/properties" ma:root="true" ma:fieldsID="ab98ce706b526c71e9d4e50328827a10"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cf0f1ca6d90e4583ad80995bcde0e58a" minOccurs="0"/>
                <xsd:element ref="ns2:TaxCatchAll" minOccurs="0"/>
                <xsd:element ref="ns2:TaxCatchAllLabel" minOccurs="0"/>
                <xsd:element ref="ns2:Access_x0020_to_x0020_Information_x00a0_Policy"/>
                <xsd:element ref="ns2:j65ec2e3a7e44c39a1acebfd2a19200a" minOccurs="0"/>
                <xsd:element ref="ns2:Webtopic" minOccurs="0"/>
                <xsd:element ref="ns2:Disclosure_x0020_Activity"/>
                <xsd:element ref="ns2:Document_x0020_Language_x0020_IDB"/>
                <xsd:element ref="ns2:Division_x0020_or_x0020_Unit" minOccurs="0"/>
                <xsd:element ref="ns2:Document_x0020_Author" minOccurs="0"/>
                <xsd:element ref="ns2:Other_x0020_Author" minOccurs="0"/>
                <xsd:element ref="ns2:ic46d7e087fd4a108fb86518ca413cc6" minOccurs="0"/>
                <xsd:element ref="ns2:Identifier" minOccurs="0"/>
                <xsd:element ref="ns2:IDBDocs_x0020_Number" minOccurs="0"/>
                <xsd:element ref="ns2:Migration_x0020_Info" minOccurs="0"/>
                <xsd:element ref="ns2:Abstract" minOccurs="0"/>
                <xsd:element ref="ns2:Editor1" minOccurs="0"/>
                <xsd:element ref="ns2:Issue_x0020_Date" minOccurs="0"/>
                <xsd:element ref="ns2:Publishing_x0020_House" minOccurs="0"/>
                <xsd:element ref="ns2:KP_x0020_Topics" minOccurs="0"/>
                <xsd:element ref="ns2:Region" minOccurs="0"/>
                <xsd:element ref="ns2:Publication_x0020_Type" minOccurs="0"/>
                <xsd:element ref="ns2:SISCOR_x0020_Number" minOccurs="0"/>
                <xsd:element ref="ns2:Fiscal_x0020_Year_x0020_IDB" minOccurs="0"/>
                <xsd:element ref="ns2:Disclo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cf0f1ca6d90e4583ad80995bcde0e58a" ma:index="11" ma:taxonomy="true" ma:internalName="cf0f1ca6d90e4583ad80995bcde0e58a" ma:taxonomyFieldName="Function_x0020_Corporate_x0020_IDB" ma:displayName="Function Corporate IDB" ma:readOnly="false" ma:default="" ma:fieldId="{cf0f1ca6-d90e-4583-ad80-995bcde0e58a}" ma:sspId="ae61f9b1-e23d-4f49-b3d7-56b991556c4b" ma:termSetId="87c2acd2-4473-4e75-9749-843c35148602"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3c588f23-1e2d-45ba-a9b1-ef249f9a459b}" ma:internalName="TaxCatchAll" ma:showField="CatchAllData" ma:web="4efbec97-fde3-4879-8f16-c9b0dfc21485">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3c588f23-1e2d-45ba-a9b1-ef249f9a459b}" ma:internalName="TaxCatchAllLabel" ma:readOnly="true" ma:showField="CatchAllDataLabel" ma:web="4efbec97-fde3-4879-8f16-c9b0dfc21485">
      <xsd:complexType>
        <xsd:complexContent>
          <xsd:extension base="dms:MultiChoiceLookup">
            <xsd:sequence>
              <xsd:element name="Value" type="dms:Lookup" maxOccurs="unbounded" minOccurs="0" nillable="true"/>
            </xsd:sequence>
          </xsd:extension>
        </xsd:complexContent>
      </xsd:complexType>
    </xsd:element>
    <xsd:element name="Access_x0020_to_x0020_Information_x00a0_Policy" ma:index="15"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20 years"/>
          <xsd:enumeration value="Disclosed Over Time – 10 years"/>
          <xsd:enumeration value="Public"/>
          <xsd:enumeration value="Public - Simultaneous Disclosure"/>
        </xsd:restriction>
      </xsd:simpleType>
    </xsd:element>
    <xsd:element name="j65ec2e3a7e44c39a1acebfd2a19200a" ma:index="16" ma:taxonomy="true" ma:internalName="j65ec2e3a7e44c39a1acebfd2a19200a" ma:taxonomyFieldName="Series_x0020_Corporate_x0020_IDB" ma:displayName="Series Corporate IDB" ma:readOnly="false" ma:default="" ma:fieldId="{365ec2e3-a7e4-4c39-a1ac-ebfd2a19200a}" ma:sspId="ae61f9b1-e23d-4f49-b3d7-56b991556c4b" ma:termSetId="309dd783-e737-4304-818f-f24bd2ff36bb" ma:anchorId="00000000-0000-0000-0000-000000000000" ma:open="false" ma:isKeyword="false">
      <xsd:complexType>
        <xsd:sequence>
          <xsd:element ref="pc:Terms" minOccurs="0" maxOccurs="1"/>
        </xsd:sequence>
      </xsd:complexType>
    </xsd:element>
    <xsd:element name="Webtopic" ma:index="18" nillable="true" ma:displayName="Webtopic" ma:internalName="Webtopic">
      <xsd:simpleType>
        <xsd:restriction base="dms:Text">
          <xsd:maxLength value="255"/>
        </xsd:restriction>
      </xsd:simpleType>
    </xsd:element>
    <xsd:element name="Disclosure_x0020_Activity" ma:index="19" ma:displayName="Disclosure Activity" ma:internalName="Disclosure_x0020_Activity" ma:readOnly="false">
      <xsd:simpleType>
        <xsd:restriction base="dms:Text">
          <xsd:maxLength value="255"/>
        </xsd:restriction>
      </xsd:simpleType>
    </xsd:element>
    <xsd:element name="Document_x0020_Language_x0020_IDB" ma:index="20" ma:displayName="Document Language IDB" ma:format="Dropdown" ma:internalName="Document_x0020_Language_x0020_IDB" ma:readOnly="false">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Division_x0020_or_x0020_Unit" ma:index="21" nillable="true" ma:displayName="Division or Unit" ma:internalName="Division_x0020_or_x0020_Unit">
      <xsd:simpleType>
        <xsd:restriction base="dms:Text">
          <xsd:maxLength value="255"/>
        </xsd:restriction>
      </xsd:simpleType>
    </xsd:element>
    <xsd:element name="Document_x0020_Author" ma:index="22" nillable="true" ma:displayName="Document Author" ma:internalName="Document_x0020_Author">
      <xsd:simpleType>
        <xsd:restriction base="dms:Text">
          <xsd:maxLength value="255"/>
        </xsd:restriction>
      </xsd:simpleType>
    </xsd:element>
    <xsd:element name="Other_x0020_Author" ma:index="23" nillable="true" ma:displayName="Other Author" ma:internalName="Other_x0020_Author">
      <xsd:simpleType>
        <xsd:restriction base="dms:Text">
          <xsd:maxLength value="255"/>
        </xsd:restriction>
      </xsd:simpleType>
    </xsd:element>
    <xsd:element name="ic46d7e087fd4a108fb86518ca413cc6" ma:index="24"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Identifier" ma:index="26" nillable="true" ma:displayName="Identifier" ma:internalName="Identifier">
      <xsd:simpleType>
        <xsd:restriction base="dms:Text">
          <xsd:maxLength value="255"/>
        </xsd:restriction>
      </xsd:simpleType>
    </xsd:element>
    <xsd:element name="IDBDocs_x0020_Number" ma:index="27" nillable="true" ma:displayName="IDBDocs Number" ma:description="Brought over as part of Migration" ma:internalName="IDBDocs_x0020_Number" ma:readOnly="false">
      <xsd:simpleType>
        <xsd:restriction base="dms:Text">
          <xsd:maxLength value="255"/>
        </xsd:restriction>
      </xsd:simpleType>
    </xsd:element>
    <xsd:element name="Migration_x0020_Info" ma:index="28" nillable="true" ma:displayName="Migration Info" ma:internalName="Migration_x0020_Info" ma:readOnly="false">
      <xsd:simpleType>
        <xsd:restriction base="dms:Note"/>
      </xsd:simpleType>
    </xsd:element>
    <xsd:element name="Abstract" ma:index="29" nillable="true" ma:displayName="Abstract" ma:internalName="Abstract">
      <xsd:simpleType>
        <xsd:restriction base="dms:Note"/>
      </xsd:simpleType>
    </xsd:element>
    <xsd:element name="Editor1" ma:index="30" nillable="true" ma:displayName="Editor" ma:internalName="Editor1">
      <xsd:simpleType>
        <xsd:restriction base="dms:Text">
          <xsd:maxLength value="255"/>
        </xsd:restriction>
      </xsd:simpleType>
    </xsd:element>
    <xsd:element name="Issue_x0020_Date" ma:index="31" nillable="true" ma:displayName="Issue Date" ma:format="DateOnly" ma:internalName="Issue_x0020_Date">
      <xsd:simpleType>
        <xsd:restriction base="dms:DateTime"/>
      </xsd:simpleType>
    </xsd:element>
    <xsd:element name="Publishing_x0020_House" ma:index="32" nillable="true" ma:displayName="Publishing House" ma:internalName="Publishing_x0020_House">
      <xsd:simpleType>
        <xsd:restriction base="dms:Text">
          <xsd:maxLength value="255"/>
        </xsd:restriction>
      </xsd:simpleType>
    </xsd:element>
    <xsd:element name="KP_x0020_Topics" ma:index="33" nillable="true" ma:displayName="KP Topics" ma:internalName="KP_x0020_Topics">
      <xsd:simpleType>
        <xsd:restriction base="dms:Text">
          <xsd:maxLength value="255"/>
        </xsd:restriction>
      </xsd:simpleType>
    </xsd:element>
    <xsd:element name="Region" ma:index="34" nillable="true" ma:displayName="Region" ma:internalName="Region">
      <xsd:simpleType>
        <xsd:restriction base="dms:Text">
          <xsd:maxLength value="255"/>
        </xsd:restriction>
      </xsd:simpleType>
    </xsd:element>
    <xsd:element name="Publication_x0020_Type" ma:index="35" nillable="true" ma:displayName="Publication Type" ma:internalName="Publication_x0020_Type">
      <xsd:simpleType>
        <xsd:restriction base="dms:Text">
          <xsd:maxLength value="255"/>
        </xsd:restriction>
      </xsd:simpleType>
    </xsd:element>
    <xsd:element name="SISCOR_x0020_Number" ma:index="36" nillable="true" ma:displayName="SISCOR Number" ma:internalName="SISCOR_x0020_Number" ma:readOnly="false">
      <xsd:simpleType>
        <xsd:restriction base="dms:Text">
          <xsd:maxLength value="255"/>
        </xsd:restriction>
      </xsd:simpleType>
    </xsd:element>
    <xsd:element name="Fiscal_x0020_Year_x0020_IDB" ma:index="37" nillable="true" ma:displayName="Fiscal Year IDB" ma:default="=TEXT(TODAY(),&quot;yyyy&quot;)" ma:internalName="Fiscal_x0020_Year_x0020_IDB" ma:readOnly="false">
      <xsd:simpleType>
        <xsd:restriction base="dms:Text">
          <xsd:maxLength value="255"/>
        </xsd:restriction>
      </xsd:simpleType>
    </xsd:element>
    <xsd:element name="Disclosed" ma:index="38" nillable="true" ma:displayName="Disclosed" ma:default="0" ma:internalName="Disclos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ae61f9b1-e23d-4f49-b3d7-56b991556c4b" ContentTypeId="0x01010066B06E59AB175241BBFB297522263BEB"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FormUrls xmlns="http://schemas.microsoft.com/sharepoint/v3/contenttype/forms/url">
  <Display>_catalogs/masterpage/ECMForms/DisclosureCorporateCT/View.aspx</Display>
  <Edit>_catalogs/masterpage/ECMForms/DisclosureCorporateCT/Edit.aspx</Edit>
</FormUrls>
</file>

<file path=customXml/item6.xml><?xml version="1.0" encoding="utf-8"?>
<p:properties xmlns:p="http://schemas.microsoft.com/office/2006/metadata/properties" xmlns:xsi="http://www.w3.org/2001/XMLSchema-instance" xmlns:pc="http://schemas.microsoft.com/office/infopath/2007/PartnerControls">
  <documentManagement>
    <Access_x0020_to_x0020_Information_x00a0_Policy xmlns="cdc7663a-08f0-4737-9e8c-148ce897a09c">Public</Access_x0020_to_x0020_Information_x00a0_Policy>
    <SISCOR_x0020_Number xmlns="cdc7663a-08f0-4737-9e8c-148ce897a09c" xsi:nil="true"/>
    <IDBDocs_x0020_Number xmlns="cdc7663a-08f0-4737-9e8c-148ce897a09c" xsi:nil="true"/>
    <ic46d7e087fd4a108fb86518ca413cc6 xmlns="cdc7663a-08f0-4737-9e8c-148ce897a09c">
      <Terms xmlns="http://schemas.microsoft.com/office/infopath/2007/PartnerControls"/>
    </ic46d7e087fd4a108fb86518ca413cc6>
    <Division_x0020_or_x0020_Unit xmlns="cdc7663a-08f0-4737-9e8c-148ce897a09c">RES/RES</Division_x0020_or_x0020_Unit>
    <Fiscal_x0020_Year_x0020_IDB xmlns="cdc7663a-08f0-4737-9e8c-148ce897a09c">2017</Fiscal_x0020_Year_x0020_IDB>
    <Other_x0020_Author xmlns="cdc7663a-08f0-4737-9e8c-148ce897a09c" xsi:nil="true"/>
    <Migration_x0020_Info xmlns="cdc7663a-08f0-4737-9e8c-148ce897a09c" xsi:nil="true"/>
    <j65ec2e3a7e44c39a1acebfd2a19200a xmlns="cdc7663a-08f0-4737-9e8c-148ce897a09c">
      <Terms xmlns="http://schemas.microsoft.com/office/infopath/2007/PartnerControls">
        <TermInfo xmlns="http://schemas.microsoft.com/office/infopath/2007/PartnerControls">
          <TermName xmlns="http://schemas.microsoft.com/office/infopath/2007/PartnerControls">Bank Publication</TermName>
          <TermId xmlns="http://schemas.microsoft.com/office/infopath/2007/PartnerControls">fc6345be-1db9-4725-8b96-f5e295384842</TermId>
        </TermInfo>
      </Terms>
    </j65ec2e3a7e44c39a1acebfd2a19200a>
    <Document_x0020_Author xmlns="cdc7663a-08f0-4737-9e8c-148ce897a09c">Bazan Milla, Monica</Document_x0020_Author>
    <Document_x0020_Language_x0020_IDB xmlns="cdc7663a-08f0-4737-9e8c-148ce897a09c">English</Document_x0020_Language_x0020_IDB>
    <TaxCatchAll xmlns="cdc7663a-08f0-4737-9e8c-148ce897a09c">
      <Value>32</Value>
      <Value>31</Value>
    </TaxCatchAll>
    <Identifier xmlns="cdc7663a-08f0-4737-9e8c-148ce897a09c" xsi:nil="true"/>
    <cf0f1ca6d90e4583ad80995bcde0e58a xmlns="cdc7663a-08f0-4737-9e8c-148ce897a09c">
      <Terms xmlns="http://schemas.microsoft.com/office/infopath/2007/PartnerControls">
        <TermInfo xmlns="http://schemas.microsoft.com/office/infopath/2007/PartnerControls">
          <TermName xmlns="http://schemas.microsoft.com/office/infopath/2007/PartnerControls">Public Relations</TermName>
          <TermId xmlns="http://schemas.microsoft.com/office/infopath/2007/PartnerControls">3421ef45-bcc2-4a37-b651-0e4af6c06c72</TermId>
        </TermInfo>
      </Terms>
    </cf0f1ca6d90e4583ad80995bcde0e58a>
    <_dlc_DocId xmlns="cdc7663a-08f0-4737-9e8c-148ce897a09c">EZSHARE-1728116555-3150</_dlc_DocId>
    <_dlc_DocIdUrl xmlns="cdc7663a-08f0-4737-9e8c-148ce897a09c">
      <Url>https://idbg.sharepoint.com/teams/ez-VPS/Pub/IDBPub/_layouts/15/DocIdRedir.aspx?ID=EZSHARE-1728116555-3150</Url>
      <Description>EZSHARE-1728116555-3150</Description>
    </_dlc_DocIdUrl>
    <Disclosure_x0020_Activity xmlns="cdc7663a-08f0-4737-9e8c-148ce897a09c">NON-APPLICABLE</Disclosure_x0020_Activity>
    <Issue_x0020_Date xmlns="cdc7663a-08f0-4737-9e8c-148ce897a09c" xsi:nil="true"/>
    <KP_x0020_Topics xmlns="cdc7663a-08f0-4737-9e8c-148ce897a09c" xsi:nil="true"/>
    <Disclosed xmlns="cdc7663a-08f0-4737-9e8c-148ce897a09c">true</Disclosed>
    <Publication_x0020_Type xmlns="cdc7663a-08f0-4737-9e8c-148ce897a09c" xsi:nil="true"/>
    <Editor1 xmlns="cdc7663a-08f0-4737-9e8c-148ce897a09c" xsi:nil="true"/>
    <Region xmlns="cdc7663a-08f0-4737-9e8c-148ce897a09c" xsi:nil="true"/>
    <Webtopic xmlns="cdc7663a-08f0-4737-9e8c-148ce897a09c" xsi:nil="true"/>
    <Abstract xmlns="cdc7663a-08f0-4737-9e8c-148ce897a09c" xsi:nil="true"/>
    <Publishing_x0020_House xmlns="cdc7663a-08f0-4737-9e8c-148ce897a09c" xsi:nil="true"/>
  </documentManagement>
</p:properties>
</file>

<file path=customXml/itemProps1.xml><?xml version="1.0" encoding="utf-8"?>
<ds:datastoreItem xmlns:ds="http://schemas.openxmlformats.org/officeDocument/2006/customXml" ds:itemID="{6C4B5A6F-F787-4AE6-820D-B9F186DD6F07}"/>
</file>

<file path=customXml/itemProps2.xml><?xml version="1.0" encoding="utf-8"?>
<ds:datastoreItem xmlns:ds="http://schemas.openxmlformats.org/officeDocument/2006/customXml" ds:itemID="{88FE2475-7C46-4E2E-837A-EFF4A0E3253F}"/>
</file>

<file path=customXml/itemProps3.xml><?xml version="1.0" encoding="utf-8"?>
<ds:datastoreItem xmlns:ds="http://schemas.openxmlformats.org/officeDocument/2006/customXml" ds:itemID="{3F360821-2200-404A-832B-C20A27CE4453}"/>
</file>

<file path=customXml/itemProps4.xml><?xml version="1.0" encoding="utf-8"?>
<ds:datastoreItem xmlns:ds="http://schemas.openxmlformats.org/officeDocument/2006/customXml" ds:itemID="{6744DDA3-4F79-474A-9675-1E2B60E951C2}"/>
</file>

<file path=customXml/itemProps5.xml><?xml version="1.0" encoding="utf-8"?>
<ds:datastoreItem xmlns:ds="http://schemas.openxmlformats.org/officeDocument/2006/customXml" ds:itemID="{A72A7FAA-FBAE-4034-8130-E4C37095DCA7}"/>
</file>

<file path=customXml/itemProps6.xml><?xml version="1.0" encoding="utf-8"?>
<ds:datastoreItem xmlns:ds="http://schemas.openxmlformats.org/officeDocument/2006/customXml" ds:itemID="{45163B49-F819-430B-A3C8-B18992FEE7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35</vt:i4>
      </vt:variant>
      <vt:variant>
        <vt:lpstr>Charts</vt:lpstr>
      </vt:variant>
      <vt:variant>
        <vt:i4>3</vt:i4>
      </vt:variant>
      <vt:variant>
        <vt:lpstr>Named Ranges</vt:lpstr>
      </vt:variant>
      <vt:variant>
        <vt:i4>37</vt:i4>
      </vt:variant>
    </vt:vector>
  </HeadingPairs>
  <TitlesOfParts>
    <vt:vector size="75" baseType="lpstr">
      <vt:lpstr>Cover</vt:lpstr>
      <vt:lpstr>Country Selection</vt:lpstr>
      <vt:lpstr>2. Summary</vt:lpstr>
      <vt:lpstr>F3.1</vt:lpstr>
      <vt:lpstr>F3.2</vt:lpstr>
      <vt:lpstr>F3.3</vt:lpstr>
      <vt:lpstr>F3.4</vt:lpstr>
      <vt:lpstr>F3.7</vt:lpstr>
      <vt:lpstr>F4.1</vt:lpstr>
      <vt:lpstr>F4.2</vt:lpstr>
      <vt:lpstr>F4.3</vt:lpstr>
      <vt:lpstr>F4.5</vt:lpstr>
      <vt:lpstr>T4.1</vt:lpstr>
      <vt:lpstr>T4.3</vt:lpstr>
      <vt:lpstr>F4.8</vt:lpstr>
      <vt:lpstr>F4.9</vt:lpstr>
      <vt:lpstr>T5.1</vt:lpstr>
      <vt:lpstr>F5.3</vt:lpstr>
      <vt:lpstr>T7.5</vt:lpstr>
      <vt:lpstr>T8.1</vt:lpstr>
      <vt:lpstr>T8.2</vt:lpstr>
      <vt:lpstr>F8.1</vt:lpstr>
      <vt:lpstr>T8.3</vt:lpstr>
      <vt:lpstr>F8.2</vt:lpstr>
      <vt:lpstr>F9.1</vt:lpstr>
      <vt:lpstr>F9.3</vt:lpstr>
      <vt:lpstr>F9.4</vt:lpstr>
      <vt:lpstr>F9.5</vt:lpstr>
      <vt:lpstr>F9.6</vt:lpstr>
      <vt:lpstr>F9.7</vt:lpstr>
      <vt:lpstr>F10.2</vt:lpstr>
      <vt:lpstr>F10.3</vt:lpstr>
      <vt:lpstr>F10.4</vt:lpstr>
      <vt:lpstr>F10.5</vt:lpstr>
      <vt:lpstr>F10.6</vt:lpstr>
      <vt:lpstr>F5.8</vt:lpstr>
      <vt:lpstr>F7.1</vt:lpstr>
      <vt:lpstr>F7.2</vt:lpstr>
      <vt:lpstr>'2. Summary'!_ftn1</vt:lpstr>
      <vt:lpstr>'2. Summary'!_ftn2</vt:lpstr>
      <vt:lpstr>'2. Summary'!_ftn3</vt:lpstr>
      <vt:lpstr>'2. Summary'!_ftnref1</vt:lpstr>
      <vt:lpstr>'2. Summary'!Print_Area</vt:lpstr>
      <vt:lpstr>F10.2!Print_Area</vt:lpstr>
      <vt:lpstr>F10.3!Print_Area</vt:lpstr>
      <vt:lpstr>F10.4!Print_Area</vt:lpstr>
      <vt:lpstr>F10.5!Print_Area</vt:lpstr>
      <vt:lpstr>F10.6!Print_Area</vt:lpstr>
      <vt:lpstr>F3.1!Print_Area</vt:lpstr>
      <vt:lpstr>F3.2!Print_Area</vt:lpstr>
      <vt:lpstr>F3.3!Print_Area</vt:lpstr>
      <vt:lpstr>F3.4!Print_Area</vt:lpstr>
      <vt:lpstr>F3.7!Print_Area</vt:lpstr>
      <vt:lpstr>F4.1!Print_Area</vt:lpstr>
      <vt:lpstr>F4.2!Print_Area</vt:lpstr>
      <vt:lpstr>F4.3!Print_Area</vt:lpstr>
      <vt:lpstr>F4.5!Print_Area</vt:lpstr>
      <vt:lpstr>F4.8!Print_Area</vt:lpstr>
      <vt:lpstr>F4.9!Print_Area</vt:lpstr>
      <vt:lpstr>F5.3!Print_Area</vt:lpstr>
      <vt:lpstr>F8.1!Print_Area</vt:lpstr>
      <vt:lpstr>F8.2!Print_Area</vt:lpstr>
      <vt:lpstr>F9.1!Print_Area</vt:lpstr>
      <vt:lpstr>F9.3!Print_Area</vt:lpstr>
      <vt:lpstr>F9.4!Print_Area</vt:lpstr>
      <vt:lpstr>F9.5!Print_Area</vt:lpstr>
      <vt:lpstr>F9.6!Print_Area</vt:lpstr>
      <vt:lpstr>F9.7!Print_Area</vt:lpstr>
      <vt:lpstr>T4.1!Print_Area</vt:lpstr>
      <vt:lpstr>T4.3!Print_Area</vt:lpstr>
      <vt:lpstr>T5.1!Print_Area</vt:lpstr>
      <vt:lpstr>T7.5!Print_Area</vt:lpstr>
      <vt:lpstr>T8.1!Print_Area</vt:lpstr>
      <vt:lpstr>T8.2!Print_Area</vt:lpstr>
      <vt:lpstr>T8.3!Print_Area</vt:lpstr>
    </vt:vector>
  </TitlesOfParts>
  <Company>Inter-American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IADB</dc:creator>
  <cp:keywords/>
  <cp:lastModifiedBy>Colonne, Susana</cp:lastModifiedBy>
  <cp:lastPrinted>2017-05-31T15:03:52Z</cp:lastPrinted>
  <dcterms:created xsi:type="dcterms:W3CDTF">2017-02-13T18:45:52Z</dcterms:created>
  <dcterms:modified xsi:type="dcterms:W3CDTF">2017-08-25T15:50:48Z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dlc_DocIdItemGuid">
    <vt:lpwstr>d04a7f67-07d8-4f73-9c23-6f62b825b56f</vt:lpwstr>
  </property>
  <property fmtid="{D5CDD505-2E9C-101B-9397-08002B2CF9AE}" pid="4" name="TaxKeyword">
    <vt:lpwstr/>
  </property>
  <property fmtid="{D5CDD505-2E9C-101B-9397-08002B2CF9AE}" pid="5" name="Series Corporate IDB">
    <vt:lpwstr>32;#Bank Publication|fc6345be-1db9-4725-8b96-f5e295384842</vt:lpwstr>
  </property>
  <property fmtid="{D5CDD505-2E9C-101B-9397-08002B2CF9AE}" pid="6" name="Function Corporate IDB">
    <vt:lpwstr>31;#Public Relations|3421ef45-bcc2-4a37-b651-0e4af6c06c72</vt:lpwstr>
  </property>
  <property fmtid="{D5CDD505-2E9C-101B-9397-08002B2CF9AE}" pid="7" name="TaxKeywordTaxHTField">
    <vt:lpwstr/>
  </property>
  <property fmtid="{D5CDD505-2E9C-101B-9397-08002B2CF9AE}" pid="8" name="Country">
    <vt:lpwstr/>
  </property>
  <property fmtid="{D5CDD505-2E9C-101B-9397-08002B2CF9AE}" pid="9" name="ContentTypeId">
    <vt:lpwstr>0x01010066B06E59AB175241BBFB297522263BEB0058836F66A07D664EA358AAC86C289FCA</vt:lpwstr>
  </property>
</Properties>
</file>