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2370" yWindow="1545" windowWidth="12120" windowHeight="9120" tabRatio="626" firstSheet="5" activeTab="12"/>
  </bookViews>
  <sheets>
    <sheet name="uxb_profile4" sheetId="29" state="hidden" r:id="rId1"/>
    <sheet name="Title page" sheetId="15" r:id="rId2"/>
    <sheet name="Summary_2" sheetId="25" state="hidden" r:id="rId3"/>
    <sheet name="Rankings summary" sheetId="28" r:id="rId4"/>
    <sheet name="Scatter" sheetId="14" r:id="rId5"/>
    <sheet name="Indicator_ranking" sheetId="10" r:id="rId6"/>
    <sheet name="uxb_rank" sheetId="6" state="hidden" r:id="rId7"/>
    <sheet name="CountryProfile" sheetId="18" r:id="rId8"/>
    <sheet name="uxb_profile" sheetId="17" state="hidden" r:id="rId9"/>
    <sheet name="CountrySplit" sheetId="33" state="hidden" r:id="rId10"/>
    <sheet name="CountryData" sheetId="30" state="hidden" r:id="rId11"/>
    <sheet name="CountryCompare" sheetId="31" r:id="rId12"/>
    <sheet name="Weights" sheetId="5" r:id="rId13"/>
    <sheet name="Data" sheetId="4" r:id="rId14"/>
    <sheet name="Scores" sheetId="3" r:id="rId15"/>
    <sheet name="Text" sheetId="32" state="hidden" r:id="rId16"/>
    <sheet name="tblIndicators" sheetId="2" state="hidden" r:id="rId17"/>
    <sheet name="uxb_weights" sheetId="27" state="hidden" r:id="rId18"/>
    <sheet name="tblSections" sheetId="8" state="hidden" r:id="rId19"/>
    <sheet name="uxb_summary_rank" sheetId="24" state="hidden" r:id="rId20"/>
    <sheet name="uxb_scatter" sheetId="13" state="hidden" r:id="rId21"/>
    <sheet name="uxb_profile2" sheetId="20" state="hidden" r:id="rId22"/>
    <sheet name="tblCountries" sheetId="1" state="hidden" r:id="rId23"/>
    <sheet name="uxb_profile3" sheetId="22" state="hidden" r:id="rId24"/>
    <sheet name="uxb_secrank" sheetId="9" state="hidden" r:id="rId25"/>
    <sheet name="uxb_works" sheetId="7" state="hidden" r:id="rId26"/>
    <sheet name="CountryProfile3" sheetId="19" state="hidden" r:id="rId27"/>
  </sheets>
  <definedNames>
    <definedName name="cityName">tblCountries!$G$6:$G$24</definedName>
    <definedName name="cityRegionFilter">tblCountries!$I$6:$I$24</definedName>
    <definedName name="cityRegionHighlight">tblCountries!$J$6:$J$24</definedName>
    <definedName name="countryName">tblCountries!$E$6:$E$24</definedName>
    <definedName name="data">Data!$F$7:$X$109</definedName>
    <definedName name="indi_code">tblIndicators!$A$2:$A$45</definedName>
    <definedName name="indi_dependent">tblIndicators!$H$30:$H$33</definedName>
    <definedName name="indi_formatted">tblIndicators!$P$2:$P$45</definedName>
    <definedName name="indi_formatted2">tblIndicators!$P$2:$P$25</definedName>
    <definedName name="indi_short">tblIndicators!$H$2:$H$45</definedName>
    <definedName name="indiFull">tblIndicators!$Q$2:$Q$45</definedName>
    <definedName name="indiGoodBad">tblIndicators!$G$2:$G$45</definedName>
    <definedName name="indiUnit">tblIndicators!$I$2:$I$45</definedName>
    <definedName name="regionDD">uxb_works!$B$36:$B$41</definedName>
    <definedName name="regionDD2">uxb_works!$B$37:$B$41</definedName>
    <definedName name="score_indicode">Scores!$B$7:$B$91</definedName>
    <definedName name="scores">Scores!$S$7:$AK$91</definedName>
    <definedName name="text">Text!$F$7:$Y$42</definedName>
    <definedName name="WeightsPercent">Scores!$Q$7:$Q$46</definedName>
    <definedName name="WeightsValues" localSheetId="11">OFFSET(WeightsCode,0,4)</definedName>
    <definedName name="WeightsValues" localSheetId="10">OFFSET(WeightsCode,0,4)</definedName>
    <definedName name="WeightsValues" localSheetId="9">OFFSET(WeightsCode,0,4)</definedName>
    <definedName name="WeightsValues" localSheetId="0">OFFSET(WeightsCode,0,4)</definedName>
    <definedName name="WeightsValues" localSheetId="19">OFFSET(WeightsCode,0,4)</definedName>
    <definedName name="WeightsValues">OFFSET(WeightsCode,0,4)</definedName>
  </definedNames>
  <calcPr calcId="114210"/>
</workbook>
</file>

<file path=xl/calcChain.xml><?xml version="1.0" encoding="utf-8"?>
<calcChain xmlns="http://schemas.openxmlformats.org/spreadsheetml/2006/main">
  <c r="O6" i="7"/>
  <c r="B19"/>
  <c r="E34" i="10"/>
  <c r="C6" i="7"/>
  <c r="M6"/>
  <c r="B16"/>
  <c r="E30" i="10"/>
  <c r="E9" i="3"/>
  <c r="H9"/>
  <c r="F9"/>
  <c r="G9"/>
  <c r="S9"/>
  <c r="E10"/>
  <c r="H10"/>
  <c r="F10"/>
  <c r="G10"/>
  <c r="S10"/>
  <c r="E11"/>
  <c r="H11"/>
  <c r="F11"/>
  <c r="G11"/>
  <c r="S11"/>
  <c r="E12"/>
  <c r="H12"/>
  <c r="F12"/>
  <c r="G12"/>
  <c r="S12"/>
  <c r="E14"/>
  <c r="H14"/>
  <c r="F14"/>
  <c r="G14"/>
  <c r="S14"/>
  <c r="E15"/>
  <c r="H15"/>
  <c r="F15"/>
  <c r="G15"/>
  <c r="S15"/>
  <c r="E17"/>
  <c r="H17"/>
  <c r="F17"/>
  <c r="G17"/>
  <c r="S17"/>
  <c r="E18"/>
  <c r="H18"/>
  <c r="F18"/>
  <c r="G18"/>
  <c r="S18"/>
  <c r="E19"/>
  <c r="H19"/>
  <c r="F19"/>
  <c r="G19"/>
  <c r="S19"/>
  <c r="E20"/>
  <c r="H20"/>
  <c r="I20"/>
  <c r="J20"/>
  <c r="K20"/>
  <c r="S20"/>
  <c r="E21"/>
  <c r="H21"/>
  <c r="I21"/>
  <c r="J21"/>
  <c r="K21"/>
  <c r="S21"/>
  <c r="E23"/>
  <c r="H23"/>
  <c r="I23"/>
  <c r="J23"/>
  <c r="K23"/>
  <c r="S23"/>
  <c r="E24"/>
  <c r="H24"/>
  <c r="I24"/>
  <c r="J24"/>
  <c r="K24"/>
  <c r="S24"/>
  <c r="E25"/>
  <c r="H25"/>
  <c r="I25"/>
  <c r="J25"/>
  <c r="K25"/>
  <c r="S25"/>
  <c r="E27"/>
  <c r="H27"/>
  <c r="F27"/>
  <c r="G27"/>
  <c r="S27"/>
  <c r="E28"/>
  <c r="H28"/>
  <c r="F28"/>
  <c r="G28"/>
  <c r="S28"/>
  <c r="E29"/>
  <c r="H29"/>
  <c r="F29"/>
  <c r="G29"/>
  <c r="S29"/>
  <c r="E30"/>
  <c r="H30"/>
  <c r="F30"/>
  <c r="G30"/>
  <c r="S30"/>
  <c r="E26"/>
  <c r="B26"/>
  <c r="C27"/>
  <c r="B27"/>
  <c r="C4" i="5"/>
  <c r="C5"/>
  <c r="C6"/>
  <c r="C7"/>
  <c r="C8"/>
  <c r="C11"/>
  <c r="C12"/>
  <c r="C13"/>
  <c r="C14"/>
  <c r="C15"/>
  <c r="C16"/>
  <c r="C17"/>
  <c r="C18"/>
  <c r="C19"/>
  <c r="C20"/>
  <c r="C21"/>
  <c r="C22"/>
  <c r="C23"/>
  <c r="C24"/>
  <c r="C25"/>
  <c r="C26"/>
  <c r="C27"/>
  <c r="C28"/>
  <c r="C29"/>
  <c r="C30"/>
  <c r="L27" i="3"/>
  <c r="M27"/>
  <c r="C30"/>
  <c r="C29"/>
  <c r="C28"/>
  <c r="C26"/>
  <c r="C25"/>
  <c r="C24"/>
  <c r="C23"/>
  <c r="C22"/>
  <c r="C21"/>
  <c r="C20"/>
  <c r="C19"/>
  <c r="C18"/>
  <c r="C17"/>
  <c r="C16"/>
  <c r="C15"/>
  <c r="C14"/>
  <c r="C13"/>
  <c r="C12"/>
  <c r="C11"/>
  <c r="C10"/>
  <c r="C9"/>
  <c r="C8"/>
  <c r="C7"/>
  <c r="C6"/>
  <c r="B28"/>
  <c r="C31" i="5"/>
  <c r="L28" i="3"/>
  <c r="M28"/>
  <c r="B29"/>
  <c r="C32" i="5"/>
  <c r="L29" i="3"/>
  <c r="M29"/>
  <c r="B30"/>
  <c r="C33" i="5"/>
  <c r="L30" i="3"/>
  <c r="M30"/>
  <c r="N27"/>
  <c r="Q27"/>
  <c r="N28"/>
  <c r="Q28"/>
  <c r="N29"/>
  <c r="Q29"/>
  <c r="N30"/>
  <c r="Q30"/>
  <c r="S26"/>
  <c r="E22"/>
  <c r="B22"/>
  <c r="B23"/>
  <c r="L23"/>
  <c r="M23"/>
  <c r="B24"/>
  <c r="L24"/>
  <c r="M24"/>
  <c r="B25"/>
  <c r="L25"/>
  <c r="M25"/>
  <c r="N23"/>
  <c r="Q23"/>
  <c r="N24"/>
  <c r="Q24"/>
  <c r="N25"/>
  <c r="Q25"/>
  <c r="L26"/>
  <c r="M26"/>
  <c r="B8"/>
  <c r="L8"/>
  <c r="M8"/>
  <c r="B13"/>
  <c r="L13"/>
  <c r="M13"/>
  <c r="B16"/>
  <c r="L16"/>
  <c r="M16"/>
  <c r="L22"/>
  <c r="M22"/>
  <c r="N26"/>
  <c r="Q26"/>
  <c r="S22"/>
  <c r="E16"/>
  <c r="B17"/>
  <c r="L17"/>
  <c r="M17"/>
  <c r="B18"/>
  <c r="L18"/>
  <c r="M18"/>
  <c r="B19"/>
  <c r="L19"/>
  <c r="M19"/>
  <c r="B20"/>
  <c r="L20"/>
  <c r="M20"/>
  <c r="B21"/>
  <c r="L21"/>
  <c r="M21"/>
  <c r="N17"/>
  <c r="Q17"/>
  <c r="N18"/>
  <c r="Q18"/>
  <c r="N19"/>
  <c r="Q19"/>
  <c r="N20"/>
  <c r="Q20"/>
  <c r="N21"/>
  <c r="Q21"/>
  <c r="N22"/>
  <c r="Q22"/>
  <c r="S16"/>
  <c r="E13"/>
  <c r="B14"/>
  <c r="L14"/>
  <c r="M14"/>
  <c r="B15"/>
  <c r="L15"/>
  <c r="M15"/>
  <c r="N14"/>
  <c r="Q14"/>
  <c r="N15"/>
  <c r="Q15"/>
  <c r="N16"/>
  <c r="Q16"/>
  <c r="S13"/>
  <c r="E8"/>
  <c r="B9"/>
  <c r="L9"/>
  <c r="M9"/>
  <c r="B10"/>
  <c r="L10"/>
  <c r="M10"/>
  <c r="B11"/>
  <c r="L11"/>
  <c r="M11"/>
  <c r="B12"/>
  <c r="L12"/>
  <c r="M12"/>
  <c r="N9"/>
  <c r="Q9"/>
  <c r="N10"/>
  <c r="Q10"/>
  <c r="N11"/>
  <c r="Q11"/>
  <c r="N12"/>
  <c r="Q12"/>
  <c r="N13"/>
  <c r="Q13"/>
  <c r="S8"/>
  <c r="E7"/>
  <c r="B7"/>
  <c r="N8"/>
  <c r="Q8"/>
  <c r="S7"/>
  <c r="A8" i="29"/>
  <c r="B8"/>
  <c r="C8"/>
  <c r="C1"/>
  <c r="H5"/>
  <c r="H8"/>
  <c r="G12" i="31"/>
  <c r="G4"/>
  <c r="D21" i="7"/>
  <c r="D1" i="29"/>
  <c r="I5"/>
  <c r="W9" i="3"/>
  <c r="W10"/>
  <c r="W11"/>
  <c r="W12"/>
  <c r="W14"/>
  <c r="W15"/>
  <c r="W17"/>
  <c r="W18"/>
  <c r="W19"/>
  <c r="W20"/>
  <c r="W21"/>
  <c r="W23"/>
  <c r="W24"/>
  <c r="W25"/>
  <c r="W27"/>
  <c r="W28"/>
  <c r="W29"/>
  <c r="W30"/>
  <c r="W26"/>
  <c r="W22"/>
  <c r="W16"/>
  <c r="W13"/>
  <c r="W8"/>
  <c r="W7"/>
  <c r="U9"/>
  <c r="U10"/>
  <c r="U11"/>
  <c r="U12"/>
  <c r="U14"/>
  <c r="U15"/>
  <c r="U17"/>
  <c r="U18"/>
  <c r="U19"/>
  <c r="U20"/>
  <c r="U21"/>
  <c r="U23"/>
  <c r="U24"/>
  <c r="U25"/>
  <c r="U27"/>
  <c r="U28"/>
  <c r="U29"/>
  <c r="U30"/>
  <c r="U26"/>
  <c r="U22"/>
  <c r="U16"/>
  <c r="U13"/>
  <c r="U8"/>
  <c r="U7"/>
  <c r="I8" i="29"/>
  <c r="H12" i="31"/>
  <c r="H4"/>
  <c r="AB9" i="3"/>
  <c r="AB10"/>
  <c r="AB11"/>
  <c r="AB12"/>
  <c r="AB14"/>
  <c r="AB15"/>
  <c r="AB17"/>
  <c r="AB18"/>
  <c r="AB19"/>
  <c r="AB20"/>
  <c r="AB21"/>
  <c r="AB23"/>
  <c r="AB24"/>
  <c r="AB25"/>
  <c r="AB27"/>
  <c r="AB28"/>
  <c r="AB29"/>
  <c r="AB30"/>
  <c r="AB26"/>
  <c r="AB22"/>
  <c r="AB16"/>
  <c r="AB13"/>
  <c r="AB8"/>
  <c r="AB7"/>
  <c r="E1" i="29"/>
  <c r="J5"/>
  <c r="J8"/>
  <c r="I12" i="31"/>
  <c r="I4"/>
  <c r="A9" i="29"/>
  <c r="B9"/>
  <c r="C9"/>
  <c r="H9"/>
  <c r="G13" i="31"/>
  <c r="G5"/>
  <c r="I9" i="29"/>
  <c r="H13" i="31"/>
  <c r="H5"/>
  <c r="J9" i="29"/>
  <c r="I13" i="31"/>
  <c r="I5"/>
  <c r="A14" i="29"/>
  <c r="B14"/>
  <c r="C14"/>
  <c r="H14"/>
  <c r="G18" i="31"/>
  <c r="G6"/>
  <c r="I14" i="29"/>
  <c r="H18" i="31"/>
  <c r="H6"/>
  <c r="J14" i="29"/>
  <c r="I18" i="31"/>
  <c r="I6"/>
  <c r="A17" i="29"/>
  <c r="B17"/>
  <c r="C17"/>
  <c r="H17"/>
  <c r="G21" i="31"/>
  <c r="G7"/>
  <c r="I17" i="29"/>
  <c r="H21" i="31"/>
  <c r="H7"/>
  <c r="J17" i="29"/>
  <c r="I21" i="31"/>
  <c r="I7"/>
  <c r="A23" i="29"/>
  <c r="B23"/>
  <c r="C23"/>
  <c r="H23"/>
  <c r="G27" i="31"/>
  <c r="G8"/>
  <c r="I23" i="29"/>
  <c r="H27" i="31"/>
  <c r="H8"/>
  <c r="J23" i="29"/>
  <c r="I27" i="31"/>
  <c r="I8"/>
  <c r="A27" i="29"/>
  <c r="B27"/>
  <c r="C27"/>
  <c r="H27"/>
  <c r="G31" i="31"/>
  <c r="G9"/>
  <c r="I27" i="29"/>
  <c r="H31" i="31"/>
  <c r="H9"/>
  <c r="J27" i="29"/>
  <c r="I31" i="31"/>
  <c r="I9"/>
  <c r="T27" i="3"/>
  <c r="T28"/>
  <c r="T29"/>
  <c r="T30"/>
  <c r="T26"/>
  <c r="B21" i="7"/>
  <c r="B1" i="29"/>
  <c r="G5"/>
  <c r="AJ27" i="3"/>
  <c r="AJ28"/>
  <c r="AJ29"/>
  <c r="AJ30"/>
  <c r="AJ26"/>
  <c r="AF27"/>
  <c r="AF28"/>
  <c r="AF29"/>
  <c r="AF30"/>
  <c r="AF26"/>
  <c r="AG27"/>
  <c r="AG28"/>
  <c r="AG29"/>
  <c r="AG30"/>
  <c r="AG26"/>
  <c r="Y27"/>
  <c r="Y28"/>
  <c r="Y29"/>
  <c r="Y30"/>
  <c r="Y26"/>
  <c r="V27"/>
  <c r="V28"/>
  <c r="V29"/>
  <c r="V30"/>
  <c r="V26"/>
  <c r="AD27"/>
  <c r="AD28"/>
  <c r="AD29"/>
  <c r="AD30"/>
  <c r="AD26"/>
  <c r="G27" i="29"/>
  <c r="F31" i="31"/>
  <c r="F9"/>
  <c r="T23" i="3"/>
  <c r="T24"/>
  <c r="T25"/>
  <c r="T22"/>
  <c r="AJ23"/>
  <c r="AJ24"/>
  <c r="AJ25"/>
  <c r="AJ22"/>
  <c r="AF23"/>
  <c r="AF24"/>
  <c r="AF25"/>
  <c r="AF22"/>
  <c r="AG23"/>
  <c r="AG24"/>
  <c r="AG25"/>
  <c r="AG22"/>
  <c r="Y23"/>
  <c r="Y24"/>
  <c r="Y25"/>
  <c r="Y22"/>
  <c r="V23"/>
  <c r="V24"/>
  <c r="V25"/>
  <c r="V22"/>
  <c r="AD23"/>
  <c r="AD24"/>
  <c r="AD25"/>
  <c r="AD22"/>
  <c r="G23" i="29"/>
  <c r="F27" i="31"/>
  <c r="F8"/>
  <c r="T17" i="3"/>
  <c r="T18"/>
  <c r="T19"/>
  <c r="T20"/>
  <c r="T21"/>
  <c r="T16"/>
  <c r="AJ17"/>
  <c r="AJ18"/>
  <c r="AJ19"/>
  <c r="AJ20"/>
  <c r="AJ21"/>
  <c r="AJ16"/>
  <c r="AF17"/>
  <c r="AF18"/>
  <c r="AF19"/>
  <c r="AF20"/>
  <c r="AF21"/>
  <c r="AF16"/>
  <c r="AG17"/>
  <c r="AG18"/>
  <c r="AG19"/>
  <c r="AG20"/>
  <c r="AG21"/>
  <c r="AG16"/>
  <c r="Y17"/>
  <c r="Y18"/>
  <c r="Y19"/>
  <c r="Y20"/>
  <c r="Y21"/>
  <c r="Y16"/>
  <c r="V17"/>
  <c r="V18"/>
  <c r="V19"/>
  <c r="V20"/>
  <c r="V21"/>
  <c r="V16"/>
  <c r="AD17"/>
  <c r="AD18"/>
  <c r="AD19"/>
  <c r="AD20"/>
  <c r="AD21"/>
  <c r="AD16"/>
  <c r="G17" i="29"/>
  <c r="F21" i="31"/>
  <c r="F7"/>
  <c r="T14" i="3"/>
  <c r="T15"/>
  <c r="T13"/>
  <c r="AJ14"/>
  <c r="AJ15"/>
  <c r="AJ13"/>
  <c r="AF14"/>
  <c r="AF15"/>
  <c r="AF13"/>
  <c r="AG14"/>
  <c r="AG15"/>
  <c r="AG13"/>
  <c r="Y14"/>
  <c r="Y15"/>
  <c r="Y13"/>
  <c r="V14"/>
  <c r="V15"/>
  <c r="V13"/>
  <c r="AD14"/>
  <c r="AD15"/>
  <c r="AD13"/>
  <c r="G14" i="29"/>
  <c r="F18" i="31"/>
  <c r="F6"/>
  <c r="T9" i="3"/>
  <c r="T10"/>
  <c r="T11"/>
  <c r="T12"/>
  <c r="T8"/>
  <c r="AJ9"/>
  <c r="AJ10"/>
  <c r="AJ11"/>
  <c r="AJ12"/>
  <c r="AJ8"/>
  <c r="AF9"/>
  <c r="AF10"/>
  <c r="AF11"/>
  <c r="AF12"/>
  <c r="AF8"/>
  <c r="AG9"/>
  <c r="AG10"/>
  <c r="AG11"/>
  <c r="AG12"/>
  <c r="AG8"/>
  <c r="Y9"/>
  <c r="Y10"/>
  <c r="Y11"/>
  <c r="Y12"/>
  <c r="Y8"/>
  <c r="V9"/>
  <c r="V10"/>
  <c r="V11"/>
  <c r="V12"/>
  <c r="V8"/>
  <c r="AD9"/>
  <c r="AD10"/>
  <c r="AD11"/>
  <c r="AD12"/>
  <c r="AD8"/>
  <c r="G9" i="29"/>
  <c r="F13" i="31"/>
  <c r="F5"/>
  <c r="T7" i="3"/>
  <c r="AJ7"/>
  <c r="AF7"/>
  <c r="AG7"/>
  <c r="Y7"/>
  <c r="V7"/>
  <c r="AD7"/>
  <c r="G8" i="29"/>
  <c r="F12" i="31"/>
  <c r="F4"/>
  <c r="D27" i="29"/>
  <c r="E27"/>
  <c r="D31" i="31"/>
  <c r="D9"/>
  <c r="D23" i="29"/>
  <c r="E23"/>
  <c r="D27" i="31"/>
  <c r="D8"/>
  <c r="D17" i="29"/>
  <c r="E17"/>
  <c r="D21" i="31"/>
  <c r="D7"/>
  <c r="D14" i="29"/>
  <c r="E14"/>
  <c r="D18" i="31"/>
  <c r="D6"/>
  <c r="D9" i="29"/>
  <c r="E9"/>
  <c r="D13" i="31"/>
  <c r="D5"/>
  <c r="D8" i="29"/>
  <c r="E8"/>
  <c r="D12" i="31"/>
  <c r="D4"/>
  <c r="A10" i="29"/>
  <c r="B10"/>
  <c r="C10"/>
  <c r="G10"/>
  <c r="H10"/>
  <c r="I10"/>
  <c r="J10"/>
  <c r="A11"/>
  <c r="B11"/>
  <c r="C11"/>
  <c r="G11"/>
  <c r="H11"/>
  <c r="I11"/>
  <c r="J11"/>
  <c r="A12"/>
  <c r="B12"/>
  <c r="C12"/>
  <c r="G12"/>
  <c r="H12"/>
  <c r="I12"/>
  <c r="J12"/>
  <c r="A13"/>
  <c r="B13"/>
  <c r="C13"/>
  <c r="G13"/>
  <c r="H13"/>
  <c r="I13"/>
  <c r="J13"/>
  <c r="A15"/>
  <c r="B15"/>
  <c r="C15"/>
  <c r="G15"/>
  <c r="H15"/>
  <c r="I15"/>
  <c r="J15"/>
  <c r="A16"/>
  <c r="B16"/>
  <c r="C16"/>
  <c r="G16"/>
  <c r="H16"/>
  <c r="I16"/>
  <c r="J16"/>
  <c r="A18"/>
  <c r="B18"/>
  <c r="C18"/>
  <c r="G18"/>
  <c r="H18"/>
  <c r="I18"/>
  <c r="J18"/>
  <c r="A19"/>
  <c r="B19"/>
  <c r="C19"/>
  <c r="G19"/>
  <c r="H19"/>
  <c r="I19"/>
  <c r="J19"/>
  <c r="A20"/>
  <c r="B20"/>
  <c r="C20"/>
  <c r="G20"/>
  <c r="H20"/>
  <c r="I20"/>
  <c r="J20"/>
  <c r="A21"/>
  <c r="B21"/>
  <c r="C21"/>
  <c r="G21"/>
  <c r="H21"/>
  <c r="I21"/>
  <c r="J21"/>
  <c r="A22"/>
  <c r="B22"/>
  <c r="C22"/>
  <c r="G22"/>
  <c r="H22"/>
  <c r="I22"/>
  <c r="J22"/>
  <c r="A24"/>
  <c r="B24"/>
  <c r="C24"/>
  <c r="G24"/>
  <c r="H24"/>
  <c r="I24"/>
  <c r="J24"/>
  <c r="A25"/>
  <c r="B25"/>
  <c r="C25"/>
  <c r="G25"/>
  <c r="H25"/>
  <c r="I25"/>
  <c r="J25"/>
  <c r="A26"/>
  <c r="B26"/>
  <c r="C26"/>
  <c r="G26"/>
  <c r="H26"/>
  <c r="I26"/>
  <c r="J26"/>
  <c r="A28"/>
  <c r="B28"/>
  <c r="C28"/>
  <c r="G28"/>
  <c r="H28"/>
  <c r="I28"/>
  <c r="J28"/>
  <c r="A29"/>
  <c r="B29"/>
  <c r="C29"/>
  <c r="G29"/>
  <c r="H29"/>
  <c r="I29"/>
  <c r="J29"/>
  <c r="A30"/>
  <c r="B30"/>
  <c r="C30"/>
  <c r="G30"/>
  <c r="H30"/>
  <c r="I30"/>
  <c r="J30"/>
  <c r="A31"/>
  <c r="B31"/>
  <c r="C31"/>
  <c r="G31"/>
  <c r="H31"/>
  <c r="I31"/>
  <c r="J31"/>
  <c r="A32"/>
  <c r="B32"/>
  <c r="C32"/>
  <c r="G32"/>
  <c r="H32"/>
  <c r="I32"/>
  <c r="J32"/>
  <c r="A33"/>
  <c r="B33"/>
  <c r="C33"/>
  <c r="G33"/>
  <c r="H33"/>
  <c r="I33"/>
  <c r="J33"/>
  <c r="A34"/>
  <c r="B34"/>
  <c r="C34"/>
  <c r="G34"/>
  <c r="H34"/>
  <c r="I34"/>
  <c r="J34"/>
  <c r="A35"/>
  <c r="B35"/>
  <c r="C35"/>
  <c r="G35"/>
  <c r="H35"/>
  <c r="I35"/>
  <c r="J35"/>
  <c r="A36"/>
  <c r="B36"/>
  <c r="C36"/>
  <c r="G36"/>
  <c r="H36"/>
  <c r="I36"/>
  <c r="J36"/>
  <c r="A37"/>
  <c r="B37"/>
  <c r="C37"/>
  <c r="G37"/>
  <c r="H37"/>
  <c r="I37"/>
  <c r="J37"/>
  <c r="A38"/>
  <c r="B38"/>
  <c r="C38"/>
  <c r="G38"/>
  <c r="H38"/>
  <c r="I38"/>
  <c r="J38"/>
  <c r="A39"/>
  <c r="B39"/>
  <c r="C39"/>
  <c r="G39"/>
  <c r="H39"/>
  <c r="I39"/>
  <c r="J39"/>
  <c r="A40"/>
  <c r="B40"/>
  <c r="C40"/>
  <c r="G40"/>
  <c r="H40"/>
  <c r="I40"/>
  <c r="J40"/>
  <c r="A41"/>
  <c r="B41"/>
  <c r="C41"/>
  <c r="G41"/>
  <c r="H41"/>
  <c r="I41"/>
  <c r="J41"/>
  <c r="A42"/>
  <c r="B42"/>
  <c r="C42"/>
  <c r="G42"/>
  <c r="H42"/>
  <c r="I42"/>
  <c r="J42"/>
  <c r="A43"/>
  <c r="B43"/>
  <c r="C43"/>
  <c r="G43"/>
  <c r="H43"/>
  <c r="I43"/>
  <c r="J43"/>
  <c r="A44"/>
  <c r="B44"/>
  <c r="C44"/>
  <c r="G44"/>
  <c r="H44"/>
  <c r="I44"/>
  <c r="J44"/>
  <c r="A45"/>
  <c r="B45"/>
  <c r="C45"/>
  <c r="G45"/>
  <c r="H45"/>
  <c r="I45"/>
  <c r="J45"/>
  <c r="A46"/>
  <c r="B46"/>
  <c r="C46"/>
  <c r="G46"/>
  <c r="H46"/>
  <c r="I46"/>
  <c r="J46"/>
  <c r="A47"/>
  <c r="B47"/>
  <c r="C47"/>
  <c r="G47"/>
  <c r="H47"/>
  <c r="I47"/>
  <c r="J47"/>
  <c r="A48"/>
  <c r="B48"/>
  <c r="C48"/>
  <c r="G48"/>
  <c r="H48"/>
  <c r="I48"/>
  <c r="J48"/>
  <c r="A49"/>
  <c r="B49"/>
  <c r="C49"/>
  <c r="G49"/>
  <c r="H49"/>
  <c r="I49"/>
  <c r="J49"/>
  <c r="A50"/>
  <c r="B50"/>
  <c r="C50"/>
  <c r="G50"/>
  <c r="H50"/>
  <c r="I50"/>
  <c r="J50"/>
  <c r="A51"/>
  <c r="B51"/>
  <c r="C51"/>
  <c r="G51"/>
  <c r="H51"/>
  <c r="I51"/>
  <c r="J51"/>
  <c r="B1" i="17"/>
  <c r="B74"/>
  <c r="C74"/>
  <c r="F74"/>
  <c r="H36" i="18"/>
  <c r="B58" i="17"/>
  <c r="C58"/>
  <c r="F58"/>
  <c r="H20" i="18"/>
  <c r="P3" i="2"/>
  <c r="Q2"/>
  <c r="B73" i="17"/>
  <c r="C73"/>
  <c r="F73"/>
  <c r="H35" i="18"/>
  <c r="B65" i="17"/>
  <c r="C65"/>
  <c r="F65"/>
  <c r="H27" i="18"/>
  <c r="B67" i="17"/>
  <c r="C67"/>
  <c r="F67"/>
  <c r="H29" i="18"/>
  <c r="B52" i="17"/>
  <c r="C52"/>
  <c r="F52"/>
  <c r="H14" i="18"/>
  <c r="B53" i="17"/>
  <c r="C53"/>
  <c r="F53"/>
  <c r="H15" i="18"/>
  <c r="B56" i="17"/>
  <c r="C56"/>
  <c r="F56"/>
  <c r="H18" i="18"/>
  <c r="D33" i="5"/>
  <c r="H33"/>
  <c r="Q26" i="2"/>
  <c r="P26"/>
  <c r="G26"/>
  <c r="Q25"/>
  <c r="P25"/>
  <c r="G25"/>
  <c r="B21" i="17"/>
  <c r="C21"/>
  <c r="G5" i="2"/>
  <c r="AK10" i="3"/>
  <c r="AI10"/>
  <c r="AC10"/>
  <c r="AH10"/>
  <c r="E21" i="17"/>
  <c r="D21"/>
  <c r="I21"/>
  <c r="B22"/>
  <c r="C22"/>
  <c r="G6" i="2"/>
  <c r="AK11" i="3"/>
  <c r="AI11"/>
  <c r="AC11"/>
  <c r="AH11"/>
  <c r="E22" i="17"/>
  <c r="I22"/>
  <c r="B23"/>
  <c r="C23"/>
  <c r="G7" i="2"/>
  <c r="AK12" i="3"/>
  <c r="AI12"/>
  <c r="AC12"/>
  <c r="AH12"/>
  <c r="E23" i="17"/>
  <c r="I23"/>
  <c r="B24"/>
  <c r="C24"/>
  <c r="B25"/>
  <c r="C25"/>
  <c r="G9" i="2"/>
  <c r="AK14" i="3"/>
  <c r="AI14"/>
  <c r="AC14"/>
  <c r="AH14"/>
  <c r="E25" i="17"/>
  <c r="D25"/>
  <c r="I25"/>
  <c r="B26"/>
  <c r="C26"/>
  <c r="G10" i="2"/>
  <c r="AK15" i="3"/>
  <c r="AI15"/>
  <c r="AC15"/>
  <c r="AH15"/>
  <c r="E26" i="17"/>
  <c r="I26"/>
  <c r="B27"/>
  <c r="C27"/>
  <c r="B28"/>
  <c r="C28"/>
  <c r="G12" i="2"/>
  <c r="AK17" i="3"/>
  <c r="AI17"/>
  <c r="AC17"/>
  <c r="AH17"/>
  <c r="E28" i="17"/>
  <c r="I28"/>
  <c r="B29"/>
  <c r="C29"/>
  <c r="G13" i="2"/>
  <c r="AK18" i="3"/>
  <c r="AI18"/>
  <c r="AC18"/>
  <c r="AH18"/>
  <c r="E29" i="17"/>
  <c r="I29"/>
  <c r="B30"/>
  <c r="C30"/>
  <c r="G14" i="2"/>
  <c r="AK19" i="3"/>
  <c r="AI19"/>
  <c r="AC19"/>
  <c r="AH19"/>
  <c r="E30" i="17"/>
  <c r="I30"/>
  <c r="B31"/>
  <c r="C31"/>
  <c r="AK20" i="3"/>
  <c r="AH20"/>
  <c r="AC20"/>
  <c r="AI20"/>
  <c r="E31" i="17"/>
  <c r="D31"/>
  <c r="I31"/>
  <c r="B32"/>
  <c r="C32"/>
  <c r="G16" i="2"/>
  <c r="AK21" i="3"/>
  <c r="AI21"/>
  <c r="AC21"/>
  <c r="AH21"/>
  <c r="E32" i="17"/>
  <c r="D32"/>
  <c r="I32"/>
  <c r="B33"/>
  <c r="C33"/>
  <c r="B34"/>
  <c r="C34"/>
  <c r="AK23" i="3"/>
  <c r="AH23"/>
  <c r="AC23"/>
  <c r="AI23"/>
  <c r="E34" i="17"/>
  <c r="I34"/>
  <c r="B35"/>
  <c r="C35"/>
  <c r="AK24" i="3"/>
  <c r="AH24"/>
  <c r="AC24"/>
  <c r="AI24"/>
  <c r="E35" i="17"/>
  <c r="D35"/>
  <c r="I35"/>
  <c r="B36"/>
  <c r="C36"/>
  <c r="AK25" i="3"/>
  <c r="AH25"/>
  <c r="AC25"/>
  <c r="AI25"/>
  <c r="E36" i="17"/>
  <c r="D36"/>
  <c r="I36"/>
  <c r="B37"/>
  <c r="C37"/>
  <c r="B38"/>
  <c r="C38"/>
  <c r="G22" i="2"/>
  <c r="AK27" i="3"/>
  <c r="AH27"/>
  <c r="AC27"/>
  <c r="AI27"/>
  <c r="E38" i="17"/>
  <c r="D38"/>
  <c r="I38"/>
  <c r="B39"/>
  <c r="C39"/>
  <c r="G23" i="2"/>
  <c r="AK28" i="3"/>
  <c r="AH28"/>
  <c r="AC28"/>
  <c r="AI28"/>
  <c r="E39" i="17"/>
  <c r="D39"/>
  <c r="I39"/>
  <c r="B40"/>
  <c r="C40"/>
  <c r="G24" i="2"/>
  <c r="AK29" i="3"/>
  <c r="AH29"/>
  <c r="AC29"/>
  <c r="E40" i="17"/>
  <c r="D40"/>
  <c r="I40"/>
  <c r="B41"/>
  <c r="C41"/>
  <c r="B42"/>
  <c r="C42"/>
  <c r="B43"/>
  <c r="C43"/>
  <c r="B44"/>
  <c r="C44"/>
  <c r="E44"/>
  <c r="I44"/>
  <c r="N44" a="1"/>
  <c r="N44"/>
  <c r="B20"/>
  <c r="C20"/>
  <c r="G4" i="2"/>
  <c r="AK9" i="3"/>
  <c r="AI9"/>
  <c r="AC9"/>
  <c r="AH9"/>
  <c r="E20" i="17"/>
  <c r="I20"/>
  <c r="H21"/>
  <c r="D22"/>
  <c r="H22"/>
  <c r="D23"/>
  <c r="H23"/>
  <c r="H25"/>
  <c r="D26"/>
  <c r="H26"/>
  <c r="D28"/>
  <c r="H28"/>
  <c r="D29"/>
  <c r="H29"/>
  <c r="D30"/>
  <c r="H30"/>
  <c r="H31"/>
  <c r="H32"/>
  <c r="D34"/>
  <c r="H34"/>
  <c r="H35"/>
  <c r="H36"/>
  <c r="H38"/>
  <c r="H39"/>
  <c r="H40"/>
  <c r="H44"/>
  <c r="M44" a="1"/>
  <c r="M44"/>
  <c r="D20"/>
  <c r="H20"/>
  <c r="G21"/>
  <c r="G22"/>
  <c r="G23"/>
  <c r="G25"/>
  <c r="G26"/>
  <c r="G28"/>
  <c r="G29"/>
  <c r="G30"/>
  <c r="G31"/>
  <c r="G32"/>
  <c r="G34"/>
  <c r="G35"/>
  <c r="G36"/>
  <c r="G38"/>
  <c r="G39"/>
  <c r="G40"/>
  <c r="G44"/>
  <c r="L44" a="1"/>
  <c r="L44"/>
  <c r="G20"/>
  <c r="B6"/>
  <c r="C6"/>
  <c r="B7"/>
  <c r="C7"/>
  <c r="B8"/>
  <c r="C8"/>
  <c r="B9"/>
  <c r="C9"/>
  <c r="B10"/>
  <c r="C10"/>
  <c r="B11"/>
  <c r="C11"/>
  <c r="E53"/>
  <c r="B54"/>
  <c r="C54"/>
  <c r="E54"/>
  <c r="F54"/>
  <c r="B55"/>
  <c r="C55"/>
  <c r="E55"/>
  <c r="F55"/>
  <c r="E56"/>
  <c r="B57"/>
  <c r="C57"/>
  <c r="F57"/>
  <c r="E58"/>
  <c r="B59"/>
  <c r="C59"/>
  <c r="E59"/>
  <c r="F59"/>
  <c r="B60"/>
  <c r="C60"/>
  <c r="F60"/>
  <c r="B61"/>
  <c r="C61"/>
  <c r="E61"/>
  <c r="F61"/>
  <c r="B62"/>
  <c r="C62"/>
  <c r="E62"/>
  <c r="F62"/>
  <c r="B63"/>
  <c r="C63"/>
  <c r="E63"/>
  <c r="F63"/>
  <c r="B64"/>
  <c r="C64"/>
  <c r="E64"/>
  <c r="F64"/>
  <c r="E65"/>
  <c r="B66"/>
  <c r="C66"/>
  <c r="F66"/>
  <c r="E67"/>
  <c r="B68"/>
  <c r="C68"/>
  <c r="E68"/>
  <c r="F68"/>
  <c r="B69"/>
  <c r="C69"/>
  <c r="E69"/>
  <c r="F69"/>
  <c r="B70"/>
  <c r="C70"/>
  <c r="F70"/>
  <c r="B71"/>
  <c r="C71"/>
  <c r="E71"/>
  <c r="F71"/>
  <c r="B72"/>
  <c r="C72"/>
  <c r="E72"/>
  <c r="F72"/>
  <c r="E73"/>
  <c r="B75"/>
  <c r="C75"/>
  <c r="F75"/>
  <c r="B76"/>
  <c r="C76"/>
  <c r="F76"/>
  <c r="B77"/>
  <c r="C77"/>
  <c r="E77"/>
  <c r="F77"/>
  <c r="B22" i="7"/>
  <c r="D3" i="33"/>
  <c r="D6" i="17"/>
  <c r="E6"/>
  <c r="D7"/>
  <c r="E7"/>
  <c r="D8"/>
  <c r="E8"/>
  <c r="D9"/>
  <c r="E9"/>
  <c r="D10"/>
  <c r="E10"/>
  <c r="D11"/>
  <c r="E11"/>
  <c r="A43"/>
  <c r="Q43"/>
  <c r="P43"/>
  <c r="R44"/>
  <c r="S44"/>
  <c r="T44"/>
  <c r="A44"/>
  <c r="Q44"/>
  <c r="P44"/>
  <c r="F23" i="3"/>
  <c r="G23"/>
  <c r="X23"/>
  <c r="Z23"/>
  <c r="AA23"/>
  <c r="AE23"/>
  <c r="H16" i="18"/>
  <c r="H17"/>
  <c r="H19"/>
  <c r="H21"/>
  <c r="H22"/>
  <c r="H23"/>
  <c r="H24"/>
  <c r="H25"/>
  <c r="H26"/>
  <c r="H28"/>
  <c r="H30"/>
  <c r="H31"/>
  <c r="H32"/>
  <c r="H33"/>
  <c r="H34"/>
  <c r="F15"/>
  <c r="F16"/>
  <c r="F17"/>
  <c r="F18"/>
  <c r="F21" i="3"/>
  <c r="G21"/>
  <c r="F24"/>
  <c r="G24"/>
  <c r="G20" i="2"/>
  <c r="F20" i="18"/>
  <c r="F21"/>
  <c r="F23"/>
  <c r="F24"/>
  <c r="F25"/>
  <c r="F26"/>
  <c r="F27"/>
  <c r="F29"/>
  <c r="F30"/>
  <c r="F31"/>
  <c r="F33"/>
  <c r="F34"/>
  <c r="F35"/>
  <c r="D77" i="17"/>
  <c r="D70"/>
  <c r="D32" i="18"/>
  <c r="D71" i="17"/>
  <c r="D33" i="18"/>
  <c r="D72" i="17"/>
  <c r="D34" i="18"/>
  <c r="D73" i="17"/>
  <c r="D35" i="18"/>
  <c r="D74" i="17"/>
  <c r="D36" i="18"/>
  <c r="D75" i="17"/>
  <c r="D76"/>
  <c r="D53"/>
  <c r="D15" i="18"/>
  <c r="D54" i="17"/>
  <c r="D16" i="18"/>
  <c r="D55" i="17"/>
  <c r="D17" i="18"/>
  <c r="D56" i="17"/>
  <c r="D18" i="18"/>
  <c r="D57" i="17"/>
  <c r="D19" i="18"/>
  <c r="D58" i="17"/>
  <c r="D20" i="18"/>
  <c r="D59" i="17"/>
  <c r="D21" i="18"/>
  <c r="D60" i="17"/>
  <c r="D22" i="18"/>
  <c r="D61" i="17"/>
  <c r="D23" i="18"/>
  <c r="D62" i="17"/>
  <c r="D24" i="18"/>
  <c r="D63" i="17"/>
  <c r="D25" i="18"/>
  <c r="D64" i="17"/>
  <c r="D26" i="18"/>
  <c r="D65" i="17"/>
  <c r="D27" i="18"/>
  <c r="D66" i="17"/>
  <c r="D28" i="18"/>
  <c r="D67" i="17"/>
  <c r="D29" i="18"/>
  <c r="D68" i="17"/>
  <c r="D30" i="18"/>
  <c r="D69" i="17"/>
  <c r="D31" i="18"/>
  <c r="D52" i="17"/>
  <c r="D14" i="18"/>
  <c r="A70" i="17"/>
  <c r="A71"/>
  <c r="A72"/>
  <c r="A73"/>
  <c r="A74"/>
  <c r="A75"/>
  <c r="A76"/>
  <c r="A77"/>
  <c r="A53"/>
  <c r="A54"/>
  <c r="A55"/>
  <c r="A56"/>
  <c r="A57"/>
  <c r="A58"/>
  <c r="A59"/>
  <c r="A60"/>
  <c r="A61"/>
  <c r="A62"/>
  <c r="A63"/>
  <c r="A64"/>
  <c r="A65"/>
  <c r="A66"/>
  <c r="A67"/>
  <c r="A68"/>
  <c r="A69"/>
  <c r="A52"/>
  <c r="D33" i="32"/>
  <c r="C33"/>
  <c r="D32"/>
  <c r="C32"/>
  <c r="D31"/>
  <c r="C31"/>
  <c r="D30"/>
  <c r="C30"/>
  <c r="D29"/>
  <c r="C29"/>
  <c r="D28"/>
  <c r="C28"/>
  <c r="D27"/>
  <c r="C27"/>
  <c r="D26"/>
  <c r="C26"/>
  <c r="D25"/>
  <c r="C25"/>
  <c r="D24"/>
  <c r="C24"/>
  <c r="D23"/>
  <c r="C23"/>
  <c r="D22"/>
  <c r="C22"/>
  <c r="D21"/>
  <c r="C21"/>
  <c r="D20"/>
  <c r="C20"/>
  <c r="D19"/>
  <c r="C19"/>
  <c r="D18"/>
  <c r="C18"/>
  <c r="D17"/>
  <c r="C17"/>
  <c r="D16"/>
  <c r="C16"/>
  <c r="D15"/>
  <c r="C15"/>
  <c r="D14"/>
  <c r="C14"/>
  <c r="D13"/>
  <c r="C13"/>
  <c r="D12"/>
  <c r="C12"/>
  <c r="D11"/>
  <c r="C11"/>
  <c r="D10"/>
  <c r="C10"/>
  <c r="D9"/>
  <c r="C9"/>
  <c r="D8"/>
  <c r="C8"/>
  <c r="D24" i="17"/>
  <c r="D27"/>
  <c r="D33"/>
  <c r="D37"/>
  <c r="D41"/>
  <c r="D42"/>
  <c r="D43"/>
  <c r="D44"/>
  <c r="H45"/>
  <c r="I45"/>
  <c r="H46"/>
  <c r="I46"/>
  <c r="H47"/>
  <c r="I47"/>
  <c r="A26"/>
  <c r="Q26"/>
  <c r="A27"/>
  <c r="Q27"/>
  <c r="P27"/>
  <c r="A28"/>
  <c r="Q28"/>
  <c r="A29"/>
  <c r="Q29"/>
  <c r="A30"/>
  <c r="Q30"/>
  <c r="A31"/>
  <c r="Q31"/>
  <c r="A32"/>
  <c r="Q32"/>
  <c r="A33"/>
  <c r="Q33"/>
  <c r="P33"/>
  <c r="A34"/>
  <c r="Q34"/>
  <c r="A35"/>
  <c r="Q35"/>
  <c r="A36"/>
  <c r="Q36"/>
  <c r="A37"/>
  <c r="Q37"/>
  <c r="P37"/>
  <c r="A38"/>
  <c r="Q38"/>
  <c r="A39"/>
  <c r="Q39"/>
  <c r="A40"/>
  <c r="Q40"/>
  <c r="A41"/>
  <c r="Q41"/>
  <c r="AK30" i="3"/>
  <c r="AC30"/>
  <c r="E41" i="17"/>
  <c r="G41"/>
  <c r="H41"/>
  <c r="I41"/>
  <c r="A42"/>
  <c r="Q42"/>
  <c r="A24"/>
  <c r="A25"/>
  <c r="C7" i="7"/>
  <c r="BB3" i="28"/>
  <c r="D8" i="5"/>
  <c r="F8"/>
  <c r="G2" i="2"/>
  <c r="G3"/>
  <c r="E26" i="4"/>
  <c r="Q28" i="2"/>
  <c r="P28"/>
  <c r="G28"/>
  <c r="Q24"/>
  <c r="P24"/>
  <c r="Q23"/>
  <c r="P23"/>
  <c r="Q22"/>
  <c r="P22"/>
  <c r="Q21"/>
  <c r="P21"/>
  <c r="G21"/>
  <c r="Q20"/>
  <c r="P20"/>
  <c r="Q19"/>
  <c r="P19"/>
  <c r="G19"/>
  <c r="Q18"/>
  <c r="P18"/>
  <c r="G18"/>
  <c r="Q17"/>
  <c r="P17"/>
  <c r="G17"/>
  <c r="Q16"/>
  <c r="P16"/>
  <c r="Q15"/>
  <c r="P15"/>
  <c r="G15"/>
  <c r="Q14"/>
  <c r="P14"/>
  <c r="Q12"/>
  <c r="P12"/>
  <c r="Q11"/>
  <c r="P11"/>
  <c r="G11"/>
  <c r="Q10"/>
  <c r="P10"/>
  <c r="Q9"/>
  <c r="P9"/>
  <c r="Q8"/>
  <c r="P8"/>
  <c r="G8"/>
  <c r="T3" i="3"/>
  <c r="U3"/>
  <c r="V3"/>
  <c r="W3"/>
  <c r="X3"/>
  <c r="Y3"/>
  <c r="Z3"/>
  <c r="AA3"/>
  <c r="AB3"/>
  <c r="AC3"/>
  <c r="AD3"/>
  <c r="AE3"/>
  <c r="AF3"/>
  <c r="AG3"/>
  <c r="AH3"/>
  <c r="AI3"/>
  <c r="AJ3"/>
  <c r="AK3"/>
  <c r="T4"/>
  <c r="U4"/>
  <c r="V4"/>
  <c r="W4"/>
  <c r="X4"/>
  <c r="Y4"/>
  <c r="Z4"/>
  <c r="AA4"/>
  <c r="AB4"/>
  <c r="AC4"/>
  <c r="AD4"/>
  <c r="AE4"/>
  <c r="AF4"/>
  <c r="AG4"/>
  <c r="AH4"/>
  <c r="AI4"/>
  <c r="AJ4"/>
  <c r="AK4"/>
  <c r="S4"/>
  <c r="S3"/>
  <c r="Q4" i="2"/>
  <c r="P4"/>
  <c r="B35" i="31"/>
  <c r="B34"/>
  <c r="B33"/>
  <c r="B32"/>
  <c r="B31"/>
  <c r="B30"/>
  <c r="B29"/>
  <c r="B28"/>
  <c r="B27"/>
  <c r="B26"/>
  <c r="B25"/>
  <c r="B24"/>
  <c r="B23"/>
  <c r="B22"/>
  <c r="B21"/>
  <c r="B20"/>
  <c r="B18"/>
  <c r="B17"/>
  <c r="B16"/>
  <c r="B15"/>
  <c r="B14"/>
  <c r="B13"/>
  <c r="B11"/>
  <c r="F9" i="29"/>
  <c r="F27"/>
  <c r="G24" i="30"/>
  <c r="F35" i="29"/>
  <c r="F40"/>
  <c r="F8"/>
  <c r="G5" i="30"/>
  <c r="B6"/>
  <c r="B7"/>
  <c r="B8"/>
  <c r="B9"/>
  <c r="B10"/>
  <c r="B11"/>
  <c r="B13"/>
  <c r="B14"/>
  <c r="B15"/>
  <c r="B16"/>
  <c r="B17"/>
  <c r="B18"/>
  <c r="B19"/>
  <c r="B20"/>
  <c r="B21"/>
  <c r="B22"/>
  <c r="B23"/>
  <c r="B24"/>
  <c r="B25"/>
  <c r="B26"/>
  <c r="B27"/>
  <c r="B28"/>
  <c r="B5"/>
  <c r="C21" i="7"/>
  <c r="E21"/>
  <c r="D22"/>
  <c r="D2" i="29"/>
  <c r="H3" i="31"/>
  <c r="D10" i="29"/>
  <c r="F10"/>
  <c r="G7" i="30"/>
  <c r="D11" i="29"/>
  <c r="D12"/>
  <c r="F12"/>
  <c r="G9" i="30"/>
  <c r="D13" i="29"/>
  <c r="D15"/>
  <c r="E15"/>
  <c r="D19" i="31"/>
  <c r="D18" i="29"/>
  <c r="F18"/>
  <c r="G15" i="30"/>
  <c r="D19" i="29"/>
  <c r="F19"/>
  <c r="G16" i="30"/>
  <c r="D20" i="29"/>
  <c r="E20"/>
  <c r="D17" i="30"/>
  <c r="D21" i="29"/>
  <c r="E21"/>
  <c r="D25" i="31"/>
  <c r="D22" i="29"/>
  <c r="E22"/>
  <c r="D19" i="30"/>
  <c r="D24" i="29"/>
  <c r="E24"/>
  <c r="D21" i="30"/>
  <c r="D25" i="29"/>
  <c r="E25"/>
  <c r="D29" i="31"/>
  <c r="D26" i="29"/>
  <c r="E26"/>
  <c r="D23" i="30"/>
  <c r="D24"/>
  <c r="D28" i="29"/>
  <c r="D29"/>
  <c r="F29"/>
  <c r="G26" i="30"/>
  <c r="D30" i="29"/>
  <c r="E30"/>
  <c r="D34" i="31"/>
  <c r="D31" i="29"/>
  <c r="D32"/>
  <c r="F32"/>
  <c r="D33"/>
  <c r="D34"/>
  <c r="F34"/>
  <c r="D35"/>
  <c r="E35"/>
  <c r="D36"/>
  <c r="E36"/>
  <c r="D37"/>
  <c r="F37"/>
  <c r="D38"/>
  <c r="E38"/>
  <c r="D39"/>
  <c r="F39"/>
  <c r="D40"/>
  <c r="E40"/>
  <c r="D41"/>
  <c r="F41"/>
  <c r="D42"/>
  <c r="F42"/>
  <c r="D43"/>
  <c r="F43"/>
  <c r="D44"/>
  <c r="F44"/>
  <c r="D45"/>
  <c r="F45"/>
  <c r="D46"/>
  <c r="F46"/>
  <c r="D47"/>
  <c r="F47"/>
  <c r="D48"/>
  <c r="F48"/>
  <c r="D49"/>
  <c r="F49"/>
  <c r="D50"/>
  <c r="F50"/>
  <c r="D51"/>
  <c r="F51"/>
  <c r="D7"/>
  <c r="G35" i="2"/>
  <c r="G36"/>
  <c r="G37"/>
  <c r="G38"/>
  <c r="G39"/>
  <c r="G40"/>
  <c r="G41"/>
  <c r="G42"/>
  <c r="G43"/>
  <c r="G44"/>
  <c r="G45"/>
  <c r="G29"/>
  <c r="G30"/>
  <c r="G31"/>
  <c r="G32"/>
  <c r="G33"/>
  <c r="G34"/>
  <c r="D2" i="27"/>
  <c r="E2"/>
  <c r="F2"/>
  <c r="G2"/>
  <c r="H2"/>
  <c r="I2"/>
  <c r="J2"/>
  <c r="F4" i="5"/>
  <c r="C4" i="27"/>
  <c r="F5" i="5"/>
  <c r="C5" i="27"/>
  <c r="F6" i="5"/>
  <c r="C6" i="27"/>
  <c r="F7" i="5"/>
  <c r="C7" i="27"/>
  <c r="C8"/>
  <c r="C9"/>
  <c r="C10"/>
  <c r="F11" i="5"/>
  <c r="C11" i="27"/>
  <c r="F12" i="5"/>
  <c r="C12" i="27"/>
  <c r="F13" i="5"/>
  <c r="C13" i="27"/>
  <c r="F14" i="5"/>
  <c r="C14" i="27"/>
  <c r="F15" i="5"/>
  <c r="C15" i="27"/>
  <c r="F16" i="5"/>
  <c r="C16" i="27"/>
  <c r="F17" i="5"/>
  <c r="C17" i="27"/>
  <c r="F18" i="5"/>
  <c r="C18" i="27"/>
  <c r="F19" i="5"/>
  <c r="C19" i="27"/>
  <c r="F20" i="5"/>
  <c r="C20" i="27"/>
  <c r="F21" i="5"/>
  <c r="C21" i="27"/>
  <c r="F22" i="5"/>
  <c r="C22" i="27"/>
  <c r="F23" i="5"/>
  <c r="C23" i="27"/>
  <c r="F24" i="5"/>
  <c r="C24" i="27"/>
  <c r="F25" i="5"/>
  <c r="C25" i="27"/>
  <c r="F26" i="5"/>
  <c r="C26" i="27"/>
  <c r="F27" i="5"/>
  <c r="C27" i="27"/>
  <c r="F28" i="5"/>
  <c r="C28" i="27"/>
  <c r="F29" i="5"/>
  <c r="C29" i="27"/>
  <c r="F30" i="5"/>
  <c r="C30" i="27"/>
  <c r="F31" i="5"/>
  <c r="C31" i="27"/>
  <c r="F32" i="5"/>
  <c r="C32" i="27"/>
  <c r="F33" i="5"/>
  <c r="C33" i="27"/>
  <c r="B133" i="20"/>
  <c r="B134"/>
  <c r="B135"/>
  <c r="B136"/>
  <c r="B141"/>
  <c r="B142"/>
  <c r="B143"/>
  <c r="B144"/>
  <c r="B137"/>
  <c r="B138"/>
  <c r="B139"/>
  <c r="B140"/>
  <c r="B145"/>
  <c r="B146"/>
  <c r="B147"/>
  <c r="B148"/>
  <c r="B3" i="7"/>
  <c r="B6" i="24"/>
  <c r="B4" i="7"/>
  <c r="D5"/>
  <c r="E5"/>
  <c r="F5"/>
  <c r="G5"/>
  <c r="H5"/>
  <c r="I5"/>
  <c r="J5"/>
  <c r="K5"/>
  <c r="L5"/>
  <c r="M5"/>
  <c r="N5"/>
  <c r="O5"/>
  <c r="P5"/>
  <c r="Q5"/>
  <c r="D6"/>
  <c r="D7"/>
  <c r="C3" i="13"/>
  <c r="P30" i="2"/>
  <c r="B27" i="7"/>
  <c r="B2" i="1"/>
  <c r="B36" i="7"/>
  <c r="B37"/>
  <c r="B38"/>
  <c r="B39"/>
  <c r="B40"/>
  <c r="B41"/>
  <c r="B42"/>
  <c r="B43"/>
  <c r="B44"/>
  <c r="B45"/>
  <c r="B46"/>
  <c r="B47"/>
  <c r="B48"/>
  <c r="B49"/>
  <c r="B50"/>
  <c r="B51"/>
  <c r="B52"/>
  <c r="B53"/>
  <c r="B54"/>
  <c r="B80"/>
  <c r="B6" i="6"/>
  <c r="AB9"/>
  <c r="AB10"/>
  <c r="C13"/>
  <c r="D26" i="20"/>
  <c r="Q35" i="2"/>
  <c r="D27" i="20"/>
  <c r="E27"/>
  <c r="E40"/>
  <c r="E53"/>
  <c r="D28"/>
  <c r="D29"/>
  <c r="E29"/>
  <c r="D30"/>
  <c r="E30"/>
  <c r="D31"/>
  <c r="E31"/>
  <c r="N5" i="17"/>
  <c r="O5"/>
  <c r="P5"/>
  <c r="Q5"/>
  <c r="R5"/>
  <c r="S5"/>
  <c r="T5"/>
  <c r="D5" i="18"/>
  <c r="J6" i="17"/>
  <c r="K6"/>
  <c r="J7"/>
  <c r="K7"/>
  <c r="D7" i="18"/>
  <c r="J8" i="17"/>
  <c r="K8"/>
  <c r="J9"/>
  <c r="K9"/>
  <c r="D9" i="18"/>
  <c r="I10" i="17"/>
  <c r="J10"/>
  <c r="K10"/>
  <c r="J11"/>
  <c r="K11"/>
  <c r="B12"/>
  <c r="J12"/>
  <c r="K12"/>
  <c r="B13"/>
  <c r="D13"/>
  <c r="E13"/>
  <c r="J13"/>
  <c r="K13"/>
  <c r="J14"/>
  <c r="K14"/>
  <c r="J15"/>
  <c r="K15"/>
  <c r="A18"/>
  <c r="D18"/>
  <c r="B18"/>
  <c r="C18"/>
  <c r="R18"/>
  <c r="A19"/>
  <c r="Q19"/>
  <c r="P19"/>
  <c r="B19"/>
  <c r="C19"/>
  <c r="D19"/>
  <c r="R19"/>
  <c r="A20"/>
  <c r="Q20"/>
  <c r="H13" i="3"/>
  <c r="F13"/>
  <c r="G13"/>
  <c r="A21" i="17"/>
  <c r="Q21"/>
  <c r="A22"/>
  <c r="Q22"/>
  <c r="A23"/>
  <c r="Q23"/>
  <c r="Q24"/>
  <c r="Q25"/>
  <c r="H16" i="3"/>
  <c r="F16"/>
  <c r="G16"/>
  <c r="I17"/>
  <c r="J17"/>
  <c r="F20"/>
  <c r="G20"/>
  <c r="H22"/>
  <c r="I22"/>
  <c r="J22"/>
  <c r="F25"/>
  <c r="G25"/>
  <c r="I27"/>
  <c r="J27"/>
  <c r="B3" i="1"/>
  <c r="J21"/>
  <c r="B79" i="20"/>
  <c r="B80"/>
  <c r="B81"/>
  <c r="B82"/>
  <c r="B83"/>
  <c r="B84"/>
  <c r="B85"/>
  <c r="C85"/>
  <c r="B86"/>
  <c r="C86"/>
  <c r="M86"/>
  <c r="H6"/>
  <c r="H25"/>
  <c r="I6"/>
  <c r="Q76"/>
  <c r="J6"/>
  <c r="K6"/>
  <c r="L6"/>
  <c r="L25"/>
  <c r="M6"/>
  <c r="N6"/>
  <c r="N25"/>
  <c r="D7"/>
  <c r="E7"/>
  <c r="D8"/>
  <c r="E8"/>
  <c r="D9"/>
  <c r="E9"/>
  <c r="D10"/>
  <c r="E10"/>
  <c r="D11"/>
  <c r="E11"/>
  <c r="D12"/>
  <c r="E12"/>
  <c r="D13"/>
  <c r="E13"/>
  <c r="D14"/>
  <c r="E14"/>
  <c r="D15"/>
  <c r="E15"/>
  <c r="D16"/>
  <c r="E16"/>
  <c r="D17"/>
  <c r="E17"/>
  <c r="D18"/>
  <c r="E18"/>
  <c r="D19"/>
  <c r="E19"/>
  <c r="D20"/>
  <c r="E20"/>
  <c r="D21"/>
  <c r="E21"/>
  <c r="I25"/>
  <c r="M25"/>
  <c r="E45"/>
  <c r="E58"/>
  <c r="G45"/>
  <c r="H45"/>
  <c r="I45"/>
  <c r="J45"/>
  <c r="K45"/>
  <c r="L45"/>
  <c r="M45"/>
  <c r="N45"/>
  <c r="I58"/>
  <c r="E46"/>
  <c r="E59"/>
  <c r="G46"/>
  <c r="H46"/>
  <c r="I46"/>
  <c r="J46"/>
  <c r="K46"/>
  <c r="L46"/>
  <c r="M46"/>
  <c r="N46"/>
  <c r="E47"/>
  <c r="E60"/>
  <c r="G47"/>
  <c r="H47"/>
  <c r="I47"/>
  <c r="J47"/>
  <c r="K47"/>
  <c r="L47"/>
  <c r="M47"/>
  <c r="N47"/>
  <c r="E48"/>
  <c r="E61"/>
  <c r="G48"/>
  <c r="H48"/>
  <c r="I48"/>
  <c r="J48"/>
  <c r="K48"/>
  <c r="L48"/>
  <c r="M48"/>
  <c r="N48"/>
  <c r="H61"/>
  <c r="E62"/>
  <c r="G62"/>
  <c r="H62"/>
  <c r="I62"/>
  <c r="J62"/>
  <c r="K62"/>
  <c r="L62"/>
  <c r="M62"/>
  <c r="N62"/>
  <c r="U76"/>
  <c r="D78"/>
  <c r="E78"/>
  <c r="D85"/>
  <c r="E85"/>
  <c r="D86"/>
  <c r="E86"/>
  <c r="B87"/>
  <c r="C87"/>
  <c r="K87"/>
  <c r="B88"/>
  <c r="C88"/>
  <c r="B89"/>
  <c r="C89"/>
  <c r="B90"/>
  <c r="C90"/>
  <c r="L90"/>
  <c r="B91"/>
  <c r="C91"/>
  <c r="B92"/>
  <c r="B93"/>
  <c r="C93"/>
  <c r="I93"/>
  <c r="B94"/>
  <c r="B95"/>
  <c r="C95"/>
  <c r="B96"/>
  <c r="B97"/>
  <c r="D97"/>
  <c r="E97"/>
  <c r="B98"/>
  <c r="D98"/>
  <c r="E98"/>
  <c r="B99"/>
  <c r="B100"/>
  <c r="B101"/>
  <c r="B102"/>
  <c r="C102"/>
  <c r="D102"/>
  <c r="E102"/>
  <c r="B103"/>
  <c r="B104"/>
  <c r="B105"/>
  <c r="B106"/>
  <c r="C106"/>
  <c r="I106"/>
  <c r="B107"/>
  <c r="B108"/>
  <c r="C108"/>
  <c r="D108"/>
  <c r="E108"/>
  <c r="B109"/>
  <c r="C109"/>
  <c r="J109"/>
  <c r="B110"/>
  <c r="B111"/>
  <c r="B112"/>
  <c r="B113"/>
  <c r="B114"/>
  <c r="B115"/>
  <c r="B116"/>
  <c r="B117"/>
  <c r="B118"/>
  <c r="B119"/>
  <c r="B120"/>
  <c r="B121"/>
  <c r="B122"/>
  <c r="B123"/>
  <c r="B124"/>
  <c r="B125"/>
  <c r="B126"/>
  <c r="B127"/>
  <c r="B128"/>
  <c r="B129"/>
  <c r="B130"/>
  <c r="B131"/>
  <c r="B132"/>
  <c r="D133"/>
  <c r="E133"/>
  <c r="D134"/>
  <c r="E134"/>
  <c r="D135"/>
  <c r="E135"/>
  <c r="D136"/>
  <c r="E136"/>
  <c r="D137"/>
  <c r="E137"/>
  <c r="D138"/>
  <c r="E138"/>
  <c r="D139"/>
  <c r="E139"/>
  <c r="D140"/>
  <c r="E140"/>
  <c r="D141"/>
  <c r="E141"/>
  <c r="D142"/>
  <c r="E142"/>
  <c r="D143"/>
  <c r="E143"/>
  <c r="D144"/>
  <c r="E144"/>
  <c r="D145"/>
  <c r="E145"/>
  <c r="D146"/>
  <c r="E146"/>
  <c r="D147"/>
  <c r="E147"/>
  <c r="D148"/>
  <c r="E148"/>
  <c r="B149"/>
  <c r="B150"/>
  <c r="B151"/>
  <c r="B152"/>
  <c r="B153"/>
  <c r="B154"/>
  <c r="B155"/>
  <c r="B156"/>
  <c r="B157"/>
  <c r="B158"/>
  <c r="F1" i="13"/>
  <c r="G1"/>
  <c r="H1"/>
  <c r="I1"/>
  <c r="J1"/>
  <c r="K1"/>
  <c r="L1"/>
  <c r="M1"/>
  <c r="N1"/>
  <c r="O1"/>
  <c r="B2"/>
  <c r="B13"/>
  <c r="B3"/>
  <c r="B14"/>
  <c r="B4"/>
  <c r="B5"/>
  <c r="B6"/>
  <c r="C10"/>
  <c r="D10"/>
  <c r="E10"/>
  <c r="F10"/>
  <c r="G10"/>
  <c r="H10"/>
  <c r="I10"/>
  <c r="J10"/>
  <c r="K10"/>
  <c r="L10"/>
  <c r="M10"/>
  <c r="N10"/>
  <c r="O10"/>
  <c r="P10"/>
  <c r="Q10"/>
  <c r="R10"/>
  <c r="S10"/>
  <c r="T10"/>
  <c r="U10"/>
  <c r="B5" i="24"/>
  <c r="AK6"/>
  <c r="AP9"/>
  <c r="BG6"/>
  <c r="BH9"/>
  <c r="BH10"/>
  <c r="O7"/>
  <c r="AK7"/>
  <c r="BG7"/>
  <c r="Y9"/>
  <c r="Z9"/>
  <c r="AA9"/>
  <c r="AB9"/>
  <c r="AC9"/>
  <c r="AD9"/>
  <c r="AU9"/>
  <c r="AV9"/>
  <c r="AW9"/>
  <c r="AX9"/>
  <c r="AY9"/>
  <c r="BQ9"/>
  <c r="BT9"/>
  <c r="BU9"/>
  <c r="BV9"/>
  <c r="P10"/>
  <c r="AK10"/>
  <c r="AL10"/>
  <c r="BG10"/>
  <c r="B13"/>
  <c r="C13"/>
  <c r="C31"/>
  <c r="C30"/>
  <c r="C29"/>
  <c r="C28"/>
  <c r="C27"/>
  <c r="C26"/>
  <c r="C25"/>
  <c r="C24"/>
  <c r="C23"/>
  <c r="C22"/>
  <c r="C21"/>
  <c r="C20"/>
  <c r="C19"/>
  <c r="C18"/>
  <c r="C17"/>
  <c r="C16"/>
  <c r="C15"/>
  <c r="C14"/>
  <c r="B14"/>
  <c r="B15"/>
  <c r="B16"/>
  <c r="B17"/>
  <c r="BH17"/>
  <c r="B18"/>
  <c r="B19"/>
  <c r="B20"/>
  <c r="B21"/>
  <c r="B22"/>
  <c r="B23"/>
  <c r="B24"/>
  <c r="B25"/>
  <c r="BH25"/>
  <c r="B26"/>
  <c r="B27"/>
  <c r="B28"/>
  <c r="B29"/>
  <c r="B30"/>
  <c r="B31"/>
  <c r="Q3" i="2"/>
  <c r="P5"/>
  <c r="Q5"/>
  <c r="P6"/>
  <c r="Q6"/>
  <c r="P7"/>
  <c r="Q7"/>
  <c r="P13"/>
  <c r="Q13"/>
  <c r="P29"/>
  <c r="Q29"/>
  <c r="Q30"/>
  <c r="P31"/>
  <c r="Q31"/>
  <c r="P32"/>
  <c r="Q32"/>
  <c r="P33"/>
  <c r="Q33"/>
  <c r="P34"/>
  <c r="Q34"/>
  <c r="P35"/>
  <c r="P36"/>
  <c r="Q36"/>
  <c r="P37"/>
  <c r="Q37"/>
  <c r="P38"/>
  <c r="Q38"/>
  <c r="P39"/>
  <c r="Q39"/>
  <c r="P40"/>
  <c r="Q40"/>
  <c r="P41"/>
  <c r="Q41"/>
  <c r="P42"/>
  <c r="Q42"/>
  <c r="P43"/>
  <c r="Q43"/>
  <c r="P44"/>
  <c r="Q44"/>
  <c r="P45"/>
  <c r="Q45"/>
  <c r="D4" i="5"/>
  <c r="D7"/>
  <c r="D11"/>
  <c r="E11"/>
  <c r="D12"/>
  <c r="E12"/>
  <c r="D13"/>
  <c r="D14"/>
  <c r="D15"/>
  <c r="D16"/>
  <c r="E13"/>
  <c r="E14"/>
  <c r="E15"/>
  <c r="E16"/>
  <c r="D17"/>
  <c r="E17"/>
  <c r="E18"/>
  <c r="E19"/>
  <c r="E20"/>
  <c r="E21"/>
  <c r="D22"/>
  <c r="E22"/>
  <c r="E23"/>
  <c r="E24"/>
  <c r="E25"/>
  <c r="E26"/>
  <c r="E27"/>
  <c r="E28"/>
  <c r="E29"/>
  <c r="E30"/>
  <c r="E31"/>
  <c r="E32"/>
  <c r="E33"/>
  <c r="C8" i="4"/>
  <c r="D8"/>
  <c r="C9"/>
  <c r="D9"/>
  <c r="E9"/>
  <c r="C10"/>
  <c r="D10"/>
  <c r="E10"/>
  <c r="C11"/>
  <c r="D11"/>
  <c r="E11"/>
  <c r="C12"/>
  <c r="D12"/>
  <c r="E12"/>
  <c r="C13"/>
  <c r="D13"/>
  <c r="E13"/>
  <c r="C14"/>
  <c r="D14"/>
  <c r="C15"/>
  <c r="D15"/>
  <c r="E15"/>
  <c r="C16"/>
  <c r="D16"/>
  <c r="E16"/>
  <c r="C17"/>
  <c r="D17"/>
  <c r="E17"/>
  <c r="C18"/>
  <c r="D18"/>
  <c r="E18"/>
  <c r="C19"/>
  <c r="D19"/>
  <c r="C20"/>
  <c r="D20"/>
  <c r="E20"/>
  <c r="C21"/>
  <c r="D21"/>
  <c r="E21"/>
  <c r="C22"/>
  <c r="D22"/>
  <c r="E22"/>
  <c r="C23"/>
  <c r="D23"/>
  <c r="E23"/>
  <c r="C24"/>
  <c r="D24"/>
  <c r="E24"/>
  <c r="C25"/>
  <c r="D25"/>
  <c r="E25"/>
  <c r="C26"/>
  <c r="D26"/>
  <c r="C27"/>
  <c r="D27"/>
  <c r="E27"/>
  <c r="C28"/>
  <c r="D28"/>
  <c r="E28"/>
  <c r="C29"/>
  <c r="D29"/>
  <c r="E29"/>
  <c r="C30"/>
  <c r="D30"/>
  <c r="E30"/>
  <c r="B6" i="3"/>
  <c r="D6"/>
  <c r="E6"/>
  <c r="F6"/>
  <c r="G6"/>
  <c r="H6"/>
  <c r="D7"/>
  <c r="F7"/>
  <c r="G7"/>
  <c r="H7"/>
  <c r="I7"/>
  <c r="J7"/>
  <c r="K7"/>
  <c r="P7"/>
  <c r="D8"/>
  <c r="F8"/>
  <c r="G8"/>
  <c r="H8"/>
  <c r="I8"/>
  <c r="J8"/>
  <c r="P8"/>
  <c r="D9"/>
  <c r="I9"/>
  <c r="J9"/>
  <c r="K9"/>
  <c r="P9"/>
  <c r="X9"/>
  <c r="Z9"/>
  <c r="AA9"/>
  <c r="AE9"/>
  <c r="D10"/>
  <c r="I10"/>
  <c r="J10"/>
  <c r="P10"/>
  <c r="X10"/>
  <c r="Z10"/>
  <c r="AA10"/>
  <c r="AE10"/>
  <c r="D11"/>
  <c r="I11"/>
  <c r="J11"/>
  <c r="P11"/>
  <c r="X11"/>
  <c r="Z11"/>
  <c r="AA11"/>
  <c r="AE11"/>
  <c r="D12"/>
  <c r="I12"/>
  <c r="J12"/>
  <c r="P12"/>
  <c r="X12"/>
  <c r="Z12"/>
  <c r="AA12"/>
  <c r="AE12"/>
  <c r="D13"/>
  <c r="I13"/>
  <c r="J13"/>
  <c r="P13"/>
  <c r="D14"/>
  <c r="I14"/>
  <c r="J14"/>
  <c r="P14"/>
  <c r="D15"/>
  <c r="I15"/>
  <c r="J15"/>
  <c r="K15"/>
  <c r="P15"/>
  <c r="D16"/>
  <c r="I16"/>
  <c r="J16"/>
  <c r="P16"/>
  <c r="D17"/>
  <c r="P17"/>
  <c r="D18"/>
  <c r="I18"/>
  <c r="J18"/>
  <c r="K18"/>
  <c r="P18"/>
  <c r="X18"/>
  <c r="Z18"/>
  <c r="AA18"/>
  <c r="AE18"/>
  <c r="D19"/>
  <c r="I19"/>
  <c r="J19"/>
  <c r="K19"/>
  <c r="P19"/>
  <c r="D20"/>
  <c r="P20"/>
  <c r="X20"/>
  <c r="Z20"/>
  <c r="AA20"/>
  <c r="AE20"/>
  <c r="D21"/>
  <c r="P21"/>
  <c r="D22"/>
  <c r="F22"/>
  <c r="G22"/>
  <c r="P22"/>
  <c r="D23"/>
  <c r="P23"/>
  <c r="D24"/>
  <c r="P24"/>
  <c r="D25"/>
  <c r="P25"/>
  <c r="X25"/>
  <c r="D26"/>
  <c r="F26"/>
  <c r="G26"/>
  <c r="H26"/>
  <c r="I26"/>
  <c r="J26"/>
  <c r="P26"/>
  <c r="D27"/>
  <c r="P27"/>
  <c r="D28"/>
  <c r="I28"/>
  <c r="J28"/>
  <c r="K28"/>
  <c r="P28"/>
  <c r="X28"/>
  <c r="Z28"/>
  <c r="AA28"/>
  <c r="AE28"/>
  <c r="D29"/>
  <c r="I29"/>
  <c r="J29"/>
  <c r="K29"/>
  <c r="P29"/>
  <c r="X29"/>
  <c r="Z29"/>
  <c r="AA29"/>
  <c r="AE29"/>
  <c r="AI29"/>
  <c r="D30"/>
  <c r="I30"/>
  <c r="J30"/>
  <c r="K30"/>
  <c r="P30"/>
  <c r="B5" i="6"/>
  <c r="AN9"/>
  <c r="AN10"/>
  <c r="AX9"/>
  <c r="AX10"/>
  <c r="BH9"/>
  <c r="BR9"/>
  <c r="CB9"/>
  <c r="CL9"/>
  <c r="CV9"/>
  <c r="B13"/>
  <c r="C14"/>
  <c r="C15"/>
  <c r="C16"/>
  <c r="C17"/>
  <c r="C18"/>
  <c r="C19"/>
  <c r="C20"/>
  <c r="C21"/>
  <c r="C22"/>
  <c r="C23"/>
  <c r="C24"/>
  <c r="C25"/>
  <c r="C26"/>
  <c r="C27"/>
  <c r="C28"/>
  <c r="C29"/>
  <c r="C30"/>
  <c r="C31"/>
  <c r="B30"/>
  <c r="B14"/>
  <c r="B29"/>
  <c r="B15"/>
  <c r="B27"/>
  <c r="B16"/>
  <c r="B25"/>
  <c r="B17"/>
  <c r="B24"/>
  <c r="B18"/>
  <c r="B22"/>
  <c r="B19"/>
  <c r="B21"/>
  <c r="B20"/>
  <c r="B23"/>
  <c r="B28"/>
  <c r="B26"/>
  <c r="B31"/>
  <c r="D3" i="28"/>
  <c r="N3"/>
  <c r="X3"/>
  <c r="AH3"/>
  <c r="AR3"/>
  <c r="I4" i="25"/>
  <c r="J4"/>
  <c r="K4"/>
  <c r="L4"/>
  <c r="H95" i="20"/>
  <c r="I87"/>
  <c r="M87"/>
  <c r="J87"/>
  <c r="N87"/>
  <c r="M106"/>
  <c r="D109"/>
  <c r="E109"/>
  <c r="D105"/>
  <c r="E105"/>
  <c r="D101"/>
  <c r="E101"/>
  <c r="M61"/>
  <c r="K61"/>
  <c r="I61"/>
  <c r="N60"/>
  <c r="L60"/>
  <c r="J60"/>
  <c r="M59"/>
  <c r="K59"/>
  <c r="I59"/>
  <c r="N58"/>
  <c r="L58"/>
  <c r="J58"/>
  <c r="Q10" i="17"/>
  <c r="G59" i="20"/>
  <c r="J59"/>
  <c r="N59"/>
  <c r="G58"/>
  <c r="K58"/>
  <c r="C81"/>
  <c r="D81"/>
  <c r="E81"/>
  <c r="C79"/>
  <c r="H79"/>
  <c r="D79"/>
  <c r="E79"/>
  <c r="F7" i="7"/>
  <c r="E3" i="13"/>
  <c r="BH30" i="24"/>
  <c r="BH28"/>
  <c r="BH26"/>
  <c r="BH24"/>
  <c r="BH22"/>
  <c r="BH20"/>
  <c r="BH18"/>
  <c r="BH16"/>
  <c r="BH15"/>
  <c r="L106" i="20"/>
  <c r="H58"/>
  <c r="J24" i="1"/>
  <c r="U12" i="13"/>
  <c r="G61" i="20"/>
  <c r="J61"/>
  <c r="N61"/>
  <c r="G60"/>
  <c r="K60"/>
  <c r="C82"/>
  <c r="J82"/>
  <c r="B1"/>
  <c r="F5"/>
  <c r="D82"/>
  <c r="E82"/>
  <c r="C80"/>
  <c r="M80"/>
  <c r="D80"/>
  <c r="E80"/>
  <c r="J6" i="1"/>
  <c r="C12" i="13"/>
  <c r="H60" i="20"/>
  <c r="F29"/>
  <c r="N7" i="7"/>
  <c r="M3" i="13"/>
  <c r="J7" i="7"/>
  <c r="I3" i="13"/>
  <c r="Q6" i="7"/>
  <c r="B13"/>
  <c r="P6"/>
  <c r="B12"/>
  <c r="N6"/>
  <c r="M2" i="13"/>
  <c r="L6" i="7"/>
  <c r="K2" i="13"/>
  <c r="J6" i="7"/>
  <c r="I2" i="13"/>
  <c r="H6" i="7"/>
  <c r="B18"/>
  <c r="F6"/>
  <c r="BI9" i="24"/>
  <c r="BS9"/>
  <c r="K106" i="20"/>
  <c r="K26" i="3"/>
  <c r="K13"/>
  <c r="D158" i="20"/>
  <c r="E158"/>
  <c r="D157"/>
  <c r="E157"/>
  <c r="D156"/>
  <c r="E156"/>
  <c r="D155"/>
  <c r="E155"/>
  <c r="D154"/>
  <c r="E154"/>
  <c r="D153"/>
  <c r="E153"/>
  <c r="D152"/>
  <c r="E152"/>
  <c r="D151"/>
  <c r="E151"/>
  <c r="D150"/>
  <c r="E150"/>
  <c r="V76"/>
  <c r="D12" i="17"/>
  <c r="E12"/>
  <c r="D10" i="18"/>
  <c r="D8"/>
  <c r="N81" i="20"/>
  <c r="J81"/>
  <c r="M81"/>
  <c r="L80"/>
  <c r="C107"/>
  <c r="D107"/>
  <c r="E107"/>
  <c r="D99"/>
  <c r="E99"/>
  <c r="C96"/>
  <c r="H96"/>
  <c r="D96"/>
  <c r="E96"/>
  <c r="C92"/>
  <c r="J92"/>
  <c r="D92"/>
  <c r="E92"/>
  <c r="M60"/>
  <c r="I60"/>
  <c r="C83"/>
  <c r="J83"/>
  <c r="D83"/>
  <c r="E83"/>
  <c r="D111"/>
  <c r="E111"/>
  <c r="N106"/>
  <c r="D103"/>
  <c r="E103"/>
  <c r="K25"/>
  <c r="S76"/>
  <c r="I86"/>
  <c r="C84"/>
  <c r="N84"/>
  <c r="D84"/>
  <c r="E84"/>
  <c r="BH14" i="24"/>
  <c r="BH13"/>
  <c r="D149" i="20"/>
  <c r="E149"/>
  <c r="D132"/>
  <c r="E132"/>
  <c r="D131"/>
  <c r="E131"/>
  <c r="D130"/>
  <c r="E130"/>
  <c r="D129"/>
  <c r="E129"/>
  <c r="D128"/>
  <c r="E128"/>
  <c r="D127"/>
  <c r="E127"/>
  <c r="D126"/>
  <c r="E126"/>
  <c r="D125"/>
  <c r="E125"/>
  <c r="D124"/>
  <c r="E124"/>
  <c r="D123"/>
  <c r="E123"/>
  <c r="D122"/>
  <c r="E122"/>
  <c r="D121"/>
  <c r="E121"/>
  <c r="D120"/>
  <c r="E120"/>
  <c r="D119"/>
  <c r="E119"/>
  <c r="D118"/>
  <c r="E118"/>
  <c r="D117"/>
  <c r="E117"/>
  <c r="D116"/>
  <c r="E116"/>
  <c r="D115"/>
  <c r="E115"/>
  <c r="D114"/>
  <c r="E114"/>
  <c r="D113"/>
  <c r="E113"/>
  <c r="D112"/>
  <c r="E112"/>
  <c r="D104"/>
  <c r="E104"/>
  <c r="D95"/>
  <c r="E95"/>
  <c r="D91"/>
  <c r="E91"/>
  <c r="D87"/>
  <c r="E87"/>
  <c r="L61"/>
  <c r="M58"/>
  <c r="F31"/>
  <c r="BI10" i="24"/>
  <c r="N83" i="20"/>
  <c r="I88"/>
  <c r="H92"/>
  <c r="K107"/>
  <c r="I107"/>
  <c r="H107"/>
  <c r="L107"/>
  <c r="J107"/>
  <c r="N107"/>
  <c r="M107"/>
  <c r="I6" i="7"/>
  <c r="B14"/>
  <c r="E3" i="10"/>
  <c r="E6" i="7"/>
  <c r="D2" i="13"/>
  <c r="E24" i="30"/>
  <c r="D3"/>
  <c r="E50" i="29"/>
  <c r="E48"/>
  <c r="E46"/>
  <c r="E44"/>
  <c r="E42"/>
  <c r="E19"/>
  <c r="D16" i="30"/>
  <c r="D14"/>
  <c r="F17" i="29"/>
  <c r="G14" i="30"/>
  <c r="D12"/>
  <c r="E13" i="29"/>
  <c r="D10" i="30"/>
  <c r="F13" i="29"/>
  <c r="G10" i="30"/>
  <c r="E11" i="29"/>
  <c r="D8" i="30"/>
  <c r="F11" i="29"/>
  <c r="G8" i="30"/>
  <c r="D6"/>
  <c r="E51" i="29"/>
  <c r="E49"/>
  <c r="E47"/>
  <c r="E45"/>
  <c r="E43"/>
  <c r="E41"/>
  <c r="D24" i="31"/>
  <c r="E18" i="29"/>
  <c r="D15" i="30"/>
  <c r="D11"/>
  <c r="F14" i="29"/>
  <c r="G11" i="30"/>
  <c r="E12" i="29"/>
  <c r="D9" i="30"/>
  <c r="I82" i="20"/>
  <c r="K81"/>
  <c r="L79"/>
  <c r="K79"/>
  <c r="F27"/>
  <c r="H82"/>
  <c r="I23" i="31"/>
  <c r="H19"/>
  <c r="I17"/>
  <c r="H15"/>
  <c r="H34"/>
  <c r="I26"/>
  <c r="I16"/>
  <c r="I14"/>
  <c r="G66" i="20"/>
  <c r="E3" i="22"/>
  <c r="I92" i="20"/>
  <c r="N92"/>
  <c r="H83"/>
  <c r="L82"/>
  <c r="H81"/>
  <c r="N79"/>
  <c r="J79"/>
  <c r="N82"/>
  <c r="M82"/>
  <c r="H80"/>
  <c r="C4" i="13"/>
  <c r="C39"/>
  <c r="D3" i="18"/>
  <c r="B2" i="17"/>
  <c r="L5"/>
  <c r="B72" i="7"/>
  <c r="B71"/>
  <c r="C3" i="19"/>
  <c r="B2" i="20"/>
  <c r="A1" i="22"/>
  <c r="B3" i="20"/>
  <c r="G6" i="7"/>
  <c r="F2" i="13"/>
  <c r="H7" i="7"/>
  <c r="G3" i="13"/>
  <c r="L7" i="7"/>
  <c r="K3" i="13"/>
  <c r="P7" i="7"/>
  <c r="O3" i="13"/>
  <c r="Q7" i="7"/>
  <c r="O7"/>
  <c r="N3" i="13"/>
  <c r="K7" i="7"/>
  <c r="J3" i="13"/>
  <c r="G7" i="7"/>
  <c r="F3" i="13"/>
  <c r="M79" i="20"/>
  <c r="I79"/>
  <c r="I81"/>
  <c r="L81"/>
  <c r="D100"/>
  <c r="E100"/>
  <c r="H59"/>
  <c r="L59"/>
  <c r="B1" i="1"/>
  <c r="N2" i="13"/>
  <c r="K6" i="7"/>
  <c r="B17"/>
  <c r="E22"/>
  <c r="E2" i="29"/>
  <c r="I3" i="31"/>
  <c r="C22" i="7"/>
  <c r="C2" i="29"/>
  <c r="G3" i="31"/>
  <c r="AZ9" i="24"/>
  <c r="J102" i="20"/>
  <c r="L102"/>
  <c r="I102"/>
  <c r="H102"/>
  <c r="E34" i="29"/>
  <c r="N88" i="20"/>
  <c r="K14" i="3"/>
  <c r="K8"/>
  <c r="BH31" i="24"/>
  <c r="BH27"/>
  <c r="BH23"/>
  <c r="BH19"/>
  <c r="D106" i="20"/>
  <c r="E106"/>
  <c r="K27" i="3"/>
  <c r="AA27"/>
  <c r="D6" i="18"/>
  <c r="D110" i="20"/>
  <c r="E110"/>
  <c r="P76"/>
  <c r="M7" i="7"/>
  <c r="L3" i="13"/>
  <c r="I7" i="7"/>
  <c r="H3" i="13"/>
  <c r="E7" i="7"/>
  <c r="D3" i="13"/>
  <c r="E5" i="30"/>
  <c r="D27"/>
  <c r="X15" i="3"/>
  <c r="K96" i="20"/>
  <c r="T76"/>
  <c r="F38" i="29"/>
  <c r="F36"/>
  <c r="F26"/>
  <c r="G23" i="30"/>
  <c r="F24" i="29"/>
  <c r="G21" i="30"/>
  <c r="F22" i="29"/>
  <c r="G19" i="30"/>
  <c r="E39" i="29"/>
  <c r="E37"/>
  <c r="F25"/>
  <c r="G22" i="30"/>
  <c r="F23" i="29"/>
  <c r="G20" i="30"/>
  <c r="F21" i="29"/>
  <c r="G18" i="30"/>
  <c r="K11" i="3"/>
  <c r="D94" i="20"/>
  <c r="E94"/>
  <c r="D93"/>
  <c r="E93"/>
  <c r="I15" i="17"/>
  <c r="P15"/>
  <c r="I7"/>
  <c r="S7"/>
  <c r="N109" i="20"/>
  <c r="K109"/>
  <c r="L109"/>
  <c r="K108"/>
  <c r="L108"/>
  <c r="J108"/>
  <c r="I108"/>
  <c r="M108"/>
  <c r="H108"/>
  <c r="N108"/>
  <c r="X27" i="3"/>
  <c r="Z27"/>
  <c r="AE27"/>
  <c r="AE15"/>
  <c r="AA15"/>
  <c r="BH29" i="24"/>
  <c r="BH21"/>
  <c r="I21" i="1"/>
  <c r="R11" i="13"/>
  <c r="I19" i="1"/>
  <c r="P11" i="13"/>
  <c r="I17" i="1"/>
  <c r="N11" i="13"/>
  <c r="I15" i="1"/>
  <c r="L11" i="13"/>
  <c r="I13" i="1"/>
  <c r="J11" i="13"/>
  <c r="I11" i="1"/>
  <c r="H11" i="13"/>
  <c r="I9" i="1"/>
  <c r="F11" i="13"/>
  <c r="I7" i="1"/>
  <c r="D11" i="13"/>
  <c r="I25" i="1"/>
  <c r="H25"/>
  <c r="I22"/>
  <c r="S11" i="13"/>
  <c r="I24" i="1"/>
  <c r="H24"/>
  <c r="I20"/>
  <c r="Q11" i="13"/>
  <c r="I18" i="1"/>
  <c r="O11" i="13"/>
  <c r="I16" i="1"/>
  <c r="M11" i="13"/>
  <c r="I14" i="1"/>
  <c r="K11" i="13"/>
  <c r="I12" i="1"/>
  <c r="I11" i="13"/>
  <c r="I10" i="1"/>
  <c r="G11" i="13"/>
  <c r="I8" i="1"/>
  <c r="E11" i="13"/>
  <c r="I6" i="1"/>
  <c r="C11" i="13"/>
  <c r="I23" i="1"/>
  <c r="T11" i="13"/>
  <c r="G2"/>
  <c r="B15" i="7"/>
  <c r="E4" i="10"/>
  <c r="J23" i="1"/>
  <c r="T12" i="13"/>
  <c r="J25" i="1"/>
  <c r="J22"/>
  <c r="S12" i="13"/>
  <c r="J7" i="1"/>
  <c r="D12" i="13"/>
  <c r="J8" i="1"/>
  <c r="E12" i="13"/>
  <c r="J9" i="1"/>
  <c r="F12" i="13"/>
  <c r="J10" i="1"/>
  <c r="G12" i="13"/>
  <c r="J11" i="1"/>
  <c r="H12" i="13"/>
  <c r="J12" i="1"/>
  <c r="I12" i="13"/>
  <c r="J13" i="1"/>
  <c r="J12" i="13"/>
  <c r="J14" i="1"/>
  <c r="K12" i="13"/>
  <c r="J15" i="1"/>
  <c r="L12" i="13"/>
  <c r="J16" i="1"/>
  <c r="M12" i="13"/>
  <c r="J17" i="1"/>
  <c r="N12" i="13"/>
  <c r="J18" i="1"/>
  <c r="O12" i="13"/>
  <c r="J19" i="1"/>
  <c r="P12" i="13"/>
  <c r="J20" i="1"/>
  <c r="Q12" i="13"/>
  <c r="I96" i="20"/>
  <c r="Z24" i="3"/>
  <c r="AE25"/>
  <c r="AA25"/>
  <c r="Z25"/>
  <c r="AE24"/>
  <c r="AA24"/>
  <c r="X24"/>
  <c r="BR9" i="24"/>
  <c r="K16" i="3"/>
  <c r="F31" i="29"/>
  <c r="G28" i="30"/>
  <c r="E31" i="29"/>
  <c r="J2" i="13"/>
  <c r="H14" i="31"/>
  <c r="H84" i="20"/>
  <c r="J96"/>
  <c r="L2" i="13"/>
  <c r="E28" i="29"/>
  <c r="F28"/>
  <c r="G25" i="30"/>
  <c r="I109" i="20"/>
  <c r="H109"/>
  <c r="M109"/>
  <c r="C28"/>
  <c r="L28"/>
  <c r="I13" i="17"/>
  <c r="P13"/>
  <c r="J80" i="20"/>
  <c r="M96"/>
  <c r="I34" i="31"/>
  <c r="M83" i="20"/>
  <c r="M92"/>
  <c r="I84"/>
  <c r="I80"/>
  <c r="L83"/>
  <c r="I83"/>
  <c r="K92"/>
  <c r="K80"/>
  <c r="E10" i="29"/>
  <c r="D14" i="31"/>
  <c r="L96" i="20"/>
  <c r="N96"/>
  <c r="L92"/>
  <c r="K83"/>
  <c r="N86"/>
  <c r="H106"/>
  <c r="K93"/>
  <c r="J106"/>
  <c r="F30"/>
  <c r="L87"/>
  <c r="H87"/>
  <c r="T10" i="24"/>
  <c r="C78" i="20"/>
  <c r="K78"/>
  <c r="C21"/>
  <c r="C20"/>
  <c r="C19"/>
  <c r="C18"/>
  <c r="C17"/>
  <c r="C16"/>
  <c r="N16"/>
  <c r="C15"/>
  <c r="H15"/>
  <c r="C13"/>
  <c r="H13"/>
  <c r="C147"/>
  <c r="J147"/>
  <c r="C145"/>
  <c r="C139"/>
  <c r="J139"/>
  <c r="C137"/>
  <c r="C143"/>
  <c r="J143"/>
  <c r="C141"/>
  <c r="C135"/>
  <c r="J135"/>
  <c r="C133"/>
  <c r="D26" i="31"/>
  <c r="H17"/>
  <c r="J84" i="20"/>
  <c r="L84"/>
  <c r="M84"/>
  <c r="K84"/>
  <c r="D15" i="31"/>
  <c r="F20" i="29"/>
  <c r="G17" i="30"/>
  <c r="L91" i="20"/>
  <c r="J91"/>
  <c r="D90"/>
  <c r="E90"/>
  <c r="D89"/>
  <c r="E89"/>
  <c r="P7" i="17"/>
  <c r="T15"/>
  <c r="Q7"/>
  <c r="D30" i="31"/>
  <c r="L89" i="20"/>
  <c r="H89"/>
  <c r="N15" i="17"/>
  <c r="N80" i="20"/>
  <c r="D20" i="30"/>
  <c r="D18" i="5"/>
  <c r="I95" i="20"/>
  <c r="M95"/>
  <c r="J95"/>
  <c r="N95"/>
  <c r="M93"/>
  <c r="N93"/>
  <c r="H93"/>
  <c r="M91"/>
  <c r="N91"/>
  <c r="H91"/>
  <c r="M90"/>
  <c r="H90"/>
  <c r="J90"/>
  <c r="N90"/>
  <c r="M89"/>
  <c r="K89"/>
  <c r="I89"/>
  <c r="J88"/>
  <c r="M88"/>
  <c r="K88"/>
  <c r="I78"/>
  <c r="N78"/>
  <c r="K16"/>
  <c r="K15"/>
  <c r="L15"/>
  <c r="I13"/>
  <c r="L13"/>
  <c r="N10" i="17"/>
  <c r="S10"/>
  <c r="O10"/>
  <c r="T10"/>
  <c r="F26" i="20"/>
  <c r="E26"/>
  <c r="E39"/>
  <c r="E52"/>
  <c r="C26"/>
  <c r="G26"/>
  <c r="I8" i="17"/>
  <c r="I11"/>
  <c r="I12"/>
  <c r="C7" i="20"/>
  <c r="F7"/>
  <c r="C8"/>
  <c r="F8"/>
  <c r="C9"/>
  <c r="F9"/>
  <c r="C11"/>
  <c r="F11"/>
  <c r="C12"/>
  <c r="F12"/>
  <c r="C14"/>
  <c r="F14"/>
  <c r="C97"/>
  <c r="F97"/>
  <c r="O10" i="24"/>
  <c r="Q10"/>
  <c r="S10"/>
  <c r="AM10"/>
  <c r="AO10"/>
  <c r="BJ10"/>
  <c r="BL10"/>
  <c r="D19" i="5"/>
  <c r="D20"/>
  <c r="D23"/>
  <c r="D31"/>
  <c r="D32"/>
  <c r="D6"/>
  <c r="C99" i="20"/>
  <c r="F99"/>
  <c r="C111"/>
  <c r="F111"/>
  <c r="C103"/>
  <c r="F103"/>
  <c r="G33" i="31"/>
  <c r="G29"/>
  <c r="G32"/>
  <c r="G28"/>
  <c r="C7" i="29"/>
  <c r="H7"/>
  <c r="E33"/>
  <c r="F33"/>
  <c r="B19" i="31"/>
  <c r="G19"/>
  <c r="I19"/>
  <c r="F15" i="29"/>
  <c r="G12" i="30"/>
  <c r="E2" i="13"/>
  <c r="B10" i="7"/>
  <c r="K102" i="20"/>
  <c r="N102"/>
  <c r="M102"/>
  <c r="K86"/>
  <c r="H86"/>
  <c r="L86"/>
  <c r="J86"/>
  <c r="Z15" i="3"/>
  <c r="E28" i="20"/>
  <c r="F28"/>
  <c r="D16" i="29"/>
  <c r="S15" i="17"/>
  <c r="O7"/>
  <c r="C27" i="20"/>
  <c r="M27"/>
  <c r="I6" i="17"/>
  <c r="R6"/>
  <c r="I9"/>
  <c r="O9"/>
  <c r="I14"/>
  <c r="O14"/>
  <c r="L133" i="20"/>
  <c r="N135"/>
  <c r="M135"/>
  <c r="H141"/>
  <c r="N143"/>
  <c r="M143"/>
  <c r="L137"/>
  <c r="N139"/>
  <c r="M139"/>
  <c r="H145"/>
  <c r="N147"/>
  <c r="M147"/>
  <c r="H26" i="31"/>
  <c r="L88" i="20"/>
  <c r="E29" i="29"/>
  <c r="D33" i="31"/>
  <c r="E32" i="29"/>
  <c r="F30"/>
  <c r="G27" i="30"/>
  <c r="J89" i="20"/>
  <c r="N89"/>
  <c r="K90"/>
  <c r="I90"/>
  <c r="K91"/>
  <c r="I91"/>
  <c r="AP10" i="24"/>
  <c r="J78" i="20"/>
  <c r="G22" i="31"/>
  <c r="I30"/>
  <c r="I35"/>
  <c r="H88" i="20"/>
  <c r="R10" i="17"/>
  <c r="J16" i="20"/>
  <c r="J15"/>
  <c r="D88"/>
  <c r="E88"/>
  <c r="L93"/>
  <c r="P10" i="17"/>
  <c r="M13" i="20"/>
  <c r="M16"/>
  <c r="J93"/>
  <c r="L95"/>
  <c r="K95"/>
  <c r="CL10" i="6"/>
  <c r="BR10"/>
  <c r="D30" i="5"/>
  <c r="D29"/>
  <c r="D27"/>
  <c r="D25"/>
  <c r="BK10" i="24"/>
  <c r="AN10"/>
  <c r="R10"/>
  <c r="C158" i="20"/>
  <c r="F158"/>
  <c r="C157"/>
  <c r="C156"/>
  <c r="F156"/>
  <c r="C155"/>
  <c r="C154"/>
  <c r="F154"/>
  <c r="C153"/>
  <c r="F153"/>
  <c r="C152"/>
  <c r="F152"/>
  <c r="C150"/>
  <c r="C132"/>
  <c r="F132"/>
  <c r="C130"/>
  <c r="F130"/>
  <c r="C128"/>
  <c r="F128"/>
  <c r="C126"/>
  <c r="C124"/>
  <c r="F124"/>
  <c r="C122"/>
  <c r="F122"/>
  <c r="C120"/>
  <c r="F120"/>
  <c r="C118"/>
  <c r="F118"/>
  <c r="C116"/>
  <c r="F116"/>
  <c r="C114"/>
  <c r="C112"/>
  <c r="F112"/>
  <c r="C110"/>
  <c r="F110"/>
  <c r="C105"/>
  <c r="F105"/>
  <c r="C101"/>
  <c r="F101"/>
  <c r="C98"/>
  <c r="F98"/>
  <c r="C10"/>
  <c r="F10"/>
  <c r="C13" i="17"/>
  <c r="C12"/>
  <c r="B12" i="30"/>
  <c r="CV10" i="6"/>
  <c r="CB10"/>
  <c r="BH10"/>
  <c r="D28" i="5"/>
  <c r="D26"/>
  <c r="D24"/>
  <c r="D21"/>
  <c r="D5"/>
  <c r="C151" i="20"/>
  <c r="F151"/>
  <c r="C149"/>
  <c r="F149"/>
  <c r="C131"/>
  <c r="C129"/>
  <c r="F129"/>
  <c r="C127"/>
  <c r="F127"/>
  <c r="C125"/>
  <c r="F125"/>
  <c r="C123"/>
  <c r="F123"/>
  <c r="C121"/>
  <c r="C119"/>
  <c r="F119"/>
  <c r="C117"/>
  <c r="F117"/>
  <c r="C115"/>
  <c r="F115"/>
  <c r="C113"/>
  <c r="F113"/>
  <c r="C104"/>
  <c r="C100"/>
  <c r="F100"/>
  <c r="C94"/>
  <c r="C148"/>
  <c r="F148"/>
  <c r="G167"/>
  <c r="G9" i="19"/>
  <c r="C146" i="20"/>
  <c r="F146"/>
  <c r="E167"/>
  <c r="E9" i="19"/>
  <c r="C140" i="20"/>
  <c r="F140"/>
  <c r="G166"/>
  <c r="G8" i="19"/>
  <c r="C138" i="20"/>
  <c r="F138"/>
  <c r="E166"/>
  <c r="E8" i="19"/>
  <c r="C144" i="20"/>
  <c r="F144"/>
  <c r="G165"/>
  <c r="G7" i="19"/>
  <c r="C142" i="20"/>
  <c r="F142"/>
  <c r="E165"/>
  <c r="E7" i="19"/>
  <c r="C136" i="20"/>
  <c r="C134"/>
  <c r="F134"/>
  <c r="E164"/>
  <c r="E6" i="19"/>
  <c r="D28" i="31"/>
  <c r="D22" i="30"/>
  <c r="H85" i="20"/>
  <c r="M85"/>
  <c r="I85"/>
  <c r="N85"/>
  <c r="J85"/>
  <c r="K85"/>
  <c r="L85"/>
  <c r="Q15" i="17"/>
  <c r="R15"/>
  <c r="O15"/>
  <c r="E44" i="20"/>
  <c r="E57"/>
  <c r="S66"/>
  <c r="H14" i="22"/>
  <c r="E42" i="20"/>
  <c r="E55"/>
  <c r="M66"/>
  <c r="B14" i="22"/>
  <c r="P66" i="20"/>
  <c r="E14" i="22"/>
  <c r="E43" i="20"/>
  <c r="E56"/>
  <c r="R7" i="17"/>
  <c r="N7"/>
  <c r="T7"/>
  <c r="H23" i="31"/>
  <c r="H16"/>
  <c r="D23"/>
  <c r="D17"/>
  <c r="D16"/>
  <c r="O2" i="13"/>
  <c r="I26" i="20"/>
  <c r="G16" i="31"/>
  <c r="G14"/>
  <c r="G15"/>
  <c r="G23"/>
  <c r="G26"/>
  <c r="G34"/>
  <c r="G17"/>
  <c r="B3" i="24"/>
  <c r="B3" i="6"/>
  <c r="H2" i="13"/>
  <c r="F26" i="31"/>
  <c r="E11" i="30"/>
  <c r="K10" i="3"/>
  <c r="K17"/>
  <c r="Z21"/>
  <c r="AA21"/>
  <c r="AE21"/>
  <c r="X21"/>
  <c r="Z17"/>
  <c r="AA17"/>
  <c r="X17"/>
  <c r="AE17"/>
  <c r="K12"/>
  <c r="K22"/>
  <c r="N9" i="17"/>
  <c r="N27" i="20"/>
  <c r="R13" i="17"/>
  <c r="S13"/>
  <c r="T13"/>
  <c r="Q13"/>
  <c r="N13"/>
  <c r="I7" i="29"/>
  <c r="D35" i="31"/>
  <c r="D28" i="30"/>
  <c r="D18"/>
  <c r="N28" i="20"/>
  <c r="N41"/>
  <c r="M28"/>
  <c r="H28"/>
  <c r="G28"/>
  <c r="J25"/>
  <c r="R76"/>
  <c r="I15" i="31"/>
  <c r="D22"/>
  <c r="B2" i="29"/>
  <c r="F3" i="31"/>
  <c r="K82" i="20"/>
  <c r="C31"/>
  <c r="G31"/>
  <c r="C30"/>
  <c r="G30"/>
  <c r="C29"/>
  <c r="G29"/>
  <c r="F136"/>
  <c r="G164"/>
  <c r="G6" i="19"/>
  <c r="F121" i="20"/>
  <c r="F93"/>
  <c r="F17"/>
  <c r="F15"/>
  <c r="F133"/>
  <c r="D164"/>
  <c r="D6" i="19"/>
  <c r="F91" i="20"/>
  <c r="F90"/>
  <c r="F92"/>
  <c r="F80"/>
  <c r="F18"/>
  <c r="F89"/>
  <c r="F6"/>
  <c r="G25"/>
  <c r="F16"/>
  <c r="F108"/>
  <c r="F81"/>
  <c r="F79"/>
  <c r="F155"/>
  <c r="F82"/>
  <c r="F88"/>
  <c r="F83"/>
  <c r="F84"/>
  <c r="F19"/>
  <c r="F143"/>
  <c r="F165"/>
  <c r="F7" i="19"/>
  <c r="F131" i="20"/>
  <c r="F114"/>
  <c r="F87"/>
  <c r="F94"/>
  <c r="F109"/>
  <c r="F137"/>
  <c r="D166"/>
  <c r="D8" i="19"/>
  <c r="F102" i="20"/>
  <c r="F157"/>
  <c r="F96"/>
  <c r="F78"/>
  <c r="F86"/>
  <c r="F126"/>
  <c r="F95"/>
  <c r="F106"/>
  <c r="F107"/>
  <c r="F21"/>
  <c r="F20"/>
  <c r="F104"/>
  <c r="F85"/>
  <c r="F150"/>
  <c r="M41"/>
  <c r="H15" i="5"/>
  <c r="H14"/>
  <c r="H4"/>
  <c r="H13"/>
  <c r="H12"/>
  <c r="H18"/>
  <c r="M15" i="20"/>
  <c r="O13" i="17"/>
  <c r="F147" i="20"/>
  <c r="F167"/>
  <c r="F9" i="19"/>
  <c r="F139" i="20"/>
  <c r="F166"/>
  <c r="F8" i="19"/>
  <c r="F135" i="20"/>
  <c r="F164"/>
  <c r="F6" i="19"/>
  <c r="F13" i="20"/>
  <c r="I28"/>
  <c r="J28"/>
  <c r="K28"/>
  <c r="G20" i="31"/>
  <c r="H5" i="5"/>
  <c r="J13" i="20"/>
  <c r="H16"/>
  <c r="D7" i="30"/>
  <c r="D25"/>
  <c r="D32" i="31"/>
  <c r="N15" i="20"/>
  <c r="I15"/>
  <c r="K13"/>
  <c r="N13"/>
  <c r="I16"/>
  <c r="L16"/>
  <c r="M78"/>
  <c r="H78"/>
  <c r="L78"/>
  <c r="P9" i="17"/>
  <c r="H17" i="5"/>
  <c r="K27" i="20"/>
  <c r="R9" i="17"/>
  <c r="F32" i="31"/>
  <c r="G35"/>
  <c r="I27" i="20"/>
  <c r="H20" i="5"/>
  <c r="I133" i="20"/>
  <c r="K133"/>
  <c r="H133"/>
  <c r="J133"/>
  <c r="N133"/>
  <c r="K141"/>
  <c r="I141"/>
  <c r="J141"/>
  <c r="M141"/>
  <c r="N141"/>
  <c r="K137"/>
  <c r="M137"/>
  <c r="N137"/>
  <c r="I137"/>
  <c r="J137"/>
  <c r="K145"/>
  <c r="I145"/>
  <c r="J145"/>
  <c r="M145"/>
  <c r="N145"/>
  <c r="I135"/>
  <c r="K135"/>
  <c r="L135"/>
  <c r="H135"/>
  <c r="I143"/>
  <c r="H143"/>
  <c r="K143"/>
  <c r="L143"/>
  <c r="I139"/>
  <c r="K139"/>
  <c r="L139"/>
  <c r="H139"/>
  <c r="I147"/>
  <c r="H147"/>
  <c r="K147"/>
  <c r="L147"/>
  <c r="G27"/>
  <c r="F141"/>
  <c r="D165"/>
  <c r="D7" i="19"/>
  <c r="F145" i="20"/>
  <c r="D167"/>
  <c r="D9" i="19"/>
  <c r="T9" i="17"/>
  <c r="L27" i="20"/>
  <c r="L40"/>
  <c r="J27"/>
  <c r="F29" i="31"/>
  <c r="F35"/>
  <c r="H35"/>
  <c r="H27" i="20"/>
  <c r="H21" i="5"/>
  <c r="L145" i="20"/>
  <c r="H137"/>
  <c r="L141"/>
  <c r="M133"/>
  <c r="G7" i="29"/>
  <c r="E20" i="30"/>
  <c r="D66" i="20"/>
  <c r="B3" i="22"/>
  <c r="N6" i="17"/>
  <c r="T14"/>
  <c r="G24" i="31"/>
  <c r="I24"/>
  <c r="H24"/>
  <c r="H22" i="5"/>
  <c r="H8"/>
  <c r="J7" i="29"/>
  <c r="G25" i="31"/>
  <c r="G30"/>
  <c r="H23" i="5"/>
  <c r="O6" i="17"/>
  <c r="R14"/>
  <c r="E18" i="30"/>
  <c r="F25" i="31"/>
  <c r="H30" i="5"/>
  <c r="E19" i="30"/>
  <c r="F28" i="31"/>
  <c r="E23" i="30"/>
  <c r="D26"/>
  <c r="H30" i="31"/>
  <c r="Q6" i="17"/>
  <c r="H24" i="5"/>
  <c r="H136" i="20"/>
  <c r="L136"/>
  <c r="I136"/>
  <c r="M136"/>
  <c r="J136"/>
  <c r="N136"/>
  <c r="K136"/>
  <c r="H144"/>
  <c r="L144"/>
  <c r="I144"/>
  <c r="M144"/>
  <c r="J144"/>
  <c r="N144"/>
  <c r="K144"/>
  <c r="H140"/>
  <c r="L140"/>
  <c r="I140"/>
  <c r="M140"/>
  <c r="J140"/>
  <c r="N140"/>
  <c r="K140"/>
  <c r="H148"/>
  <c r="L148"/>
  <c r="I148"/>
  <c r="M148"/>
  <c r="J148"/>
  <c r="N148"/>
  <c r="K148"/>
  <c r="I94"/>
  <c r="Q94"/>
  <c r="K94"/>
  <c r="S94"/>
  <c r="N94"/>
  <c r="V94"/>
  <c r="L94"/>
  <c r="T94"/>
  <c r="J94"/>
  <c r="M94"/>
  <c r="U94"/>
  <c r="H94"/>
  <c r="P94"/>
  <c r="I104"/>
  <c r="L104"/>
  <c r="T104"/>
  <c r="K104"/>
  <c r="S104"/>
  <c r="J104"/>
  <c r="R104"/>
  <c r="N104"/>
  <c r="V104"/>
  <c r="M104"/>
  <c r="U104"/>
  <c r="H104"/>
  <c r="P104"/>
  <c r="K115"/>
  <c r="N115"/>
  <c r="I115"/>
  <c r="J115"/>
  <c r="L115"/>
  <c r="H115"/>
  <c r="M115"/>
  <c r="H119"/>
  <c r="I119"/>
  <c r="J119"/>
  <c r="K119"/>
  <c r="M119"/>
  <c r="N119"/>
  <c r="L119"/>
  <c r="H123"/>
  <c r="I123"/>
  <c r="M123"/>
  <c r="K123"/>
  <c r="L123"/>
  <c r="J123"/>
  <c r="N123"/>
  <c r="H127"/>
  <c r="I127"/>
  <c r="J127"/>
  <c r="L127"/>
  <c r="M127"/>
  <c r="N127"/>
  <c r="K127"/>
  <c r="H131"/>
  <c r="I131"/>
  <c r="J131"/>
  <c r="L131"/>
  <c r="M131"/>
  <c r="N131"/>
  <c r="K131"/>
  <c r="N151"/>
  <c r="L151"/>
  <c r="I151"/>
  <c r="K151"/>
  <c r="M151"/>
  <c r="J151"/>
  <c r="H151"/>
  <c r="F19" i="31"/>
  <c r="E12" i="30"/>
  <c r="J10" i="20"/>
  <c r="M10"/>
  <c r="I10"/>
  <c r="H10"/>
  <c r="N10"/>
  <c r="L10"/>
  <c r="K10"/>
  <c r="K101"/>
  <c r="S101"/>
  <c r="J101"/>
  <c r="R101"/>
  <c r="N101"/>
  <c r="V101"/>
  <c r="M101"/>
  <c r="U101"/>
  <c r="H101"/>
  <c r="I101"/>
  <c r="Q101"/>
  <c r="L101"/>
  <c r="T101"/>
  <c r="H110"/>
  <c r="N110"/>
  <c r="K110"/>
  <c r="J110"/>
  <c r="M110"/>
  <c r="L110"/>
  <c r="I110"/>
  <c r="J114"/>
  <c r="R114"/>
  <c r="K114"/>
  <c r="L114"/>
  <c r="T114"/>
  <c r="M114"/>
  <c r="U114"/>
  <c r="N114"/>
  <c r="V114"/>
  <c r="H114"/>
  <c r="P114"/>
  <c r="I114"/>
  <c r="Q114"/>
  <c r="J118"/>
  <c r="K118"/>
  <c r="L118"/>
  <c r="M118"/>
  <c r="N118"/>
  <c r="H118"/>
  <c r="I118"/>
  <c r="J122"/>
  <c r="K122"/>
  <c r="L122"/>
  <c r="M122"/>
  <c r="N122"/>
  <c r="H122"/>
  <c r="I122"/>
  <c r="J126"/>
  <c r="K126"/>
  <c r="H126"/>
  <c r="L126"/>
  <c r="N126"/>
  <c r="I126"/>
  <c r="M126"/>
  <c r="J130"/>
  <c r="K130"/>
  <c r="H130"/>
  <c r="L130"/>
  <c r="N130"/>
  <c r="I130"/>
  <c r="M130"/>
  <c r="I150"/>
  <c r="K150"/>
  <c r="M150"/>
  <c r="J150"/>
  <c r="H150"/>
  <c r="N150"/>
  <c r="L150"/>
  <c r="M153"/>
  <c r="J153"/>
  <c r="H153"/>
  <c r="N153"/>
  <c r="L153"/>
  <c r="I153"/>
  <c r="K153"/>
  <c r="N155"/>
  <c r="L155"/>
  <c r="I155"/>
  <c r="K155"/>
  <c r="M155"/>
  <c r="J155"/>
  <c r="H155"/>
  <c r="M157"/>
  <c r="J157"/>
  <c r="H157"/>
  <c r="N157"/>
  <c r="L157"/>
  <c r="I157"/>
  <c r="K157"/>
  <c r="H22" i="31"/>
  <c r="I22"/>
  <c r="S9" i="17"/>
  <c r="Q9"/>
  <c r="F16" i="29"/>
  <c r="G13" i="30"/>
  <c r="E16" i="29"/>
  <c r="J66" i="20"/>
  <c r="H3" i="22"/>
  <c r="E41" i="20"/>
  <c r="E54"/>
  <c r="I32" i="31"/>
  <c r="H32"/>
  <c r="I29"/>
  <c r="H29"/>
  <c r="K111" i="20"/>
  <c r="S111"/>
  <c r="H111"/>
  <c r="P111"/>
  <c r="L111"/>
  <c r="M111"/>
  <c r="U111"/>
  <c r="J111"/>
  <c r="R111"/>
  <c r="I111"/>
  <c r="Q111"/>
  <c r="N111"/>
  <c r="V111"/>
  <c r="H97"/>
  <c r="J97"/>
  <c r="L97"/>
  <c r="N97"/>
  <c r="I97"/>
  <c r="K97"/>
  <c r="M97"/>
  <c r="J12"/>
  <c r="H12"/>
  <c r="K12"/>
  <c r="N12"/>
  <c r="L12"/>
  <c r="I12"/>
  <c r="M12"/>
  <c r="I9"/>
  <c r="K9"/>
  <c r="M9"/>
  <c r="H9"/>
  <c r="L9"/>
  <c r="N9"/>
  <c r="J9"/>
  <c r="K7"/>
  <c r="H7"/>
  <c r="L7"/>
  <c r="I7"/>
  <c r="N7"/>
  <c r="M7"/>
  <c r="J7"/>
  <c r="N11" i="17"/>
  <c r="Q11"/>
  <c r="R11"/>
  <c r="P11"/>
  <c r="S11"/>
  <c r="O11"/>
  <c r="T11"/>
  <c r="N26" i="20"/>
  <c r="N39"/>
  <c r="L26"/>
  <c r="K26"/>
  <c r="M26"/>
  <c r="J26"/>
  <c r="H26"/>
  <c r="J134"/>
  <c r="N134"/>
  <c r="K134"/>
  <c r="H134"/>
  <c r="L134"/>
  <c r="I134"/>
  <c r="M134"/>
  <c r="J142"/>
  <c r="N142"/>
  <c r="K142"/>
  <c r="H142"/>
  <c r="L142"/>
  <c r="I142"/>
  <c r="M142"/>
  <c r="J138"/>
  <c r="N138"/>
  <c r="K138"/>
  <c r="H138"/>
  <c r="L138"/>
  <c r="I138"/>
  <c r="M138"/>
  <c r="J146"/>
  <c r="N146"/>
  <c r="K146"/>
  <c r="H146"/>
  <c r="L146"/>
  <c r="I146"/>
  <c r="M146"/>
  <c r="K100"/>
  <c r="H100"/>
  <c r="P100"/>
  <c r="J100"/>
  <c r="R100"/>
  <c r="I100"/>
  <c r="Q100"/>
  <c r="L100"/>
  <c r="T100"/>
  <c r="N100"/>
  <c r="V100"/>
  <c r="M100"/>
  <c r="U100"/>
  <c r="I113"/>
  <c r="Q113"/>
  <c r="N113"/>
  <c r="V113"/>
  <c r="H113"/>
  <c r="P113"/>
  <c r="L113"/>
  <c r="T113"/>
  <c r="J113"/>
  <c r="R113"/>
  <c r="M113"/>
  <c r="U113"/>
  <c r="K113"/>
  <c r="S113"/>
  <c r="I117"/>
  <c r="Q117"/>
  <c r="N117"/>
  <c r="V117"/>
  <c r="H117"/>
  <c r="P117"/>
  <c r="M117"/>
  <c r="U117"/>
  <c r="K117"/>
  <c r="S117"/>
  <c r="J117"/>
  <c r="R117"/>
  <c r="L117"/>
  <c r="T117"/>
  <c r="L121"/>
  <c r="M121"/>
  <c r="N121"/>
  <c r="I121"/>
  <c r="K121"/>
  <c r="J121"/>
  <c r="H121"/>
  <c r="H125"/>
  <c r="I125"/>
  <c r="J125"/>
  <c r="N125"/>
  <c r="L125"/>
  <c r="M125"/>
  <c r="K125"/>
  <c r="H129"/>
  <c r="I129"/>
  <c r="J129"/>
  <c r="N129"/>
  <c r="L129"/>
  <c r="M129"/>
  <c r="K129"/>
  <c r="L149"/>
  <c r="H149"/>
  <c r="K149"/>
  <c r="M149"/>
  <c r="I149"/>
  <c r="N149"/>
  <c r="J149"/>
  <c r="H98"/>
  <c r="P98"/>
  <c r="K98"/>
  <c r="S98"/>
  <c r="L98"/>
  <c r="T98"/>
  <c r="M98"/>
  <c r="U98"/>
  <c r="I98"/>
  <c r="Q98"/>
  <c r="J98"/>
  <c r="R98"/>
  <c r="N98"/>
  <c r="K105"/>
  <c r="S105"/>
  <c r="L105"/>
  <c r="J105"/>
  <c r="M105"/>
  <c r="U105"/>
  <c r="H105"/>
  <c r="P105"/>
  <c r="N105"/>
  <c r="V105"/>
  <c r="I105"/>
  <c r="Q105"/>
  <c r="L112"/>
  <c r="T112"/>
  <c r="M112"/>
  <c r="U112"/>
  <c r="N112"/>
  <c r="H112"/>
  <c r="P112"/>
  <c r="I112"/>
  <c r="Q112"/>
  <c r="J112"/>
  <c r="R112"/>
  <c r="K112"/>
  <c r="S112"/>
  <c r="L116"/>
  <c r="T116"/>
  <c r="M116"/>
  <c r="U116"/>
  <c r="N116"/>
  <c r="V116"/>
  <c r="H116"/>
  <c r="P116"/>
  <c r="I116"/>
  <c r="Q116"/>
  <c r="J116"/>
  <c r="R116"/>
  <c r="K116"/>
  <c r="S116"/>
  <c r="N120"/>
  <c r="H120"/>
  <c r="I120"/>
  <c r="J120"/>
  <c r="K120"/>
  <c r="L120"/>
  <c r="M120"/>
  <c r="N124"/>
  <c r="L124"/>
  <c r="H124"/>
  <c r="J124"/>
  <c r="K124"/>
  <c r="M124"/>
  <c r="I124"/>
  <c r="N128"/>
  <c r="L128"/>
  <c r="H128"/>
  <c r="J128"/>
  <c r="K128"/>
  <c r="M128"/>
  <c r="I128"/>
  <c r="N132"/>
  <c r="L132"/>
  <c r="H132"/>
  <c r="J132"/>
  <c r="K132"/>
  <c r="M132"/>
  <c r="I132"/>
  <c r="J152"/>
  <c r="H152"/>
  <c r="N152"/>
  <c r="L152"/>
  <c r="I152"/>
  <c r="K152"/>
  <c r="M152"/>
  <c r="I154"/>
  <c r="K154"/>
  <c r="M154"/>
  <c r="J154"/>
  <c r="H154"/>
  <c r="N154"/>
  <c r="L154"/>
  <c r="J156"/>
  <c r="H156"/>
  <c r="N156"/>
  <c r="L156"/>
  <c r="I156"/>
  <c r="K156"/>
  <c r="M156"/>
  <c r="I158"/>
  <c r="K158"/>
  <c r="M158"/>
  <c r="J158"/>
  <c r="H158"/>
  <c r="N158"/>
  <c r="L158"/>
  <c r="N14" i="17"/>
  <c r="Q14"/>
  <c r="P14"/>
  <c r="S14"/>
  <c r="T6"/>
  <c r="S6"/>
  <c r="P6"/>
  <c r="I20" i="31"/>
  <c r="H20"/>
  <c r="B2" i="24"/>
  <c r="B2" i="6"/>
  <c r="H28" i="31"/>
  <c r="I28"/>
  <c r="H25"/>
  <c r="I25"/>
  <c r="H33"/>
  <c r="I33"/>
  <c r="K103" i="20"/>
  <c r="I103"/>
  <c r="Q103"/>
  <c r="H103"/>
  <c r="P103"/>
  <c r="L103"/>
  <c r="T103"/>
  <c r="J103"/>
  <c r="R103"/>
  <c r="N103"/>
  <c r="V103"/>
  <c r="M103"/>
  <c r="U103"/>
  <c r="K99"/>
  <c r="J99"/>
  <c r="R99"/>
  <c r="N99"/>
  <c r="M99"/>
  <c r="U99"/>
  <c r="L99"/>
  <c r="I99"/>
  <c r="Q99"/>
  <c r="H99"/>
  <c r="J14"/>
  <c r="N14"/>
  <c r="M14"/>
  <c r="I14"/>
  <c r="H14"/>
  <c r="K14"/>
  <c r="L14"/>
  <c r="H11"/>
  <c r="M11"/>
  <c r="L11"/>
  <c r="K11"/>
  <c r="J11"/>
  <c r="I11"/>
  <c r="N11"/>
  <c r="N8"/>
  <c r="K8"/>
  <c r="H8"/>
  <c r="J8"/>
  <c r="M8"/>
  <c r="L8"/>
  <c r="I8"/>
  <c r="R12" i="17"/>
  <c r="N12"/>
  <c r="Q12"/>
  <c r="P12"/>
  <c r="O12"/>
  <c r="T12"/>
  <c r="S12"/>
  <c r="N8"/>
  <c r="Q8"/>
  <c r="T8"/>
  <c r="R8"/>
  <c r="S8"/>
  <c r="O8"/>
  <c r="P8"/>
  <c r="E25" i="30"/>
  <c r="H41" i="20"/>
  <c r="L4" i="17"/>
  <c r="F12"/>
  <c r="G12"/>
  <c r="F13"/>
  <c r="G13"/>
  <c r="E16" i="30"/>
  <c r="F23" i="31"/>
  <c r="F34"/>
  <c r="E27" i="30"/>
  <c r="F30" i="31"/>
  <c r="E10" i="30"/>
  <c r="F17" i="31"/>
  <c r="E9" i="30"/>
  <c r="F16" i="31"/>
  <c r="E14" i="30"/>
  <c r="F22" i="31"/>
  <c r="E15" i="30"/>
  <c r="F20" i="31"/>
  <c r="E13" i="30"/>
  <c r="F15" i="31"/>
  <c r="E8" i="30"/>
  <c r="E22"/>
  <c r="F14" i="31"/>
  <c r="E7" i="30"/>
  <c r="E26"/>
  <c r="F33" i="31"/>
  <c r="K30" i="20"/>
  <c r="J30"/>
  <c r="N30"/>
  <c r="M30"/>
  <c r="L30"/>
  <c r="J43"/>
  <c r="N43"/>
  <c r="I30"/>
  <c r="H30"/>
  <c r="K43"/>
  <c r="M29"/>
  <c r="K29"/>
  <c r="J29"/>
  <c r="N29"/>
  <c r="L29"/>
  <c r="J42"/>
  <c r="N42"/>
  <c r="L42"/>
  <c r="I29"/>
  <c r="H29"/>
  <c r="G42"/>
  <c r="L31"/>
  <c r="N31"/>
  <c r="M31"/>
  <c r="L44"/>
  <c r="I31"/>
  <c r="K31"/>
  <c r="H31"/>
  <c r="J31"/>
  <c r="H44"/>
  <c r="M44"/>
  <c r="N44"/>
  <c r="AH30" i="3"/>
  <c r="N40" i="20"/>
  <c r="M40"/>
  <c r="I41"/>
  <c r="K41"/>
  <c r="L41"/>
  <c r="Q85"/>
  <c r="T85"/>
  <c r="U85"/>
  <c r="R85"/>
  <c r="S85"/>
  <c r="V85"/>
  <c r="P85"/>
  <c r="S106"/>
  <c r="U106"/>
  <c r="R106"/>
  <c r="Q106"/>
  <c r="V106"/>
  <c r="P106"/>
  <c r="T106"/>
  <c r="T111"/>
  <c r="Q102"/>
  <c r="R102"/>
  <c r="P102"/>
  <c r="V102"/>
  <c r="U102"/>
  <c r="S102"/>
  <c r="T102"/>
  <c r="R105"/>
  <c r="T105"/>
  <c r="S87"/>
  <c r="R87"/>
  <c r="U87"/>
  <c r="Q87"/>
  <c r="T87"/>
  <c r="V87"/>
  <c r="P87"/>
  <c r="V83"/>
  <c r="S83"/>
  <c r="U83"/>
  <c r="T83"/>
  <c r="P83"/>
  <c r="Q83"/>
  <c r="R83"/>
  <c r="R82"/>
  <c r="T82"/>
  <c r="V82"/>
  <c r="P82"/>
  <c r="S82"/>
  <c r="U82"/>
  <c r="Q82"/>
  <c r="J76"/>
  <c r="M76"/>
  <c r="L76"/>
  <c r="Q79"/>
  <c r="U79"/>
  <c r="K76"/>
  <c r="H76"/>
  <c r="T79"/>
  <c r="T80"/>
  <c r="T81"/>
  <c r="T84"/>
  <c r="T86"/>
  <c r="T78"/>
  <c r="T22"/>
  <c r="V79"/>
  <c r="S79"/>
  <c r="P79"/>
  <c r="I76"/>
  <c r="R79"/>
  <c r="N76"/>
  <c r="R81"/>
  <c r="P81"/>
  <c r="P80"/>
  <c r="P84"/>
  <c r="P86"/>
  <c r="P78"/>
  <c r="P22"/>
  <c r="U81"/>
  <c r="S81"/>
  <c r="V81"/>
  <c r="Q81"/>
  <c r="T108"/>
  <c r="R108"/>
  <c r="P108"/>
  <c r="U108"/>
  <c r="Q108"/>
  <c r="S108"/>
  <c r="V108"/>
  <c r="V98"/>
  <c r="U80"/>
  <c r="U84"/>
  <c r="U86"/>
  <c r="U78"/>
  <c r="U22"/>
  <c r="Q80"/>
  <c r="V80"/>
  <c r="S80"/>
  <c r="R80"/>
  <c r="U91"/>
  <c r="V91"/>
  <c r="P91"/>
  <c r="Q91"/>
  <c r="R91"/>
  <c r="S91"/>
  <c r="T91"/>
  <c r="R115"/>
  <c r="T115"/>
  <c r="V115"/>
  <c r="Q115"/>
  <c r="S115"/>
  <c r="U115"/>
  <c r="P115"/>
  <c r="R97"/>
  <c r="Q97"/>
  <c r="S97"/>
  <c r="U97"/>
  <c r="V97"/>
  <c r="P97"/>
  <c r="T97"/>
  <c r="P99"/>
  <c r="V99"/>
  <c r="S99"/>
  <c r="T99"/>
  <c r="Q104"/>
  <c r="U107"/>
  <c r="R107"/>
  <c r="P107"/>
  <c r="Q107"/>
  <c r="S107"/>
  <c r="V107"/>
  <c r="T107"/>
  <c r="P95"/>
  <c r="T95"/>
  <c r="U95"/>
  <c r="R95"/>
  <c r="V95"/>
  <c r="Q95"/>
  <c r="S95"/>
  <c r="S86"/>
  <c r="Q86"/>
  <c r="V86"/>
  <c r="R86"/>
  <c r="S96"/>
  <c r="P96"/>
  <c r="Q96"/>
  <c r="V96"/>
  <c r="R96"/>
  <c r="T96"/>
  <c r="U96"/>
  <c r="S100"/>
  <c r="Q109"/>
  <c r="T109"/>
  <c r="V109"/>
  <c r="R109"/>
  <c r="U109"/>
  <c r="P109"/>
  <c r="S109"/>
  <c r="R94"/>
  <c r="S114"/>
  <c r="P101"/>
  <c r="V84"/>
  <c r="R84"/>
  <c r="S84"/>
  <c r="Q84"/>
  <c r="R88"/>
  <c r="P88"/>
  <c r="U88"/>
  <c r="S88"/>
  <c r="Q88"/>
  <c r="T88"/>
  <c r="V88"/>
  <c r="U110"/>
  <c r="T110"/>
  <c r="P110"/>
  <c r="S110"/>
  <c r="Q110"/>
  <c r="V110"/>
  <c r="R110"/>
  <c r="S89"/>
  <c r="P89"/>
  <c r="U89"/>
  <c r="Q89"/>
  <c r="T89"/>
  <c r="V89"/>
  <c r="R89"/>
  <c r="V112"/>
  <c r="P92"/>
  <c r="U92"/>
  <c r="T92"/>
  <c r="S92"/>
  <c r="V92"/>
  <c r="Q92"/>
  <c r="R92"/>
  <c r="R90"/>
  <c r="T90"/>
  <c r="P90"/>
  <c r="Q90"/>
  <c r="V90"/>
  <c r="S90"/>
  <c r="U90"/>
  <c r="S103"/>
  <c r="R93"/>
  <c r="Q93"/>
  <c r="T93"/>
  <c r="S93"/>
  <c r="U93"/>
  <c r="P93"/>
  <c r="V93"/>
  <c r="G41"/>
  <c r="J41"/>
  <c r="E21" i="30"/>
  <c r="H7" i="5"/>
  <c r="H6"/>
  <c r="E28" i="30"/>
  <c r="Z30" i="3"/>
  <c r="Z19"/>
  <c r="X30"/>
  <c r="AA30"/>
  <c r="AE30"/>
  <c r="AI30"/>
  <c r="H31" i="5"/>
  <c r="H32"/>
  <c r="H40" i="20"/>
  <c r="K40"/>
  <c r="K39"/>
  <c r="H27" i="5"/>
  <c r="H26"/>
  <c r="I40" i="20"/>
  <c r="G40"/>
  <c r="H28" i="5"/>
  <c r="AA19" i="3"/>
  <c r="J40" i="20"/>
  <c r="F24" i="31"/>
  <c r="E17" i="30"/>
  <c r="I39" i="20"/>
  <c r="G39"/>
  <c r="J39"/>
  <c r="D20" i="31"/>
  <c r="D13" i="30"/>
  <c r="H39" i="20"/>
  <c r="M39"/>
  <c r="L39"/>
  <c r="J44"/>
  <c r="L7" i="17"/>
  <c r="L13"/>
  <c r="L15"/>
  <c r="L10"/>
  <c r="L9"/>
  <c r="L11"/>
  <c r="L14"/>
  <c r="L12"/>
  <c r="L8"/>
  <c r="L6"/>
  <c r="L43" i="20"/>
  <c r="AE14" i="3"/>
  <c r="X19"/>
  <c r="I44" i="20"/>
  <c r="M42"/>
  <c r="I43"/>
  <c r="G43"/>
  <c r="K44"/>
  <c r="H42"/>
  <c r="K42"/>
  <c r="H43"/>
  <c r="R78"/>
  <c r="R22"/>
  <c r="V78"/>
  <c r="V22"/>
  <c r="S78"/>
  <c r="S22"/>
  <c r="Q78"/>
  <c r="Q22"/>
  <c r="AE19" i="3"/>
  <c r="X14"/>
  <c r="AA14"/>
  <c r="Z14"/>
  <c r="P24" i="17"/>
  <c r="H17" i="1"/>
  <c r="D24" i="6"/>
  <c r="H12" i="1"/>
  <c r="D19" i="24"/>
  <c r="AM19"/>
  <c r="H18" i="1"/>
  <c r="D25" i="24"/>
  <c r="BJ25"/>
  <c r="H20" i="1"/>
  <c r="D27" i="24"/>
  <c r="H13" i="1"/>
  <c r="H16"/>
  <c r="D23" i="24"/>
  <c r="BK23"/>
  <c r="G44" i="20"/>
  <c r="I42"/>
  <c r="H55"/>
  <c r="H11" i="1"/>
  <c r="D18" i="6"/>
  <c r="H8" i="1"/>
  <c r="H23"/>
  <c r="H9"/>
  <c r="D16" i="24"/>
  <c r="BL16"/>
  <c r="H22" i="1"/>
  <c r="R12" i="13"/>
  <c r="H21" i="1"/>
  <c r="H7"/>
  <c r="H19"/>
  <c r="H14"/>
  <c r="H10"/>
  <c r="U11" i="13"/>
  <c r="H6" i="1"/>
  <c r="H15"/>
  <c r="C2" i="13"/>
  <c r="B11" i="7"/>
  <c r="K57" i="20"/>
  <c r="G57"/>
  <c r="H57"/>
  <c r="I57"/>
  <c r="M57"/>
  <c r="L57"/>
  <c r="J57"/>
  <c r="N57"/>
  <c r="J55"/>
  <c r="I55"/>
  <c r="K55"/>
  <c r="N55"/>
  <c r="F14" i="13"/>
  <c r="F33"/>
  <c r="E14"/>
  <c r="E33"/>
  <c r="Q14"/>
  <c r="Q33"/>
  <c r="M43" i="20"/>
  <c r="R6"/>
  <c r="S6"/>
  <c r="R7"/>
  <c r="S7"/>
  <c r="R11"/>
  <c r="S11"/>
  <c r="R8"/>
  <c r="S8"/>
  <c r="R5"/>
  <c r="S5"/>
  <c r="R9"/>
  <c r="S9"/>
  <c r="R10"/>
  <c r="S10"/>
  <c r="I56"/>
  <c r="M56"/>
  <c r="J56"/>
  <c r="L56"/>
  <c r="H56"/>
  <c r="K56"/>
  <c r="N56"/>
  <c r="G56"/>
  <c r="I53"/>
  <c r="M53"/>
  <c r="N53"/>
  <c r="G53"/>
  <c r="H53"/>
  <c r="J53"/>
  <c r="K53"/>
  <c r="L53"/>
  <c r="D14" i="13"/>
  <c r="D33"/>
  <c r="D13"/>
  <c r="D32"/>
  <c r="H52" i="20"/>
  <c r="M52"/>
  <c r="N52"/>
  <c r="I52"/>
  <c r="L52"/>
  <c r="G52"/>
  <c r="J52"/>
  <c r="K52"/>
  <c r="I54"/>
  <c r="J54"/>
  <c r="M54"/>
  <c r="K54"/>
  <c r="H54"/>
  <c r="N54"/>
  <c r="G54"/>
  <c r="L54"/>
  <c r="S47" i="17"/>
  <c r="S46"/>
  <c r="S45"/>
  <c r="AO16" i="24"/>
  <c r="R27"/>
  <c r="BL23"/>
  <c r="I14" i="13"/>
  <c r="I33"/>
  <c r="T13"/>
  <c r="T32"/>
  <c r="AC26" i="3"/>
  <c r="AC22"/>
  <c r="AC16"/>
  <c r="AC13"/>
  <c r="AC8"/>
  <c r="AC7"/>
  <c r="M14" i="13"/>
  <c r="M33"/>
  <c r="D31" i="6"/>
  <c r="D31" i="24"/>
  <c r="L13" i="13"/>
  <c r="L28"/>
  <c r="T14"/>
  <c r="T33"/>
  <c r="C14"/>
  <c r="C33"/>
  <c r="AI26" i="3"/>
  <c r="AI22"/>
  <c r="AI16"/>
  <c r="AI13"/>
  <c r="AI8"/>
  <c r="AI7"/>
  <c r="S14" i="13"/>
  <c r="S33"/>
  <c r="D25" i="6"/>
  <c r="L14" i="13"/>
  <c r="L29"/>
  <c r="S27" i="24"/>
  <c r="BK19"/>
  <c r="CV24" i="6"/>
  <c r="R25" i="24"/>
  <c r="D24"/>
  <c r="O25"/>
  <c r="P25"/>
  <c r="Q25"/>
  <c r="U25"/>
  <c r="AP25"/>
  <c r="AO25"/>
  <c r="BL25"/>
  <c r="AM25"/>
  <c r="BG25"/>
  <c r="BM25"/>
  <c r="AN25"/>
  <c r="S25"/>
  <c r="T25"/>
  <c r="BK25"/>
  <c r="O23"/>
  <c r="P23"/>
  <c r="Q23"/>
  <c r="U23"/>
  <c r="P27"/>
  <c r="S16"/>
  <c r="O16"/>
  <c r="P16"/>
  <c r="Q16"/>
  <c r="U16"/>
  <c r="BG19"/>
  <c r="BM19"/>
  <c r="BJ19"/>
  <c r="D23" i="6"/>
  <c r="R24" i="24"/>
  <c r="AN23"/>
  <c r="T23"/>
  <c r="AN27"/>
  <c r="BL27"/>
  <c r="Q27"/>
  <c r="BG27"/>
  <c r="BM27"/>
  <c r="AO19"/>
  <c r="T19"/>
  <c r="AN19"/>
  <c r="Q19"/>
  <c r="D19" i="6"/>
  <c r="CV19"/>
  <c r="AN24" i="24"/>
  <c r="AA26" i="3"/>
  <c r="AA22"/>
  <c r="AA16"/>
  <c r="AA13"/>
  <c r="AA8"/>
  <c r="AA7"/>
  <c r="K13" i="13"/>
  <c r="K28"/>
  <c r="BG23" i="24"/>
  <c r="BM23"/>
  <c r="AM23"/>
  <c r="AM27"/>
  <c r="BK27"/>
  <c r="BJ27"/>
  <c r="O27"/>
  <c r="U27"/>
  <c r="AO27"/>
  <c r="T27"/>
  <c r="AP27"/>
  <c r="CV18" i="6"/>
  <c r="S19" i="24"/>
  <c r="O19"/>
  <c r="P19"/>
  <c r="U19"/>
  <c r="AP19"/>
  <c r="R19"/>
  <c r="BL19"/>
  <c r="D18"/>
  <c r="BL18"/>
  <c r="BL24"/>
  <c r="BK24"/>
  <c r="D27" i="6"/>
  <c r="BJ24" i="24"/>
  <c r="G14" i="13"/>
  <c r="G29"/>
  <c r="AN16" i="24"/>
  <c r="BJ16"/>
  <c r="BK16"/>
  <c r="K14" i="13"/>
  <c r="K29"/>
  <c r="T24" i="24"/>
  <c r="Q24"/>
  <c r="D20"/>
  <c r="D20" i="6"/>
  <c r="R23" i="24"/>
  <c r="BJ23"/>
  <c r="AP23"/>
  <c r="S23"/>
  <c r="AO23"/>
  <c r="T16"/>
  <c r="AP16"/>
  <c r="AM16"/>
  <c r="BG16"/>
  <c r="BM16"/>
  <c r="R16"/>
  <c r="AH26" i="3"/>
  <c r="AH22"/>
  <c r="AH16"/>
  <c r="AH13"/>
  <c r="AH8"/>
  <c r="AH7"/>
  <c r="R13" i="13"/>
  <c r="R32"/>
  <c r="D16" i="6"/>
  <c r="O24" i="24"/>
  <c r="P24"/>
  <c r="U24"/>
  <c r="S24"/>
  <c r="AM24"/>
  <c r="AP24"/>
  <c r="BG24"/>
  <c r="BM24"/>
  <c r="T45" i="17"/>
  <c r="T46"/>
  <c r="T47"/>
  <c r="G55" i="20"/>
  <c r="M55"/>
  <c r="L55"/>
  <c r="D15" i="6"/>
  <c r="D15" i="24"/>
  <c r="CV27" i="6"/>
  <c r="D29" i="24"/>
  <c r="D29" i="6"/>
  <c r="D30"/>
  <c r="D30" i="24"/>
  <c r="X26" i="3"/>
  <c r="X22"/>
  <c r="X16"/>
  <c r="X13"/>
  <c r="X8"/>
  <c r="X7"/>
  <c r="H14" i="13"/>
  <c r="H33"/>
  <c r="AK26" i="3"/>
  <c r="AK22"/>
  <c r="AK16"/>
  <c r="AK13"/>
  <c r="AK8"/>
  <c r="AK7"/>
  <c r="U14" i="13"/>
  <c r="U33"/>
  <c r="R14"/>
  <c r="R33"/>
  <c r="E13"/>
  <c r="E32"/>
  <c r="D28" i="6"/>
  <c r="D28" i="24"/>
  <c r="Q13" i="13"/>
  <c r="Q32"/>
  <c r="D22" i="24"/>
  <c r="D22" i="6"/>
  <c r="D21" i="24"/>
  <c r="D21" i="6"/>
  <c r="D14"/>
  <c r="D14" i="24"/>
  <c r="CV25" i="6"/>
  <c r="D13" i="24"/>
  <c r="D13" i="6"/>
  <c r="D17" i="24"/>
  <c r="D17" i="6"/>
  <c r="D26"/>
  <c r="D26" i="24"/>
  <c r="S18"/>
  <c r="R18"/>
  <c r="AM18"/>
  <c r="O18"/>
  <c r="P18"/>
  <c r="Q18"/>
  <c r="U18"/>
  <c r="B1"/>
  <c r="B1" i="6"/>
  <c r="O9"/>
  <c r="O10"/>
  <c r="P25"/>
  <c r="M74" i="20"/>
  <c r="B22" i="22"/>
  <c r="N74" i="20"/>
  <c r="C22" i="22"/>
  <c r="N71" i="20"/>
  <c r="C19" i="22"/>
  <c r="M71" i="20"/>
  <c r="B19" i="22"/>
  <c r="N69" i="20"/>
  <c r="C17" i="22"/>
  <c r="M69" i="20"/>
  <c r="B17" i="22"/>
  <c r="N70" i="20"/>
  <c r="C18" i="22"/>
  <c r="M70" i="20"/>
  <c r="B18" i="22"/>
  <c r="S74" i="20"/>
  <c r="H22" i="22"/>
  <c r="T74" i="20"/>
  <c r="I22" i="22"/>
  <c r="T72" i="20"/>
  <c r="I20" i="22"/>
  <c r="S72" i="20"/>
  <c r="H20" i="22"/>
  <c r="S69" i="20"/>
  <c r="H17" i="22"/>
  <c r="T69" i="20"/>
  <c r="I17" i="22"/>
  <c r="S67" i="20"/>
  <c r="H15" i="22"/>
  <c r="T67" i="20"/>
  <c r="I15" i="22"/>
  <c r="M67" i="20"/>
  <c r="B15" i="22"/>
  <c r="N67" i="20"/>
  <c r="C15" i="22"/>
  <c r="M73" i="20"/>
  <c r="B21" i="22"/>
  <c r="N73" i="20"/>
  <c r="C21" i="22"/>
  <c r="N72" i="20"/>
  <c r="C20" i="22"/>
  <c r="M72" i="20"/>
  <c r="B20" i="22"/>
  <c r="M68" i="20"/>
  <c r="B16" i="22"/>
  <c r="N68" i="20"/>
  <c r="C16" i="22"/>
  <c r="S70" i="20"/>
  <c r="H18" i="22"/>
  <c r="T70" i="20"/>
  <c r="I18" i="22"/>
  <c r="S73" i="20"/>
  <c r="H21" i="22"/>
  <c r="T73" i="20"/>
  <c r="I21" i="22"/>
  <c r="S68" i="20"/>
  <c r="H16" i="22"/>
  <c r="T68" i="20"/>
  <c r="I16" i="22"/>
  <c r="T71" i="20"/>
  <c r="I19" i="22"/>
  <c r="S71" i="20"/>
  <c r="H19" i="22"/>
  <c r="G13" i="13"/>
  <c r="G28"/>
  <c r="K67" i="20"/>
  <c r="I4" i="22"/>
  <c r="J67" i="20"/>
  <c r="H4" i="22"/>
  <c r="J68" i="20"/>
  <c r="H5" i="22"/>
  <c r="K68" i="20"/>
  <c r="I5" i="22"/>
  <c r="K73" i="20"/>
  <c r="I10" i="22"/>
  <c r="J73" i="20"/>
  <c r="H10" i="22"/>
  <c r="J69" i="20"/>
  <c r="H6" i="22"/>
  <c r="K69" i="20"/>
  <c r="I6" i="22"/>
  <c r="E70" i="20"/>
  <c r="C7" i="22"/>
  <c r="D70" i="20"/>
  <c r="B7" i="22"/>
  <c r="E72" i="20"/>
  <c r="C9" i="22"/>
  <c r="D72" i="20"/>
  <c r="B9" i="22"/>
  <c r="D74" i="20"/>
  <c r="B11" i="22"/>
  <c r="E74" i="20"/>
  <c r="C11" i="22"/>
  <c r="E68" i="20"/>
  <c r="C5" i="22"/>
  <c r="D68" i="20"/>
  <c r="B5" i="22"/>
  <c r="G72" i="20"/>
  <c r="E9" i="22"/>
  <c r="H72" i="20"/>
  <c r="F9" i="22"/>
  <c r="H70" i="20"/>
  <c r="F7" i="22"/>
  <c r="G70" i="20"/>
  <c r="E7" i="22"/>
  <c r="H67" i="20"/>
  <c r="F4" i="22"/>
  <c r="G67" i="20"/>
  <c r="E4" i="22"/>
  <c r="G73" i="20"/>
  <c r="E10" i="22"/>
  <c r="H73" i="20"/>
  <c r="F10" i="22"/>
  <c r="Q67" i="20"/>
  <c r="F15" i="22"/>
  <c r="P67" i="20"/>
  <c r="E15" i="22"/>
  <c r="P71" i="20"/>
  <c r="E19" i="22"/>
  <c r="Q71" i="20"/>
  <c r="F19" i="22"/>
  <c r="P72" i="20"/>
  <c r="E20" i="22"/>
  <c r="Q72" i="20"/>
  <c r="F20" i="22"/>
  <c r="Q73" i="20"/>
  <c r="F21" i="22"/>
  <c r="P73" i="20"/>
  <c r="E21" i="22"/>
  <c r="J72" i="20"/>
  <c r="H9" i="22"/>
  <c r="K72" i="20"/>
  <c r="I9" i="22"/>
  <c r="J74" i="20"/>
  <c r="H11" i="22"/>
  <c r="K74" i="20"/>
  <c r="I11" i="22"/>
  <c r="K71" i="20"/>
  <c r="I8" i="22"/>
  <c r="J71" i="20"/>
  <c r="H8" i="22"/>
  <c r="J70" i="20"/>
  <c r="H7" i="22"/>
  <c r="K70" i="20"/>
  <c r="I7" i="22"/>
  <c r="E71" i="20"/>
  <c r="C8" i="22"/>
  <c r="D71" i="20"/>
  <c r="B8" i="22"/>
  <c r="D67" i="20"/>
  <c r="B4" i="22"/>
  <c r="E67" i="20"/>
  <c r="C4" i="22"/>
  <c r="E69" i="20"/>
  <c r="C6" i="22"/>
  <c r="D69" i="20"/>
  <c r="B6" i="22"/>
  <c r="E73" i="20"/>
  <c r="C10" i="22"/>
  <c r="D73" i="20"/>
  <c r="B10" i="22"/>
  <c r="H71" i="20"/>
  <c r="F8" i="22"/>
  <c r="G71" i="20"/>
  <c r="E8" i="22"/>
  <c r="G68" i="20"/>
  <c r="E5" i="22"/>
  <c r="H68" i="20"/>
  <c r="F5" i="22"/>
  <c r="G74" i="20"/>
  <c r="E11" i="22"/>
  <c r="H74" i="20"/>
  <c r="F11" i="22"/>
  <c r="G69" i="20"/>
  <c r="E6" i="22"/>
  <c r="H69" i="20"/>
  <c r="F6" i="22"/>
  <c r="P74" i="20"/>
  <c r="E22" i="22"/>
  <c r="Q74" i="20"/>
  <c r="F22" i="22"/>
  <c r="Q68" i="20"/>
  <c r="F16" i="22"/>
  <c r="P68" i="20"/>
  <c r="E16" i="22"/>
  <c r="Q70" i="20"/>
  <c r="F18" i="22"/>
  <c r="P70" i="20"/>
  <c r="E18" i="22"/>
  <c r="Q69" i="20"/>
  <c r="F17" i="22"/>
  <c r="P69" i="20"/>
  <c r="E17" i="22"/>
  <c r="N13" i="13"/>
  <c r="N28"/>
  <c r="P13"/>
  <c r="P28"/>
  <c r="P31" i="6"/>
  <c r="CV31"/>
  <c r="AE26" i="3"/>
  <c r="AE22"/>
  <c r="AE16"/>
  <c r="AE13"/>
  <c r="AE8"/>
  <c r="AE7"/>
  <c r="O13" i="13"/>
  <c r="O28"/>
  <c r="N14"/>
  <c r="N29"/>
  <c r="P14"/>
  <c r="P29"/>
  <c r="BG31" i="24"/>
  <c r="BM31"/>
  <c r="BL31"/>
  <c r="AP31"/>
  <c r="S31"/>
  <c r="P31"/>
  <c r="AO31"/>
  <c r="AN31"/>
  <c r="AM31"/>
  <c r="Q31"/>
  <c r="T31"/>
  <c r="R31"/>
  <c r="BK31"/>
  <c r="BJ31"/>
  <c r="O31"/>
  <c r="U31"/>
  <c r="Z26" i="3"/>
  <c r="Z22"/>
  <c r="Z16"/>
  <c r="Z13"/>
  <c r="Z8"/>
  <c r="Z7"/>
  <c r="J14" i="13"/>
  <c r="J29"/>
  <c r="O14"/>
  <c r="O29"/>
  <c r="AO24" i="24"/>
  <c r="T18"/>
  <c r="BJ18"/>
  <c r="BK18"/>
  <c r="AP18"/>
  <c r="AN18"/>
  <c r="AO18"/>
  <c r="BG18"/>
  <c r="BM18"/>
  <c r="CV23" i="6"/>
  <c r="AM20" i="24"/>
  <c r="BL20"/>
  <c r="S20"/>
  <c r="R20"/>
  <c r="AN20"/>
  <c r="BG20"/>
  <c r="BM20"/>
  <c r="T20"/>
  <c r="Q20"/>
  <c r="AP20"/>
  <c r="BJ20"/>
  <c r="AO20"/>
  <c r="BK20"/>
  <c r="O20"/>
  <c r="P20"/>
  <c r="U20"/>
  <c r="CV20" i="6"/>
  <c r="CV16"/>
  <c r="Q30" i="24"/>
  <c r="AM30"/>
  <c r="AN30"/>
  <c r="O30"/>
  <c r="P30"/>
  <c r="U30"/>
  <c r="AP30"/>
  <c r="T30"/>
  <c r="R30"/>
  <c r="BG30"/>
  <c r="BM30"/>
  <c r="BK30"/>
  <c r="BL30"/>
  <c r="BJ30"/>
  <c r="AO30"/>
  <c r="S30"/>
  <c r="CV29" i="6"/>
  <c r="CV15"/>
  <c r="CV30"/>
  <c r="BL29" i="24"/>
  <c r="R29"/>
  <c r="AM29"/>
  <c r="AP29"/>
  <c r="BK29"/>
  <c r="Q29"/>
  <c r="AN29"/>
  <c r="BJ29"/>
  <c r="S29"/>
  <c r="AO29"/>
  <c r="T29"/>
  <c r="O29"/>
  <c r="P29"/>
  <c r="U29"/>
  <c r="BG29"/>
  <c r="BM29"/>
  <c r="AP15"/>
  <c r="Q15"/>
  <c r="S15"/>
  <c r="P15"/>
  <c r="R15"/>
  <c r="BL15"/>
  <c r="AO15"/>
  <c r="AM15"/>
  <c r="BK15"/>
  <c r="BG15"/>
  <c r="BM15"/>
  <c r="O15"/>
  <c r="U15"/>
  <c r="BJ15"/>
  <c r="T15"/>
  <c r="AN15"/>
  <c r="P16" i="6"/>
  <c r="P27"/>
  <c r="P20"/>
  <c r="P29"/>
  <c r="P19"/>
  <c r="P18"/>
  <c r="P24"/>
  <c r="P15"/>
  <c r="P30"/>
  <c r="P23"/>
  <c r="U13" i="13"/>
  <c r="U32"/>
  <c r="BG28" i="24"/>
  <c r="BM28"/>
  <c r="S28"/>
  <c r="R28"/>
  <c r="AO28"/>
  <c r="AP28"/>
  <c r="T28"/>
  <c r="BK28"/>
  <c r="AM28"/>
  <c r="O28"/>
  <c r="P28"/>
  <c r="Q28"/>
  <c r="U28"/>
  <c r="BJ28"/>
  <c r="BL28"/>
  <c r="AN28"/>
  <c r="CV28" i="6"/>
  <c r="P28"/>
  <c r="P26"/>
  <c r="CV26"/>
  <c r="BL17" i="24"/>
  <c r="O17"/>
  <c r="P17"/>
  <c r="Q17"/>
  <c r="U17"/>
  <c r="BJ17"/>
  <c r="T17"/>
  <c r="S17"/>
  <c r="AN17"/>
  <c r="BG17"/>
  <c r="BM17"/>
  <c r="AM17"/>
  <c r="AO17"/>
  <c r="BK17"/>
  <c r="AP17"/>
  <c r="R17"/>
  <c r="Q13"/>
  <c r="R13"/>
  <c r="AP13"/>
  <c r="AM13"/>
  <c r="P13"/>
  <c r="BG13"/>
  <c r="BM13"/>
  <c r="BK13"/>
  <c r="T13"/>
  <c r="O13"/>
  <c r="U13"/>
  <c r="S13"/>
  <c r="AN13"/>
  <c r="AO13"/>
  <c r="BJ13"/>
  <c r="BL13"/>
  <c r="P14" i="6"/>
  <c r="CV14"/>
  <c r="AP21" i="24"/>
  <c r="P21"/>
  <c r="BL21"/>
  <c r="R21"/>
  <c r="AN21"/>
  <c r="T21"/>
  <c r="Q21"/>
  <c r="AO21"/>
  <c r="BJ21"/>
  <c r="BG21"/>
  <c r="BM21"/>
  <c r="BK21"/>
  <c r="AM21"/>
  <c r="O21"/>
  <c r="U21"/>
  <c r="S21"/>
  <c r="AO22"/>
  <c r="AP22"/>
  <c r="BK22"/>
  <c r="S22"/>
  <c r="BJ22"/>
  <c r="Q22"/>
  <c r="R22"/>
  <c r="AN22"/>
  <c r="O22"/>
  <c r="P22"/>
  <c r="U22"/>
  <c r="BL22"/>
  <c r="AM22"/>
  <c r="T22"/>
  <c r="BG22"/>
  <c r="BM22"/>
  <c r="BK26"/>
  <c r="BL26"/>
  <c r="BJ26"/>
  <c r="R26"/>
  <c r="Q26"/>
  <c r="AO26"/>
  <c r="P26"/>
  <c r="O26"/>
  <c r="U26"/>
  <c r="T26"/>
  <c r="BG26"/>
  <c r="BM26"/>
  <c r="AP26"/>
  <c r="S26"/>
  <c r="AM26"/>
  <c r="AN26"/>
  <c r="CV17" i="6"/>
  <c r="P17"/>
  <c r="P13"/>
  <c r="CV13"/>
  <c r="BG14" i="24"/>
  <c r="BM14"/>
  <c r="O14"/>
  <c r="P14"/>
  <c r="Q14"/>
  <c r="U14"/>
  <c r="BK14"/>
  <c r="AO14"/>
  <c r="BL14"/>
  <c r="S14"/>
  <c r="R14"/>
  <c r="AN14"/>
  <c r="BJ14"/>
  <c r="T14"/>
  <c r="AP14"/>
  <c r="AM14"/>
  <c r="CV21" i="6"/>
  <c r="P21"/>
  <c r="P22"/>
  <c r="CV22"/>
  <c r="J13" i="13"/>
  <c r="J28"/>
  <c r="BN19" i="24"/>
  <c r="BN18"/>
  <c r="V16"/>
  <c r="BN31"/>
  <c r="V31"/>
  <c r="CW31" i="6"/>
  <c r="BN23" i="24"/>
  <c r="V28"/>
  <c r="V30"/>
  <c r="CW21" i="6"/>
  <c r="BN14" i="24"/>
  <c r="H13" i="13"/>
  <c r="H32"/>
  <c r="BN17" i="24"/>
  <c r="V22"/>
  <c r="V14"/>
  <c r="BN24"/>
  <c r="BN30"/>
  <c r="BN21"/>
  <c r="BN22"/>
  <c r="V25"/>
  <c r="BN25"/>
  <c r="BN28"/>
  <c r="V13"/>
  <c r="V15"/>
  <c r="V17"/>
  <c r="V18"/>
  <c r="V19"/>
  <c r="V20"/>
  <c r="V21"/>
  <c r="V23"/>
  <c r="V24"/>
  <c r="V26"/>
  <c r="V27"/>
  <c r="V29"/>
  <c r="W20"/>
  <c r="BN13"/>
  <c r="BN15"/>
  <c r="BN16"/>
  <c r="BN20"/>
  <c r="BN26"/>
  <c r="BN27"/>
  <c r="BN29"/>
  <c r="BO20"/>
  <c r="CW13" i="6"/>
  <c r="CW20"/>
  <c r="CW16"/>
  <c r="CW25"/>
  <c r="CW19"/>
  <c r="CW30"/>
  <c r="CW15"/>
  <c r="CW28"/>
  <c r="CW29"/>
  <c r="CW27"/>
  <c r="CW23"/>
  <c r="CW24"/>
  <c r="CW18"/>
  <c r="CW17"/>
  <c r="CW14"/>
  <c r="CW26"/>
  <c r="CW22"/>
  <c r="BO19" i="24"/>
  <c r="BR19"/>
  <c r="W18"/>
  <c r="X18"/>
  <c r="BO18"/>
  <c r="BT18"/>
  <c r="W26"/>
  <c r="Y26"/>
  <c r="BO16"/>
  <c r="BW16"/>
  <c r="BO30"/>
  <c r="BQ30"/>
  <c r="W22"/>
  <c r="Y22"/>
  <c r="W25"/>
  <c r="AA25"/>
  <c r="BO21"/>
  <c r="BQ21"/>
  <c r="W21"/>
  <c r="AA21"/>
  <c r="W15"/>
  <c r="AD15"/>
  <c r="BO26"/>
  <c r="BT26"/>
  <c r="BO17"/>
  <c r="BU17"/>
  <c r="BO15"/>
  <c r="BU15"/>
  <c r="BO31"/>
  <c r="BS31"/>
  <c r="W29"/>
  <c r="AC29"/>
  <c r="W30"/>
  <c r="AD30"/>
  <c r="BO28"/>
  <c r="BV28"/>
  <c r="BO22"/>
  <c r="BQ22"/>
  <c r="BO24"/>
  <c r="BU24"/>
  <c r="BO29"/>
  <c r="BR29"/>
  <c r="BO25"/>
  <c r="BU25"/>
  <c r="BO27"/>
  <c r="BT27"/>
  <c r="BO23"/>
  <c r="BU23"/>
  <c r="W31"/>
  <c r="X31"/>
  <c r="W16"/>
  <c r="AA16"/>
  <c r="W19"/>
  <c r="AE19"/>
  <c r="W14"/>
  <c r="X14"/>
  <c r="BO14"/>
  <c r="BP14"/>
  <c r="BO13"/>
  <c r="BT13"/>
  <c r="W28"/>
  <c r="X28"/>
  <c r="W24"/>
  <c r="AE24"/>
  <c r="W17"/>
  <c r="X17"/>
  <c r="W23"/>
  <c r="AC23"/>
  <c r="W27"/>
  <c r="AB27"/>
  <c r="W13"/>
  <c r="AC13"/>
  <c r="CX19" i="6"/>
  <c r="CX15"/>
  <c r="CX22"/>
  <c r="CX27"/>
  <c r="CX21"/>
  <c r="CX26"/>
  <c r="CX29"/>
  <c r="CX25"/>
  <c r="CX13"/>
  <c r="CX28"/>
  <c r="CX17"/>
  <c r="CX16"/>
  <c r="CX30"/>
  <c r="CX23"/>
  <c r="CX31"/>
  <c r="CX14"/>
  <c r="CX24"/>
  <c r="CX20"/>
  <c r="CX18"/>
  <c r="BR26" i="24"/>
  <c r="BP22"/>
  <c r="BQ24"/>
  <c r="BW29"/>
  <c r="BT25"/>
  <c r="BV15"/>
  <c r="BW27"/>
  <c r="BS23"/>
  <c r="BS19"/>
  <c r="AC31"/>
  <c r="AC22"/>
  <c r="Z30"/>
  <c r="AB18"/>
  <c r="Y18"/>
  <c r="AE18"/>
  <c r="AD18"/>
  <c r="AC21"/>
  <c r="AD14"/>
  <c r="Z26"/>
  <c r="X15"/>
  <c r="X20"/>
  <c r="Y20"/>
  <c r="AC20"/>
  <c r="Z20"/>
  <c r="AB20"/>
  <c r="AD20"/>
  <c r="AA20"/>
  <c r="AE20"/>
  <c r="BP28"/>
  <c r="BV14"/>
  <c r="BP30"/>
  <c r="BR17"/>
  <c r="BS18"/>
  <c r="BQ13"/>
  <c r="BR21"/>
  <c r="BU16"/>
  <c r="BU31"/>
  <c r="BW20"/>
  <c r="BR20"/>
  <c r="BV20"/>
  <c r="BU20"/>
  <c r="BT20"/>
  <c r="BS20"/>
  <c r="BP20"/>
  <c r="BQ20"/>
  <c r="AA29"/>
  <c r="AA28"/>
  <c r="Z17"/>
  <c r="X19"/>
  <c r="X23"/>
  <c r="AD27"/>
  <c r="AB13"/>
  <c r="X25"/>
  <c r="AE25"/>
  <c r="AD25"/>
  <c r="Y25"/>
  <c r="Z24"/>
  <c r="AE29"/>
  <c r="BS30"/>
  <c r="X21"/>
  <c r="Z18"/>
  <c r="AA18"/>
  <c r="AC18"/>
  <c r="Z16"/>
  <c r="BS15"/>
  <c r="BP26"/>
  <c r="X27"/>
  <c r="AD19"/>
  <c r="AC17"/>
  <c r="Y28"/>
  <c r="BQ31"/>
  <c r="BR16"/>
  <c r="BP21"/>
  <c r="BQ18"/>
  <c r="BS17"/>
  <c r="BR14"/>
  <c r="AB15"/>
  <c r="AC26"/>
  <c r="AC30"/>
  <c r="AE22"/>
  <c r="Z31"/>
  <c r="BV19"/>
  <c r="BQ27"/>
  <c r="BP29"/>
  <c r="BW22"/>
  <c r="Y27"/>
  <c r="AC27"/>
  <c r="Y19"/>
  <c r="AC19"/>
  <c r="AD17"/>
  <c r="AA17"/>
  <c r="Z28"/>
  <c r="AB28"/>
  <c r="BW31"/>
  <c r="BR31"/>
  <c r="BQ16"/>
  <c r="BP16"/>
  <c r="BT21"/>
  <c r="BV21"/>
  <c r="BW18"/>
  <c r="BR18"/>
  <c r="BP17"/>
  <c r="BV17"/>
  <c r="BT14"/>
  <c r="BU14"/>
  <c r="AC15"/>
  <c r="AE15"/>
  <c r="AD26"/>
  <c r="AB26"/>
  <c r="AA30"/>
  <c r="Y30"/>
  <c r="AA22"/>
  <c r="AD22"/>
  <c r="AD31"/>
  <c r="AA31"/>
  <c r="BU19"/>
  <c r="BP19"/>
  <c r="BV27"/>
  <c r="BP27"/>
  <c r="BV29"/>
  <c r="BT29"/>
  <c r="BV22"/>
  <c r="BU22"/>
  <c r="AE27"/>
  <c r="Z27"/>
  <c r="AA27"/>
  <c r="AA19"/>
  <c r="Z19"/>
  <c r="AB19"/>
  <c r="AB17"/>
  <c r="AE17"/>
  <c r="Y17"/>
  <c r="AC28"/>
  <c r="AE28"/>
  <c r="AD28"/>
  <c r="BV31"/>
  <c r="BT31"/>
  <c r="BP31"/>
  <c r="BT16"/>
  <c r="BV16"/>
  <c r="BS16"/>
  <c r="BW21"/>
  <c r="BX21"/>
  <c r="BS21"/>
  <c r="BU21"/>
  <c r="BV18"/>
  <c r="BP18"/>
  <c r="BU18"/>
  <c r="BQ17"/>
  <c r="BW17"/>
  <c r="BT17"/>
  <c r="BW14"/>
  <c r="BQ14"/>
  <c r="BS14"/>
  <c r="AA15"/>
  <c r="Y15"/>
  <c r="Z15"/>
  <c r="AA26"/>
  <c r="X26"/>
  <c r="AE26"/>
  <c r="AB30"/>
  <c r="AE30"/>
  <c r="X30"/>
  <c r="Z22"/>
  <c r="AB22"/>
  <c r="X22"/>
  <c r="AE31"/>
  <c r="Y31"/>
  <c r="AB31"/>
  <c r="BQ19"/>
  <c r="BT19"/>
  <c r="BW19"/>
  <c r="BR27"/>
  <c r="BU27"/>
  <c r="BS27"/>
  <c r="BU29"/>
  <c r="BQ29"/>
  <c r="BS29"/>
  <c r="BT22"/>
  <c r="BS22"/>
  <c r="BR22"/>
  <c r="Y13"/>
  <c r="Y23"/>
  <c r="AB24"/>
  <c r="AD29"/>
  <c r="Y29"/>
  <c r="BV13"/>
  <c r="BR30"/>
  <c r="BV30"/>
  <c r="BT28"/>
  <c r="Y14"/>
  <c r="AE21"/>
  <c r="Y21"/>
  <c r="X16"/>
  <c r="BV23"/>
  <c r="BQ15"/>
  <c r="BW15"/>
  <c r="BR25"/>
  <c r="BR24"/>
  <c r="BS26"/>
  <c r="BU26"/>
  <c r="AC25"/>
  <c r="Z25"/>
  <c r="AB25"/>
  <c r="AD13"/>
  <c r="Z13"/>
  <c r="AD23"/>
  <c r="AE23"/>
  <c r="AC24"/>
  <c r="Y24"/>
  <c r="X29"/>
  <c r="AB29"/>
  <c r="Z29"/>
  <c r="BX31"/>
  <c r="BP13"/>
  <c r="BW13"/>
  <c r="BU30"/>
  <c r="BW30"/>
  <c r="BT30"/>
  <c r="BW28"/>
  <c r="BR28"/>
  <c r="AE14"/>
  <c r="AB14"/>
  <c r="AB21"/>
  <c r="AD21"/>
  <c r="Z21"/>
  <c r="AB16"/>
  <c r="AE16"/>
  <c r="BP23"/>
  <c r="BR23"/>
  <c r="BP15"/>
  <c r="BT15"/>
  <c r="BR15"/>
  <c r="BV25"/>
  <c r="BP25"/>
  <c r="BT24"/>
  <c r="BV24"/>
  <c r="BW26"/>
  <c r="BV26"/>
  <c r="BQ26"/>
  <c r="I13" i="13"/>
  <c r="I32"/>
  <c r="S13"/>
  <c r="S32"/>
  <c r="M13"/>
  <c r="M32"/>
  <c r="C13"/>
  <c r="C32"/>
  <c r="F13"/>
  <c r="F32"/>
  <c r="AE13" i="24"/>
  <c r="X13"/>
  <c r="AA13"/>
  <c r="Z23"/>
  <c r="AB23"/>
  <c r="AA23"/>
  <c r="AA24"/>
  <c r="X24"/>
  <c r="AD24"/>
  <c r="BS13"/>
  <c r="BU13"/>
  <c r="BR13"/>
  <c r="BQ28"/>
  <c r="BU28"/>
  <c r="BS28"/>
  <c r="AA14"/>
  <c r="AC14"/>
  <c r="Z14"/>
  <c r="AC16"/>
  <c r="Y16"/>
  <c r="AD16"/>
  <c r="BQ23"/>
  <c r="BW23"/>
  <c r="BT23"/>
  <c r="BQ25"/>
  <c r="BW25"/>
  <c r="BS25"/>
  <c r="BW24"/>
  <c r="BS24"/>
  <c r="BP24"/>
  <c r="CZ20" i="6"/>
  <c r="DA20"/>
  <c r="DB20"/>
  <c r="CY20"/>
  <c r="CZ14"/>
  <c r="CY14"/>
  <c r="DA14"/>
  <c r="DB14"/>
  <c r="CZ23"/>
  <c r="CY23"/>
  <c r="DA23"/>
  <c r="DB23"/>
  <c r="CZ16"/>
  <c r="CY16"/>
  <c r="DA16"/>
  <c r="DB16"/>
  <c r="CZ28"/>
  <c r="DA28"/>
  <c r="DB28"/>
  <c r="CY28"/>
  <c r="CY25"/>
  <c r="DA25"/>
  <c r="DB25"/>
  <c r="CZ25"/>
  <c r="CZ26"/>
  <c r="CY26"/>
  <c r="DA26"/>
  <c r="DB26"/>
  <c r="CY27"/>
  <c r="CZ27"/>
  <c r="DA27"/>
  <c r="DB27"/>
  <c r="CY15"/>
  <c r="CZ15"/>
  <c r="DA15"/>
  <c r="DB15"/>
  <c r="DA18"/>
  <c r="DB18"/>
  <c r="CZ18"/>
  <c r="CY18"/>
  <c r="CZ24"/>
  <c r="CY24"/>
  <c r="DA24"/>
  <c r="DB24"/>
  <c r="DC24"/>
  <c r="CY31"/>
  <c r="CZ31"/>
  <c r="DA31"/>
  <c r="DB31"/>
  <c r="DA30"/>
  <c r="DB30"/>
  <c r="CZ30"/>
  <c r="CY30"/>
  <c r="CY17"/>
  <c r="DA17"/>
  <c r="DB17"/>
  <c r="CZ17"/>
  <c r="CZ13"/>
  <c r="DA13"/>
  <c r="CY13"/>
  <c r="DA29"/>
  <c r="DB29"/>
  <c r="CZ29"/>
  <c r="CY29"/>
  <c r="CZ21"/>
  <c r="DA21"/>
  <c r="DB21"/>
  <c r="CY21"/>
  <c r="DA22"/>
  <c r="DB22"/>
  <c r="CY22"/>
  <c r="CZ22"/>
  <c r="DA19"/>
  <c r="DB19"/>
  <c r="CZ19"/>
  <c r="CY19"/>
  <c r="AF14" i="24"/>
  <c r="AF15"/>
  <c r="BX17"/>
  <c r="BX16"/>
  <c r="AF16"/>
  <c r="BX22"/>
  <c r="AF21"/>
  <c r="AF31"/>
  <c r="BX14"/>
  <c r="BX15"/>
  <c r="BY13"/>
  <c r="BX23"/>
  <c r="BX24"/>
  <c r="BX25"/>
  <c r="BX26"/>
  <c r="BY25"/>
  <c r="AF17"/>
  <c r="AF18"/>
  <c r="AF19"/>
  <c r="AF20"/>
  <c r="AG20"/>
  <c r="DC22" i="6"/>
  <c r="DC29"/>
  <c r="DC27"/>
  <c r="AG15" i="24"/>
  <c r="DC19" i="6"/>
  <c r="DC17"/>
  <c r="DC15"/>
  <c r="DC13"/>
  <c r="DC14"/>
  <c r="DC21"/>
  <c r="DC31"/>
  <c r="DC18"/>
  <c r="DC28"/>
  <c r="DC16"/>
  <c r="DC20"/>
  <c r="DC30"/>
  <c r="DC26"/>
  <c r="DC25"/>
  <c r="DC23"/>
  <c r="AG17" i="24"/>
  <c r="AG14"/>
  <c r="AG19"/>
  <c r="AF22"/>
  <c r="AG21"/>
  <c r="AG16"/>
  <c r="BX18"/>
  <c r="AG13"/>
  <c r="BY14"/>
  <c r="BY15"/>
  <c r="BY22"/>
  <c r="BY17"/>
  <c r="BY24"/>
  <c r="BY16"/>
  <c r="AG18"/>
  <c r="BY23"/>
  <c r="BX19"/>
  <c r="BY18"/>
  <c r="AF23"/>
  <c r="AG22"/>
  <c r="BX27"/>
  <c r="BY26"/>
  <c r="BX28"/>
  <c r="AF24"/>
  <c r="BX20"/>
  <c r="BY20"/>
  <c r="BY21"/>
  <c r="AF25"/>
  <c r="BX29"/>
  <c r="BY19"/>
  <c r="AG23"/>
  <c r="BY27"/>
  <c r="BX30"/>
  <c r="AF26"/>
  <c r="BY28"/>
  <c r="AG24"/>
  <c r="AF27"/>
  <c r="AG26"/>
  <c r="BY30"/>
  <c r="BY31"/>
  <c r="AG25"/>
  <c r="BY29"/>
  <c r="AF28"/>
  <c r="AF29"/>
  <c r="AG27"/>
  <c r="AF30"/>
  <c r="AG28"/>
  <c r="AG30"/>
  <c r="AG31"/>
  <c r="AG29"/>
  <c r="P42" i="17"/>
  <c r="E74"/>
  <c r="F36" i="18"/>
  <c r="E76" i="17"/>
  <c r="E29" i="13"/>
  <c r="E28"/>
  <c r="O13" i="6"/>
  <c r="O14"/>
  <c r="O15"/>
  <c r="O16"/>
  <c r="O17"/>
  <c r="O18"/>
  <c r="O19"/>
  <c r="O20"/>
  <c r="O21"/>
  <c r="O22"/>
  <c r="O23"/>
  <c r="O24"/>
  <c r="O25"/>
  <c r="O26"/>
  <c r="O27"/>
  <c r="O28"/>
  <c r="O29"/>
  <c r="O30"/>
  <c r="O31"/>
  <c r="Q13"/>
  <c r="Q14"/>
  <c r="Q15"/>
  <c r="Q16"/>
  <c r="Q17"/>
  <c r="Q18"/>
  <c r="Q19"/>
  <c r="Q20"/>
  <c r="Q21"/>
  <c r="Q22"/>
  <c r="Q23"/>
  <c r="Q24"/>
  <c r="Q25"/>
  <c r="Q26"/>
  <c r="Q27"/>
  <c r="Q28"/>
  <c r="Q29"/>
  <c r="Q30"/>
  <c r="Q31"/>
  <c r="R30"/>
  <c r="V30"/>
  <c r="T30"/>
  <c r="R29"/>
  <c r="T29"/>
  <c r="V29"/>
  <c r="R28"/>
  <c r="T28"/>
  <c r="V28"/>
  <c r="R27"/>
  <c r="T27"/>
  <c r="V27"/>
  <c r="R26"/>
  <c r="T26"/>
  <c r="V26"/>
  <c r="R25"/>
  <c r="T25"/>
  <c r="V25"/>
  <c r="R24"/>
  <c r="T24"/>
  <c r="V24"/>
  <c r="R23"/>
  <c r="T23"/>
  <c r="V23"/>
  <c r="R22"/>
  <c r="T22"/>
  <c r="V22"/>
  <c r="R21"/>
  <c r="T21"/>
  <c r="V21"/>
  <c r="R20"/>
  <c r="T20"/>
  <c r="V20"/>
  <c r="R19"/>
  <c r="T19"/>
  <c r="V19"/>
  <c r="R18"/>
  <c r="T18"/>
  <c r="V18"/>
  <c r="R17"/>
  <c r="T17"/>
  <c r="V17"/>
  <c r="R16"/>
  <c r="T16"/>
  <c r="V16"/>
  <c r="R15"/>
  <c r="T15"/>
  <c r="V15"/>
  <c r="R14"/>
  <c r="T14"/>
  <c r="V14"/>
  <c r="R13"/>
  <c r="T13"/>
  <c r="W14"/>
  <c r="W15"/>
  <c r="W16"/>
  <c r="W17"/>
  <c r="W18"/>
  <c r="W19"/>
  <c r="W20"/>
  <c r="W21"/>
  <c r="W22"/>
  <c r="W23"/>
  <c r="W24"/>
  <c r="W25"/>
  <c r="W26"/>
  <c r="W27"/>
  <c r="W28"/>
  <c r="W29"/>
  <c r="W30"/>
  <c r="R31"/>
  <c r="V31"/>
  <c r="T31"/>
  <c r="W31"/>
  <c r="X30"/>
  <c r="E25" i="10"/>
  <c r="X31" i="6"/>
  <c r="E26" i="10"/>
  <c r="AL13" i="24"/>
  <c r="AK13"/>
  <c r="AQ13"/>
  <c r="AL14"/>
  <c r="AK14"/>
  <c r="AQ14"/>
  <c r="AL15"/>
  <c r="AK15"/>
  <c r="AQ15"/>
  <c r="AL16"/>
  <c r="AK16"/>
  <c r="AQ16"/>
  <c r="AL17"/>
  <c r="AK17"/>
  <c r="AQ17"/>
  <c r="AL18"/>
  <c r="AK18"/>
  <c r="AQ18"/>
  <c r="AL19"/>
  <c r="AK19"/>
  <c r="AQ19"/>
  <c r="AL20"/>
  <c r="AK20"/>
  <c r="AQ20"/>
  <c r="AL21"/>
  <c r="AK21"/>
  <c r="AQ21"/>
  <c r="AL22"/>
  <c r="AK22"/>
  <c r="AQ22"/>
  <c r="AL23"/>
  <c r="AK23"/>
  <c r="AQ23"/>
  <c r="AL24"/>
  <c r="AK24"/>
  <c r="AQ24"/>
  <c r="AL25"/>
  <c r="AK25"/>
  <c r="AQ25"/>
  <c r="AL26"/>
  <c r="AK26"/>
  <c r="AQ26"/>
  <c r="AL27"/>
  <c r="AK27"/>
  <c r="AQ27"/>
  <c r="AL28"/>
  <c r="AK28"/>
  <c r="AQ28"/>
  <c r="AL29"/>
  <c r="AK29"/>
  <c r="AQ29"/>
  <c r="AL30"/>
  <c r="AK30"/>
  <c r="AQ30"/>
  <c r="AL31"/>
  <c r="AK31"/>
  <c r="AQ31"/>
  <c r="AR13"/>
  <c r="AR14"/>
  <c r="AR15"/>
  <c r="AR16"/>
  <c r="AR17"/>
  <c r="AR18"/>
  <c r="AR19"/>
  <c r="AR20"/>
  <c r="AR21"/>
  <c r="AR22"/>
  <c r="AR23"/>
  <c r="AR24"/>
  <c r="AR25"/>
  <c r="AR26"/>
  <c r="AR27"/>
  <c r="AR28"/>
  <c r="AR29"/>
  <c r="AR30"/>
  <c r="AR31"/>
  <c r="AS30"/>
  <c r="BA30"/>
  <c r="AU30"/>
  <c r="AS29"/>
  <c r="AU29"/>
  <c r="BB30"/>
  <c r="BA29"/>
  <c r="AS28"/>
  <c r="AU28"/>
  <c r="BB29"/>
  <c r="AS31"/>
  <c r="BA31"/>
  <c r="AU31"/>
  <c r="BB31"/>
  <c r="BC30"/>
  <c r="F23" i="25"/>
  <c r="X29" i="6"/>
  <c r="E24" i="10"/>
  <c r="AN13" i="6"/>
  <c r="AN14"/>
  <c r="AN15"/>
  <c r="AN16"/>
  <c r="AN17"/>
  <c r="AN18"/>
  <c r="AN19"/>
  <c r="AN20"/>
  <c r="AN21"/>
  <c r="AN22"/>
  <c r="AN23"/>
  <c r="AN24"/>
  <c r="AN25"/>
  <c r="AN26"/>
  <c r="AN27"/>
  <c r="AN28"/>
  <c r="AN29"/>
  <c r="AN30"/>
  <c r="AN31"/>
  <c r="AO13"/>
  <c r="AO14"/>
  <c r="AO15"/>
  <c r="AO16"/>
  <c r="AO17"/>
  <c r="AO18"/>
  <c r="AO19"/>
  <c r="AO20"/>
  <c r="AO21"/>
  <c r="AO22"/>
  <c r="AO23"/>
  <c r="AO24"/>
  <c r="AO25"/>
  <c r="AO26"/>
  <c r="AO27"/>
  <c r="AO28"/>
  <c r="AO29"/>
  <c r="AO30"/>
  <c r="AO31"/>
  <c r="AP30"/>
  <c r="AS30"/>
  <c r="AR30"/>
  <c r="AP29"/>
  <c r="AR29"/>
  <c r="AS29"/>
  <c r="AP28"/>
  <c r="AR28"/>
  <c r="AT29"/>
  <c r="AT30"/>
  <c r="AP31"/>
  <c r="AS31"/>
  <c r="AR31"/>
  <c r="AT31"/>
  <c r="AU30"/>
  <c r="D21" i="28"/>
  <c r="AB13" i="6"/>
  <c r="AB14"/>
  <c r="AB15"/>
  <c r="AB16"/>
  <c r="AB17"/>
  <c r="AB18"/>
  <c r="AB19"/>
  <c r="AB20"/>
  <c r="AB21"/>
  <c r="AB22"/>
  <c r="AB23"/>
  <c r="AB24"/>
  <c r="AB25"/>
  <c r="AB26"/>
  <c r="AB27"/>
  <c r="AB28"/>
  <c r="AB29"/>
  <c r="AB30"/>
  <c r="AB31"/>
  <c r="AC13"/>
  <c r="AC14"/>
  <c r="AC15"/>
  <c r="AC16"/>
  <c r="AC17"/>
  <c r="AC18"/>
  <c r="AC19"/>
  <c r="AC20"/>
  <c r="AC21"/>
  <c r="AC22"/>
  <c r="AC23"/>
  <c r="AC24"/>
  <c r="AC25"/>
  <c r="AC26"/>
  <c r="AC27"/>
  <c r="AC28"/>
  <c r="AC29"/>
  <c r="AC30"/>
  <c r="AC31"/>
  <c r="AD30"/>
  <c r="AG30"/>
  <c r="A20" i="9"/>
  <c r="AF30" i="6"/>
  <c r="AD29"/>
  <c r="AF29"/>
  <c r="AG29"/>
  <c r="AD28"/>
  <c r="AF28"/>
  <c r="AG28"/>
  <c r="AD27"/>
  <c r="AF27"/>
  <c r="AG27"/>
  <c r="AD26"/>
  <c r="AF26"/>
  <c r="AG26"/>
  <c r="AD25"/>
  <c r="AF25"/>
  <c r="AG25"/>
  <c r="AD24"/>
  <c r="AF24"/>
  <c r="AG24"/>
  <c r="AD23"/>
  <c r="AF23"/>
  <c r="AG23"/>
  <c r="AD22"/>
  <c r="AF22"/>
  <c r="AG22"/>
  <c r="AD21"/>
  <c r="AF21"/>
  <c r="AG21"/>
  <c r="AD20"/>
  <c r="AF20"/>
  <c r="AG20"/>
  <c r="AD19"/>
  <c r="AF19"/>
  <c r="AG19"/>
  <c r="AD18"/>
  <c r="AF18"/>
  <c r="AG18"/>
  <c r="AD17"/>
  <c r="AF17"/>
  <c r="AG17"/>
  <c r="AD16"/>
  <c r="AF16"/>
  <c r="AG16"/>
  <c r="AD15"/>
  <c r="AF15"/>
  <c r="AG15"/>
  <c r="AD14"/>
  <c r="AF14"/>
  <c r="AG14"/>
  <c r="AD13"/>
  <c r="AF13"/>
  <c r="AH14"/>
  <c r="AH15"/>
  <c r="AH16"/>
  <c r="AH17"/>
  <c r="AH18"/>
  <c r="AH19"/>
  <c r="AH20"/>
  <c r="AH21"/>
  <c r="AH22"/>
  <c r="AH23"/>
  <c r="AH24"/>
  <c r="AH25"/>
  <c r="AH26"/>
  <c r="AH27"/>
  <c r="AH28"/>
  <c r="AH29"/>
  <c r="AH30"/>
  <c r="AD31"/>
  <c r="AG31"/>
  <c r="AF31"/>
  <c r="AH31"/>
  <c r="AI30"/>
  <c r="B20" i="9"/>
  <c r="BC31" i="24"/>
  <c r="F24" i="25"/>
  <c r="CL13" i="6"/>
  <c r="CL14"/>
  <c r="CL15"/>
  <c r="CL16"/>
  <c r="CL17"/>
  <c r="CL18"/>
  <c r="CL19"/>
  <c r="CL20"/>
  <c r="CL21"/>
  <c r="CL22"/>
  <c r="CL23"/>
  <c r="CL24"/>
  <c r="CL25"/>
  <c r="CL26"/>
  <c r="CL27"/>
  <c r="CL28"/>
  <c r="CL29"/>
  <c r="CL30"/>
  <c r="CL31"/>
  <c r="CM13"/>
  <c r="CM14"/>
  <c r="CM15"/>
  <c r="CM16"/>
  <c r="CM17"/>
  <c r="CM18"/>
  <c r="CM19"/>
  <c r="CM20"/>
  <c r="CM21"/>
  <c r="CM22"/>
  <c r="CM23"/>
  <c r="CM24"/>
  <c r="CM25"/>
  <c r="CM26"/>
  <c r="CM27"/>
  <c r="CM28"/>
  <c r="CM29"/>
  <c r="CM30"/>
  <c r="CM31"/>
  <c r="CN30"/>
  <c r="CQ30"/>
  <c r="CP30"/>
  <c r="CN29"/>
  <c r="CP29"/>
  <c r="CQ29"/>
  <c r="CN28"/>
  <c r="CP28"/>
  <c r="CQ28"/>
  <c r="CN27"/>
  <c r="CP27"/>
  <c r="CQ27"/>
  <c r="CN26"/>
  <c r="CP26"/>
  <c r="CQ26"/>
  <c r="CN25"/>
  <c r="CP25"/>
  <c r="CQ25"/>
  <c r="CN24"/>
  <c r="CP24"/>
  <c r="CQ24"/>
  <c r="CN23"/>
  <c r="CP23"/>
  <c r="CQ23"/>
  <c r="CN22"/>
  <c r="CP22"/>
  <c r="CQ22"/>
  <c r="CN21"/>
  <c r="CP21"/>
  <c r="CQ21"/>
  <c r="CN20"/>
  <c r="CP20"/>
  <c r="CQ20"/>
  <c r="CN19"/>
  <c r="CP19"/>
  <c r="CQ19"/>
  <c r="CN18"/>
  <c r="CP18"/>
  <c r="CQ18"/>
  <c r="CN17"/>
  <c r="CP17"/>
  <c r="CQ17"/>
  <c r="CN16"/>
  <c r="CP16"/>
  <c r="CQ16"/>
  <c r="CN15"/>
  <c r="CP15"/>
  <c r="CQ15"/>
  <c r="CN14"/>
  <c r="CP14"/>
  <c r="CQ14"/>
  <c r="CN13"/>
  <c r="CP13"/>
  <c r="CR14"/>
  <c r="CR15"/>
  <c r="CR16"/>
  <c r="CR17"/>
  <c r="CR18"/>
  <c r="CR19"/>
  <c r="CR20"/>
  <c r="CR21"/>
  <c r="CR22"/>
  <c r="CR23"/>
  <c r="CR24"/>
  <c r="CR25"/>
  <c r="CR26"/>
  <c r="CR27"/>
  <c r="CR28"/>
  <c r="CR29"/>
  <c r="CR30"/>
  <c r="CN31"/>
  <c r="CQ31"/>
  <c r="CP31"/>
  <c r="CR31"/>
  <c r="CS30"/>
  <c r="BB21" i="28"/>
  <c r="AX13" i="6"/>
  <c r="AX14"/>
  <c r="AX15"/>
  <c r="AX16"/>
  <c r="AX17"/>
  <c r="AX18"/>
  <c r="AX19"/>
  <c r="AX20"/>
  <c r="AX21"/>
  <c r="AX22"/>
  <c r="AX23"/>
  <c r="AX24"/>
  <c r="AX25"/>
  <c r="AX26"/>
  <c r="AX27"/>
  <c r="AX28"/>
  <c r="AX29"/>
  <c r="AX30"/>
  <c r="AX31"/>
  <c r="AY13"/>
  <c r="AY14"/>
  <c r="AY15"/>
  <c r="AY16"/>
  <c r="AY17"/>
  <c r="AY18"/>
  <c r="AY19"/>
  <c r="AY20"/>
  <c r="AY21"/>
  <c r="AY22"/>
  <c r="AY23"/>
  <c r="AY24"/>
  <c r="AY25"/>
  <c r="AY26"/>
  <c r="AY27"/>
  <c r="AY28"/>
  <c r="AY29"/>
  <c r="AY30"/>
  <c r="AY31"/>
  <c r="AZ30"/>
  <c r="BC30"/>
  <c r="BB30"/>
  <c r="AZ29"/>
  <c r="BB29"/>
  <c r="BC29"/>
  <c r="AZ28"/>
  <c r="BB28"/>
  <c r="BC28"/>
  <c r="AZ27"/>
  <c r="BB27"/>
  <c r="BC27"/>
  <c r="AZ26"/>
  <c r="BB26"/>
  <c r="BC26"/>
  <c r="AZ25"/>
  <c r="BB25"/>
  <c r="BC25"/>
  <c r="AZ24"/>
  <c r="BB24"/>
  <c r="BC24"/>
  <c r="AZ23"/>
  <c r="BB23"/>
  <c r="BC23"/>
  <c r="AZ22"/>
  <c r="BB22"/>
  <c r="BC22"/>
  <c r="AZ21"/>
  <c r="BB21"/>
  <c r="BC21"/>
  <c r="AZ20"/>
  <c r="BB20"/>
  <c r="BC20"/>
  <c r="AZ19"/>
  <c r="BB19"/>
  <c r="BC19"/>
  <c r="AZ18"/>
  <c r="BB18"/>
  <c r="BC18"/>
  <c r="AZ17"/>
  <c r="BB17"/>
  <c r="BC17"/>
  <c r="AZ16"/>
  <c r="BB16"/>
  <c r="BD17"/>
  <c r="BD18"/>
  <c r="BD19"/>
  <c r="BD20"/>
  <c r="BD21"/>
  <c r="BD22"/>
  <c r="BD23"/>
  <c r="BD24"/>
  <c r="BD25"/>
  <c r="BD26"/>
  <c r="BD27"/>
  <c r="BD28"/>
  <c r="BD29"/>
  <c r="BD30"/>
  <c r="BC16"/>
  <c r="AZ15"/>
  <c r="BB15"/>
  <c r="BC15"/>
  <c r="AZ14"/>
  <c r="BB14"/>
  <c r="BD15"/>
  <c r="BD16"/>
  <c r="AZ31"/>
  <c r="BC31"/>
  <c r="BB31"/>
  <c r="BD31"/>
  <c r="BE30"/>
  <c r="N21" i="28"/>
  <c r="BH13" i="6"/>
  <c r="BH14"/>
  <c r="BH15"/>
  <c r="BH16"/>
  <c r="BH17"/>
  <c r="BH18"/>
  <c r="BH19"/>
  <c r="BH20"/>
  <c r="BH21"/>
  <c r="BH22"/>
  <c r="BH23"/>
  <c r="BH24"/>
  <c r="BH25"/>
  <c r="BH26"/>
  <c r="BH27"/>
  <c r="BH28"/>
  <c r="BH29"/>
  <c r="BH30"/>
  <c r="BH31"/>
  <c r="BI13"/>
  <c r="BI14"/>
  <c r="BI15"/>
  <c r="BI16"/>
  <c r="BI17"/>
  <c r="BI18"/>
  <c r="BI19"/>
  <c r="BI20"/>
  <c r="BI21"/>
  <c r="BI22"/>
  <c r="BI23"/>
  <c r="BI24"/>
  <c r="BI25"/>
  <c r="BI26"/>
  <c r="BI27"/>
  <c r="BI28"/>
  <c r="BI29"/>
  <c r="BI30"/>
  <c r="BI31"/>
  <c r="BJ30"/>
  <c r="BM30"/>
  <c r="BL30"/>
  <c r="BJ29"/>
  <c r="BL29"/>
  <c r="BM29"/>
  <c r="BJ28"/>
  <c r="BL28"/>
  <c r="BM28"/>
  <c r="BJ27"/>
  <c r="BL27"/>
  <c r="BM27"/>
  <c r="BJ26"/>
  <c r="BL26"/>
  <c r="BM26"/>
  <c r="BJ25"/>
  <c r="BL25"/>
  <c r="BM25"/>
  <c r="BJ24"/>
  <c r="BL24"/>
  <c r="BM24"/>
  <c r="BJ23"/>
  <c r="BL23"/>
  <c r="BM23"/>
  <c r="BJ22"/>
  <c r="BL22"/>
  <c r="BM22"/>
  <c r="BJ21"/>
  <c r="BL21"/>
  <c r="BM21"/>
  <c r="BJ20"/>
  <c r="BL20"/>
  <c r="BM20"/>
  <c r="BJ19"/>
  <c r="BL19"/>
  <c r="BM19"/>
  <c r="BJ18"/>
  <c r="BL18"/>
  <c r="BM18"/>
  <c r="BJ17"/>
  <c r="BL17"/>
  <c r="BM17"/>
  <c r="BJ16"/>
  <c r="BL16"/>
  <c r="BM16"/>
  <c r="BJ15"/>
  <c r="BL15"/>
  <c r="BM15"/>
  <c r="BJ14"/>
  <c r="BL14"/>
  <c r="BM14"/>
  <c r="BJ13"/>
  <c r="BL13"/>
  <c r="BN14"/>
  <c r="BN15"/>
  <c r="BN16"/>
  <c r="BN17"/>
  <c r="BN18"/>
  <c r="BN19"/>
  <c r="BN20"/>
  <c r="BN21"/>
  <c r="BN22"/>
  <c r="BN23"/>
  <c r="BN24"/>
  <c r="BN25"/>
  <c r="BN26"/>
  <c r="BN27"/>
  <c r="BN28"/>
  <c r="BN29"/>
  <c r="BN30"/>
  <c r="BJ31"/>
  <c r="BM31"/>
  <c r="BL31"/>
  <c r="BN31"/>
  <c r="BO30"/>
  <c r="X21" i="28"/>
  <c r="CB13" i="6"/>
  <c r="CB14"/>
  <c r="CB15"/>
  <c r="CB16"/>
  <c r="CB17"/>
  <c r="CB18"/>
  <c r="CB19"/>
  <c r="CB20"/>
  <c r="CB21"/>
  <c r="CB22"/>
  <c r="CB23"/>
  <c r="CB24"/>
  <c r="CB25"/>
  <c r="CB26"/>
  <c r="CB27"/>
  <c r="CB28"/>
  <c r="CB29"/>
  <c r="CB30"/>
  <c r="CB31"/>
  <c r="CC13"/>
  <c r="CC14"/>
  <c r="CC15"/>
  <c r="CC16"/>
  <c r="CC17"/>
  <c r="CC18"/>
  <c r="CC19"/>
  <c r="CC20"/>
  <c r="CC21"/>
  <c r="CC22"/>
  <c r="CC23"/>
  <c r="CC24"/>
  <c r="CC25"/>
  <c r="CC26"/>
  <c r="CC27"/>
  <c r="CC28"/>
  <c r="CC29"/>
  <c r="CC30"/>
  <c r="CC31"/>
  <c r="CD30"/>
  <c r="CG30"/>
  <c r="CF30"/>
  <c r="CD29"/>
  <c r="CF29"/>
  <c r="CH30"/>
  <c r="CG29"/>
  <c r="CD28"/>
  <c r="CF28"/>
  <c r="CG28"/>
  <c r="CD27"/>
  <c r="CF27"/>
  <c r="CH28"/>
  <c r="CH29"/>
  <c r="CD31"/>
  <c r="CG31"/>
  <c r="CF31"/>
  <c r="CH31"/>
  <c r="CI30"/>
  <c r="AR21" i="28"/>
  <c r="CI31" i="6"/>
  <c r="AR22" i="28"/>
  <c r="X28" i="6"/>
  <c r="E23" i="10"/>
  <c r="BO31" i="6"/>
  <c r="X22" i="28"/>
  <c r="BE31" i="6"/>
  <c r="N22" i="28"/>
  <c r="CS31" i="6"/>
  <c r="BB22" i="28"/>
  <c r="BA28" i="24"/>
  <c r="AS27"/>
  <c r="AU27"/>
  <c r="BB28"/>
  <c r="BC29"/>
  <c r="F22" i="25"/>
  <c r="BR13" i="6"/>
  <c r="BR14"/>
  <c r="BR15"/>
  <c r="BR16"/>
  <c r="BR17"/>
  <c r="BR18"/>
  <c r="BR19"/>
  <c r="BR20"/>
  <c r="BR21"/>
  <c r="BR22"/>
  <c r="BR23"/>
  <c r="BR24"/>
  <c r="BR25"/>
  <c r="BR26"/>
  <c r="BR27"/>
  <c r="BR28"/>
  <c r="BR29"/>
  <c r="BR30"/>
  <c r="BR31"/>
  <c r="BS13"/>
  <c r="BS14"/>
  <c r="BS15"/>
  <c r="BS16"/>
  <c r="BS17"/>
  <c r="BS18"/>
  <c r="BS19"/>
  <c r="BS20"/>
  <c r="BS21"/>
  <c r="BS22"/>
  <c r="BS23"/>
  <c r="BS24"/>
  <c r="BS25"/>
  <c r="BS26"/>
  <c r="BS27"/>
  <c r="BS28"/>
  <c r="BS29"/>
  <c r="BS30"/>
  <c r="BS31"/>
  <c r="BT30"/>
  <c r="BW30"/>
  <c r="BV30"/>
  <c r="BT29"/>
  <c r="BV29"/>
  <c r="BW29"/>
  <c r="BT28"/>
  <c r="BV28"/>
  <c r="BW28"/>
  <c r="BT27"/>
  <c r="BV27"/>
  <c r="BW27"/>
  <c r="BT26"/>
  <c r="BV26"/>
  <c r="BW26"/>
  <c r="BT25"/>
  <c r="BV25"/>
  <c r="BW25"/>
  <c r="BT24"/>
  <c r="BV24"/>
  <c r="BW24"/>
  <c r="BT23"/>
  <c r="BV23"/>
  <c r="BW23"/>
  <c r="BT22"/>
  <c r="BV22"/>
  <c r="BW22"/>
  <c r="BT21"/>
  <c r="BV21"/>
  <c r="BW21"/>
  <c r="BT20"/>
  <c r="BV20"/>
  <c r="BW20"/>
  <c r="BT19"/>
  <c r="BV19"/>
  <c r="BW19"/>
  <c r="BT18"/>
  <c r="BV18"/>
  <c r="BW18"/>
  <c r="BT17"/>
  <c r="BV17"/>
  <c r="BX18"/>
  <c r="BX19"/>
  <c r="BX20"/>
  <c r="BX21"/>
  <c r="BX22"/>
  <c r="BX23"/>
  <c r="BX24"/>
  <c r="BX25"/>
  <c r="BX26"/>
  <c r="BX27"/>
  <c r="BX28"/>
  <c r="BX29"/>
  <c r="BX30"/>
  <c r="BT31"/>
  <c r="BW31"/>
  <c r="BV31"/>
  <c r="BX31"/>
  <c r="BY30"/>
  <c r="AH21" i="28"/>
  <c r="A19" i="9"/>
  <c r="AI29" i="6"/>
  <c r="B19" i="9"/>
  <c r="AS28" i="6"/>
  <c r="AP27"/>
  <c r="AR27"/>
  <c r="AS27"/>
  <c r="AP26"/>
  <c r="AR26"/>
  <c r="AS26"/>
  <c r="AP25"/>
  <c r="AR25"/>
  <c r="AS25"/>
  <c r="AP24"/>
  <c r="AR24"/>
  <c r="AT25"/>
  <c r="AT26"/>
  <c r="AT27"/>
  <c r="AT28"/>
  <c r="AU29"/>
  <c r="D20" i="28"/>
  <c r="A21" i="9"/>
  <c r="AI31" i="6"/>
  <c r="B21" i="9"/>
  <c r="AU31" i="6"/>
  <c r="D22" i="28"/>
  <c r="CI29" i="6"/>
  <c r="AR20" i="28"/>
  <c r="X27" i="6"/>
  <c r="E22" i="10"/>
  <c r="AS24" i="6"/>
  <c r="AP23"/>
  <c r="AR23"/>
  <c r="AT24"/>
  <c r="AU28"/>
  <c r="D19" i="28"/>
  <c r="BA27" i="24"/>
  <c r="AS26"/>
  <c r="AU26"/>
  <c r="BB27"/>
  <c r="BA26"/>
  <c r="AS25"/>
  <c r="AU25"/>
  <c r="BB26"/>
  <c r="BC27"/>
  <c r="F20" i="25"/>
  <c r="A18" i="9"/>
  <c r="AI28" i="6"/>
  <c r="B18" i="9"/>
  <c r="CS28" i="6"/>
  <c r="BB19" i="28"/>
  <c r="BE28" i="6"/>
  <c r="N19" i="28"/>
  <c r="BO28" i="6"/>
  <c r="X19" i="28"/>
  <c r="BY29" i="6"/>
  <c r="AH20" i="28"/>
  <c r="BC28" i="24"/>
  <c r="F21" i="25"/>
  <c r="CS29" i="6"/>
  <c r="BB20" i="28"/>
  <c r="BE29" i="6"/>
  <c r="N20" i="28"/>
  <c r="BO29" i="6"/>
  <c r="X20" i="28"/>
  <c r="BY31" i="6"/>
  <c r="AH22" i="28"/>
  <c r="CG27" i="6"/>
  <c r="CD26"/>
  <c r="CF26"/>
  <c r="CH27"/>
  <c r="CI28"/>
  <c r="AR19" i="28"/>
  <c r="X26" i="6"/>
  <c r="E21" i="10"/>
  <c r="BY28" i="6"/>
  <c r="AH19" i="28"/>
  <c r="BO27" i="6"/>
  <c r="X18" i="28"/>
  <c r="BE27" i="6"/>
  <c r="N18" i="28"/>
  <c r="CS27" i="6"/>
  <c r="BB18" i="28"/>
  <c r="A17" i="9"/>
  <c r="AI27" i="6"/>
  <c r="B17" i="9"/>
  <c r="BA25" i="24"/>
  <c r="AS24"/>
  <c r="AU24"/>
  <c r="BB25"/>
  <c r="BC26"/>
  <c r="F19" i="25"/>
  <c r="AU27" i="6"/>
  <c r="D18" i="28"/>
  <c r="CG26" i="6"/>
  <c r="CD25"/>
  <c r="CF25"/>
  <c r="CH26"/>
  <c r="CI27"/>
  <c r="AR18" i="28"/>
  <c r="X25" i="6"/>
  <c r="E20" i="10"/>
  <c r="CG25" i="6"/>
  <c r="CD24"/>
  <c r="CF24"/>
  <c r="CH25"/>
  <c r="CI26"/>
  <c r="AR17" i="28"/>
  <c r="X24" i="6"/>
  <c r="E19" i="10"/>
  <c r="BY27" i="6"/>
  <c r="AH18" i="28"/>
  <c r="BO26" i="6"/>
  <c r="X17" i="28"/>
  <c r="BE26" i="6"/>
  <c r="N17" i="28"/>
  <c r="CS26" i="6"/>
  <c r="BB17" i="28"/>
  <c r="A16" i="9"/>
  <c r="AI26" i="6"/>
  <c r="B16" i="9"/>
  <c r="BA24" i="24"/>
  <c r="AS23"/>
  <c r="AU23"/>
  <c r="BB24"/>
  <c r="BC25"/>
  <c r="F18" i="25"/>
  <c r="AU26" i="6"/>
  <c r="D17" i="28"/>
  <c r="CG24" i="6"/>
  <c r="CD23"/>
  <c r="CF23"/>
  <c r="CH24"/>
  <c r="CI25"/>
  <c r="AR16" i="28"/>
  <c r="X23" i="6"/>
  <c r="E18" i="10"/>
  <c r="AS23" i="6"/>
  <c r="AP22"/>
  <c r="AR22"/>
  <c r="AT23"/>
  <c r="AU25"/>
  <c r="D16" i="28"/>
  <c r="BA23" i="24"/>
  <c r="AS22"/>
  <c r="AU22"/>
  <c r="BB23"/>
  <c r="BC24"/>
  <c r="F17" i="25"/>
  <c r="A15" i="9"/>
  <c r="AI25" i="6"/>
  <c r="B15" i="9"/>
  <c r="CS25" i="6"/>
  <c r="BB16" i="28"/>
  <c r="BE25" i="6"/>
  <c r="N16" i="28"/>
  <c r="BO25" i="6"/>
  <c r="X16" i="28"/>
  <c r="BY26" i="6"/>
  <c r="AH17" i="28"/>
  <c r="CG23" i="6"/>
  <c r="CD22"/>
  <c r="CF22"/>
  <c r="CH23"/>
  <c r="CI24"/>
  <c r="AR15" i="28"/>
  <c r="X22" i="6"/>
  <c r="E17" i="10"/>
  <c r="X21" i="6"/>
  <c r="E16" i="10"/>
  <c r="BY24" i="6"/>
  <c r="AH15" i="28"/>
  <c r="BO23" i="6"/>
  <c r="X14" i="28"/>
  <c r="BE23" i="6"/>
  <c r="N14" i="28"/>
  <c r="CS23" i="6"/>
  <c r="BB14" i="28"/>
  <c r="A13" i="9"/>
  <c r="AI23" i="6"/>
  <c r="B13" i="9"/>
  <c r="BA22" i="24"/>
  <c r="AS21"/>
  <c r="AU21"/>
  <c r="BA21"/>
  <c r="AS20"/>
  <c r="AU20"/>
  <c r="BB21"/>
  <c r="BB22"/>
  <c r="BC22"/>
  <c r="F15" i="25"/>
  <c r="AS22" i="6"/>
  <c r="AP21"/>
  <c r="AR21"/>
  <c r="AS21"/>
  <c r="AP20"/>
  <c r="AR20"/>
  <c r="AT21"/>
  <c r="AT22"/>
  <c r="AU23"/>
  <c r="D14" i="28"/>
  <c r="BY25" i="6"/>
  <c r="AH16" i="28"/>
  <c r="BO24" i="6"/>
  <c r="X15" i="28"/>
  <c r="BE24" i="6"/>
  <c r="N15" i="28"/>
  <c r="CS24" i="6"/>
  <c r="BB15" i="28"/>
  <c r="A14" i="9"/>
  <c r="AI24" i="6"/>
  <c r="B14" i="9"/>
  <c r="BC23" i="24"/>
  <c r="F16" i="25"/>
  <c r="AU24" i="6"/>
  <c r="D15" i="28"/>
  <c r="CG22" i="6"/>
  <c r="CD21"/>
  <c r="CF21"/>
  <c r="CH22"/>
  <c r="CI23"/>
  <c r="AR14" i="28"/>
  <c r="X19" i="6"/>
  <c r="E14" i="10"/>
  <c r="X20" i="6"/>
  <c r="E15" i="10"/>
  <c r="AU22" i="6"/>
  <c r="D13" i="28"/>
  <c r="BA20" i="24"/>
  <c r="AS19"/>
  <c r="AU19"/>
  <c r="BB20"/>
  <c r="BC21"/>
  <c r="F14" i="25"/>
  <c r="A12" i="9"/>
  <c r="AI22" i="6"/>
  <c r="B12" i="9"/>
  <c r="CS22" i="6"/>
  <c r="BB13" i="28"/>
  <c r="BE22" i="6"/>
  <c r="N13" i="28"/>
  <c r="BO22" i="6"/>
  <c r="X13" i="28"/>
  <c r="BY23" i="6"/>
  <c r="AH14" i="28"/>
  <c r="CG21" i="6"/>
  <c r="CD20"/>
  <c r="CF20"/>
  <c r="CH21"/>
  <c r="CG20"/>
  <c r="CD19"/>
  <c r="CF19"/>
  <c r="CH20"/>
  <c r="CI21"/>
  <c r="AR12" i="28"/>
  <c r="CI22" i="6"/>
  <c r="AR13" i="28"/>
  <c r="X18" i="6"/>
  <c r="E13" i="10"/>
  <c r="AS20" i="6"/>
  <c r="AP19"/>
  <c r="AR19"/>
  <c r="AT20"/>
  <c r="AU21"/>
  <c r="D12" i="28"/>
  <c r="CG19" i="6"/>
  <c r="CD18"/>
  <c r="CF18"/>
  <c r="CH19"/>
  <c r="CI20"/>
  <c r="AR11" i="28"/>
  <c r="X17" i="6"/>
  <c r="E12" i="10"/>
  <c r="BA19" i="24"/>
  <c r="AS18"/>
  <c r="AU18"/>
  <c r="BB19"/>
  <c r="BC20"/>
  <c r="F13" i="25"/>
  <c r="A11" i="9"/>
  <c r="AI21" i="6"/>
  <c r="B11" i="9"/>
  <c r="CS21" i="6"/>
  <c r="BB12" i="28"/>
  <c r="BE21" i="6"/>
  <c r="N12" i="28"/>
  <c r="BO21" i="6"/>
  <c r="X12" i="28"/>
  <c r="BY22" i="6"/>
  <c r="AH13" i="28"/>
  <c r="X16" i="6"/>
  <c r="E11" i="10"/>
  <c r="BY20" i="6"/>
  <c r="AH11" i="28"/>
  <c r="BO19" i="6"/>
  <c r="X10" i="28"/>
  <c r="BE19" i="6"/>
  <c r="N10" i="28"/>
  <c r="CS19" i="6"/>
  <c r="BB10" i="28"/>
  <c r="A9" i="9"/>
  <c r="AI19" i="6"/>
  <c r="B9" i="9"/>
  <c r="AS19" i="6"/>
  <c r="AP18"/>
  <c r="AR18"/>
  <c r="AS18"/>
  <c r="AP17"/>
  <c r="AR17"/>
  <c r="AT18"/>
  <c r="AT19"/>
  <c r="AU19"/>
  <c r="D10" i="28"/>
  <c r="BA18" i="24"/>
  <c r="AS17"/>
  <c r="AU17"/>
  <c r="BB18"/>
  <c r="BA17"/>
  <c r="AS16"/>
  <c r="AU16"/>
  <c r="BB17"/>
  <c r="BC18"/>
  <c r="F11" i="25"/>
  <c r="BY21" i="6"/>
  <c r="AH12" i="28"/>
  <c r="BO20" i="6"/>
  <c r="X11" i="28"/>
  <c r="BE20" i="6"/>
  <c r="N11" i="28"/>
  <c r="CS20" i="6"/>
  <c r="BB11" i="28"/>
  <c r="A10" i="9"/>
  <c r="AI20" i="6"/>
  <c r="B10" i="9"/>
  <c r="AU20" i="6"/>
  <c r="D11" i="28"/>
  <c r="BC19" i="24"/>
  <c r="F12" i="25"/>
  <c r="BC14" i="6"/>
  <c r="AZ13"/>
  <c r="BB13"/>
  <c r="BD14"/>
  <c r="BE17"/>
  <c r="N8" i="28"/>
  <c r="BE18" i="6"/>
  <c r="N9" i="28"/>
  <c r="CG18" i="6"/>
  <c r="CD17"/>
  <c r="CF17"/>
  <c r="CH18"/>
  <c r="CI19"/>
  <c r="AR10" i="28"/>
  <c r="CG17" i="6"/>
  <c r="CD16"/>
  <c r="CF16"/>
  <c r="CH17"/>
  <c r="CI18"/>
  <c r="AR9" i="28"/>
  <c r="X15" i="6"/>
  <c r="E10" i="10"/>
  <c r="BO17" i="6"/>
  <c r="X8" i="28"/>
  <c r="BO18" i="6"/>
  <c r="X9" i="28"/>
  <c r="BA16" i="24"/>
  <c r="AS15"/>
  <c r="AU15"/>
  <c r="BB16"/>
  <c r="BC17"/>
  <c r="F10" i="25"/>
  <c r="AS17" i="6"/>
  <c r="AP16"/>
  <c r="AR16"/>
  <c r="AS16"/>
  <c r="AP15"/>
  <c r="AR15"/>
  <c r="AT16"/>
  <c r="AT17"/>
  <c r="AU18"/>
  <c r="D9" i="28"/>
  <c r="A8" i="9"/>
  <c r="AI18" i="6"/>
  <c r="B8" i="9"/>
  <c r="CS18" i="6"/>
  <c r="BB9" i="28"/>
  <c r="BY19" i="6"/>
  <c r="AH10" i="28"/>
  <c r="BE16" i="6"/>
  <c r="N7" i="28"/>
  <c r="BO16" i="6"/>
  <c r="X7" i="28"/>
  <c r="CG16" i="6"/>
  <c r="CD15"/>
  <c r="CF15"/>
  <c r="CH16"/>
  <c r="CI17"/>
  <c r="AR8" i="28"/>
  <c r="X14" i="6"/>
  <c r="E9" i="10"/>
  <c r="CS17" i="6"/>
  <c r="BB8" i="28"/>
  <c r="A7" i="9"/>
  <c r="AI17" i="6"/>
  <c r="B7" i="9"/>
  <c r="AS15" i="6"/>
  <c r="AP14"/>
  <c r="AR14"/>
  <c r="AT15"/>
  <c r="AS14"/>
  <c r="AP13"/>
  <c r="AR13"/>
  <c r="AT14"/>
  <c r="AU15"/>
  <c r="D6" i="28"/>
  <c r="AU14" i="6"/>
  <c r="D5" i="28"/>
  <c r="AU13" i="6"/>
  <c r="D4" i="28"/>
  <c r="BO15" i="6"/>
  <c r="X6" i="28"/>
  <c r="AS14" i="24"/>
  <c r="BA14"/>
  <c r="AU14"/>
  <c r="AS13"/>
  <c r="AU13"/>
  <c r="BB14"/>
  <c r="BA15"/>
  <c r="BB15"/>
  <c r="BC14"/>
  <c r="F7" i="25"/>
  <c r="BC13" i="24"/>
  <c r="F6" i="25"/>
  <c r="BE14" i="6"/>
  <c r="N5" i="28"/>
  <c r="BE15" i="6"/>
  <c r="N6" i="28"/>
  <c r="AU17" i="6"/>
  <c r="D8" i="28"/>
  <c r="AU16" i="6"/>
  <c r="D7" i="28"/>
  <c r="CG15" i="6"/>
  <c r="CD14"/>
  <c r="CF14"/>
  <c r="CH15"/>
  <c r="CG14"/>
  <c r="CD13"/>
  <c r="CF13"/>
  <c r="CH14"/>
  <c r="CI15"/>
  <c r="AR6" i="28"/>
  <c r="CI16" i="6"/>
  <c r="AR7" i="28"/>
  <c r="BC16" i="24"/>
  <c r="F9" i="25"/>
  <c r="X13" i="6"/>
  <c r="E8" i="10"/>
  <c r="BW17" i="6"/>
  <c r="BT16"/>
  <c r="BV16"/>
  <c r="BW16"/>
  <c r="BT15"/>
  <c r="BV15"/>
  <c r="BW15"/>
  <c r="BT14"/>
  <c r="BV14"/>
  <c r="BX15"/>
  <c r="BX16"/>
  <c r="BX17"/>
  <c r="BY17"/>
  <c r="AH8" i="28"/>
  <c r="BY18" i="6"/>
  <c r="AH9" i="28"/>
  <c r="A4" i="9"/>
  <c r="AI14" i="6"/>
  <c r="B4" i="9"/>
  <c r="AE14" i="6"/>
  <c r="C4" i="9"/>
  <c r="D4"/>
  <c r="BC15" i="24"/>
  <c r="F8" i="25"/>
  <c r="E8"/>
  <c r="C6" i="28"/>
  <c r="C7"/>
  <c r="E7" i="25"/>
  <c r="BO14" i="6"/>
  <c r="X5" i="28"/>
  <c r="AG13" i="6"/>
  <c r="A3" i="9"/>
  <c r="AI13" i="6"/>
  <c r="B3" i="9"/>
  <c r="A5"/>
  <c r="D5"/>
  <c r="AE15" i="6"/>
  <c r="C5" i="9"/>
  <c r="BE13" i="6"/>
  <c r="N4" i="28"/>
  <c r="C5"/>
  <c r="AI15" i="6"/>
  <c r="B5" i="9"/>
  <c r="CI14" i="6"/>
  <c r="AR5" i="28"/>
  <c r="A6" i="9"/>
  <c r="AI16" i="6"/>
  <c r="B6" i="9"/>
  <c r="D9" i="10"/>
  <c r="CS16" i="6"/>
  <c r="BB7" i="28"/>
  <c r="AQ30" i="6"/>
  <c r="E21" i="28"/>
  <c r="C21"/>
  <c r="F21"/>
  <c r="C19"/>
  <c r="AQ28" i="6"/>
  <c r="E19" i="28"/>
  <c r="F19"/>
  <c r="F15"/>
  <c r="C15"/>
  <c r="AQ24" i="6"/>
  <c r="E15" i="28"/>
  <c r="AQ19" i="6"/>
  <c r="E10" i="28"/>
  <c r="F10"/>
  <c r="C10"/>
  <c r="F5"/>
  <c r="AQ14" i="6"/>
  <c r="E5" i="28"/>
  <c r="AS13" i="6"/>
  <c r="C4" i="28"/>
  <c r="F4"/>
  <c r="AQ13" i="6"/>
  <c r="E4" i="28"/>
  <c r="F20"/>
  <c r="C20"/>
  <c r="AQ29" i="6"/>
  <c r="E20" i="28"/>
  <c r="AQ17" i="6"/>
  <c r="E8" i="28"/>
  <c r="F8"/>
  <c r="C8"/>
  <c r="F16"/>
  <c r="AQ25" i="6"/>
  <c r="E16" i="28"/>
  <c r="C16"/>
  <c r="BO13" i="6"/>
  <c r="X4" i="28"/>
  <c r="M5"/>
  <c r="AW14" i="24"/>
  <c r="J7" i="25"/>
  <c r="H7"/>
  <c r="AV14" i="24"/>
  <c r="I7" i="25"/>
  <c r="AX14" i="24"/>
  <c r="K7" i="25"/>
  <c r="AY14" i="24"/>
  <c r="L7" i="25"/>
  <c r="AZ14" i="24"/>
  <c r="AT14"/>
  <c r="G7" i="25"/>
  <c r="AV13" i="24"/>
  <c r="I6" i="25"/>
  <c r="H6"/>
  <c r="AT13" i="24"/>
  <c r="G6" i="25"/>
  <c r="AW13" i="24"/>
  <c r="J6" i="25"/>
  <c r="AX13" i="24"/>
  <c r="K6" i="25"/>
  <c r="AZ13" i="24"/>
  <c r="BA13"/>
  <c r="E6" i="25"/>
  <c r="AY13" i="24"/>
  <c r="L6" i="25"/>
  <c r="AZ21" i="24"/>
  <c r="AT21"/>
  <c r="G14" i="25"/>
  <c r="AY21" i="24"/>
  <c r="L14" i="25"/>
  <c r="AV21" i="24"/>
  <c r="I14" i="25"/>
  <c r="E14"/>
  <c r="AW21" i="24"/>
  <c r="J14" i="25"/>
  <c r="AX21" i="24"/>
  <c r="K14" i="25"/>
  <c r="H14"/>
  <c r="H13"/>
  <c r="AZ20" i="24"/>
  <c r="AY20"/>
  <c r="L13" i="25"/>
  <c r="AW20" i="24"/>
  <c r="J13" i="25"/>
  <c r="AX20" i="24"/>
  <c r="K13" i="25"/>
  <c r="AV20" i="24"/>
  <c r="I13" i="25"/>
  <c r="E13"/>
  <c r="AT20" i="24"/>
  <c r="G13" i="25"/>
  <c r="AZ17" i="24"/>
  <c r="H10" i="25"/>
  <c r="AX17" i="24"/>
  <c r="K10" i="25"/>
  <c r="AV17" i="24"/>
  <c r="I10" i="25"/>
  <c r="AW17" i="24"/>
  <c r="J10" i="25"/>
  <c r="AT17" i="24"/>
  <c r="G10" i="25"/>
  <c r="E10"/>
  <c r="AY17" i="24"/>
  <c r="L10" i="25"/>
  <c r="AZ29" i="24"/>
  <c r="AW29"/>
  <c r="J22" i="25"/>
  <c r="AY29" i="24"/>
  <c r="L22" i="25"/>
  <c r="E22"/>
  <c r="AV29" i="24"/>
  <c r="I22" i="25"/>
  <c r="AT29" i="24"/>
  <c r="G22" i="25"/>
  <c r="AX29" i="24"/>
  <c r="K22" i="25"/>
  <c r="H22"/>
  <c r="E15"/>
  <c r="AY22" i="24"/>
  <c r="L15" i="25"/>
  <c r="H15"/>
  <c r="AZ22" i="24"/>
  <c r="AW22"/>
  <c r="J15" i="25"/>
  <c r="AV22" i="24"/>
  <c r="I15" i="25"/>
  <c r="AT22" i="24"/>
  <c r="G15" i="25"/>
  <c r="AX22" i="24"/>
  <c r="K15" i="25"/>
  <c r="AZ16" i="24"/>
  <c r="AT16"/>
  <c r="G9" i="25"/>
  <c r="AV16" i="24"/>
  <c r="I9" i="25"/>
  <c r="H9"/>
  <c r="AW16" i="24"/>
  <c r="J9" i="25"/>
  <c r="AY16" i="24"/>
  <c r="L9" i="25"/>
  <c r="E9"/>
  <c r="AX16" i="24"/>
  <c r="K9" i="25"/>
  <c r="AT18" i="24"/>
  <c r="G11" i="25"/>
  <c r="E11"/>
  <c r="AW18" i="24"/>
  <c r="J11" i="25"/>
  <c r="AZ18" i="24"/>
  <c r="H11" i="25"/>
  <c r="AY18" i="24"/>
  <c r="L11" i="25"/>
  <c r="AX18" i="24"/>
  <c r="K11" i="25"/>
  <c r="AV18" i="24"/>
  <c r="I11" i="25"/>
  <c r="AY19" i="24"/>
  <c r="L12" i="25"/>
  <c r="H12"/>
  <c r="AT19" i="24"/>
  <c r="G12" i="25"/>
  <c r="E12"/>
  <c r="AV19" i="24"/>
  <c r="I12" i="25"/>
  <c r="AZ19" i="24"/>
  <c r="AW19"/>
  <c r="J12" i="25"/>
  <c r="AX19" i="24"/>
  <c r="K12" i="25"/>
  <c r="M6" i="28"/>
  <c r="D3" i="9"/>
  <c r="AE13" i="6"/>
  <c r="C3" i="9"/>
  <c r="F7" i="28"/>
  <c r="AQ16" i="6"/>
  <c r="E7" i="28"/>
  <c r="F13"/>
  <c r="AQ22" i="6"/>
  <c r="E13" i="28"/>
  <c r="C13"/>
  <c r="AQ21" i="6"/>
  <c r="E12" i="28"/>
  <c r="F12"/>
  <c r="C12"/>
  <c r="AQ15" i="6"/>
  <c r="E6" i="28"/>
  <c r="F6"/>
  <c r="F22"/>
  <c r="C22"/>
  <c r="AQ31" i="6"/>
  <c r="E22" i="28"/>
  <c r="AQ18" i="6"/>
  <c r="E9" i="28"/>
  <c r="C9"/>
  <c r="F9"/>
  <c r="F17"/>
  <c r="C17"/>
  <c r="AQ26" i="6"/>
  <c r="E17" i="28"/>
  <c r="AQ27" i="6"/>
  <c r="E18" i="28"/>
  <c r="C18"/>
  <c r="F18"/>
  <c r="C14"/>
  <c r="F14"/>
  <c r="AQ23" i="6"/>
  <c r="E14" i="28"/>
  <c r="F11"/>
  <c r="C11"/>
  <c r="AQ20" i="6"/>
  <c r="E11" i="28"/>
  <c r="AY30" i="24"/>
  <c r="L23" i="25"/>
  <c r="E23"/>
  <c r="AX30" i="24"/>
  <c r="K23" i="25"/>
  <c r="AT30" i="24"/>
  <c r="G23" i="25"/>
  <c r="AV30" i="24"/>
  <c r="I23" i="25"/>
  <c r="H23"/>
  <c r="AZ30" i="24"/>
  <c r="AW30"/>
  <c r="J23" i="25"/>
  <c r="AZ31" i="24"/>
  <c r="E24" i="25"/>
  <c r="H24"/>
  <c r="AX31" i="24"/>
  <c r="K24" i="25"/>
  <c r="AW31" i="24"/>
  <c r="J24" i="25"/>
  <c r="AV31" i="24"/>
  <c r="I24" i="25"/>
  <c r="AY31" i="24"/>
  <c r="L24" i="25"/>
  <c r="AT31" i="24"/>
  <c r="G24" i="25"/>
  <c r="E18"/>
  <c r="AX25" i="24"/>
  <c r="K18" i="25"/>
  <c r="AW25" i="24"/>
  <c r="J18" i="25"/>
  <c r="AV25" i="24"/>
  <c r="I18" i="25"/>
  <c r="AT25" i="24"/>
  <c r="G18" i="25"/>
  <c r="AY25" i="24"/>
  <c r="L18" i="25"/>
  <c r="H18"/>
  <c r="AZ25" i="24"/>
  <c r="E20" i="25"/>
  <c r="AY27" i="24"/>
  <c r="L20" i="25"/>
  <c r="AX27" i="24"/>
  <c r="K20" i="25"/>
  <c r="AW27" i="24"/>
  <c r="J20" i="25"/>
  <c r="AV27" i="24"/>
  <c r="I20" i="25"/>
  <c r="AT27" i="24"/>
  <c r="G20" i="25"/>
  <c r="H20"/>
  <c r="AZ27" i="24"/>
  <c r="AZ24"/>
  <c r="AT24"/>
  <c r="G17" i="25"/>
  <c r="AW24" i="24"/>
  <c r="J17" i="25"/>
  <c r="E17"/>
  <c r="AV24" i="24"/>
  <c r="I17" i="25"/>
  <c r="AY24" i="24"/>
  <c r="L17" i="25"/>
  <c r="H17"/>
  <c r="AX24" i="24"/>
  <c r="K17" i="25"/>
  <c r="AZ15" i="24"/>
  <c r="AT15"/>
  <c r="G8" i="25"/>
  <c r="AX15" i="24"/>
  <c r="K8" i="25"/>
  <c r="AW15" i="24"/>
  <c r="J8" i="25"/>
  <c r="H8"/>
  <c r="AV15" i="24"/>
  <c r="I8" i="25"/>
  <c r="AY15" i="24"/>
  <c r="L8" i="25"/>
  <c r="AT28" i="24"/>
  <c r="G21" i="25"/>
  <c r="AW28" i="24"/>
  <c r="J21" i="25"/>
  <c r="H21"/>
  <c r="AV28" i="24"/>
  <c r="I21" i="25"/>
  <c r="E21"/>
  <c r="AZ28" i="24"/>
  <c r="AY28"/>
  <c r="L21" i="25"/>
  <c r="AX28" i="24"/>
  <c r="K21" i="25"/>
  <c r="E19"/>
  <c r="AZ26" i="24"/>
  <c r="AV26"/>
  <c r="I19" i="25"/>
  <c r="AW26" i="24"/>
  <c r="J19" i="25"/>
  <c r="AY26" i="24"/>
  <c r="L19" i="25"/>
  <c r="AT26" i="24"/>
  <c r="G19" i="25"/>
  <c r="AX26" i="24"/>
  <c r="K19" i="25"/>
  <c r="H19"/>
  <c r="AW23" i="24"/>
  <c r="J16" i="25"/>
  <c r="AY23" i="24"/>
  <c r="L16" i="25"/>
  <c r="AT23" i="24"/>
  <c r="G16" i="25"/>
  <c r="AX23" i="24"/>
  <c r="K16" i="25"/>
  <c r="AV23" i="24"/>
  <c r="I16" i="25"/>
  <c r="AZ23" i="24"/>
  <c r="E16" i="25"/>
  <c r="H16"/>
  <c r="AE22" i="6"/>
  <c r="C12" i="9"/>
  <c r="AE16" i="6"/>
  <c r="C6" i="9"/>
  <c r="AE26" i="6"/>
  <c r="C16" i="9"/>
  <c r="D21"/>
  <c r="AE21" i="6"/>
  <c r="C11" i="9"/>
  <c r="D19"/>
  <c r="AE20" i="6"/>
  <c r="C10" i="9"/>
  <c r="AE18" i="6"/>
  <c r="C8" i="9"/>
  <c r="AE30" i="6"/>
  <c r="C20" i="9"/>
  <c r="D17"/>
  <c r="D16"/>
  <c r="AE25" i="6"/>
  <c r="C15" i="9"/>
  <c r="AE23" i="6"/>
  <c r="C13" i="9"/>
  <c r="D8"/>
  <c r="CI13" i="6"/>
  <c r="AR4" i="28"/>
  <c r="D20" i="9"/>
  <c r="AE28" i="6"/>
  <c r="C18" i="9"/>
  <c r="D11"/>
  <c r="D14"/>
  <c r="D9"/>
  <c r="D12"/>
  <c r="K25" i="10"/>
  <c r="U30" i="6"/>
  <c r="G25" i="10"/>
  <c r="U13" i="6"/>
  <c r="G8" i="10"/>
  <c r="I25"/>
  <c r="S30" i="6"/>
  <c r="F25" i="10"/>
  <c r="D25"/>
  <c r="S15" i="6"/>
  <c r="F10" i="10"/>
  <c r="K10"/>
  <c r="U15" i="6"/>
  <c r="G10" i="10"/>
  <c r="I10"/>
  <c r="D10"/>
  <c r="U23" i="6"/>
  <c r="G18" i="10"/>
  <c r="D18"/>
  <c r="S23" i="6"/>
  <c r="F18" i="10"/>
  <c r="K18"/>
  <c r="I18"/>
  <c r="U28" i="6"/>
  <c r="G23" i="10"/>
  <c r="D23"/>
  <c r="S28" i="6"/>
  <c r="F23" i="10"/>
  <c r="K23"/>
  <c r="I23"/>
  <c r="D22"/>
  <c r="U27" i="6"/>
  <c r="G22" i="10"/>
  <c r="K22"/>
  <c r="I22"/>
  <c r="S27" i="6"/>
  <c r="F22" i="10"/>
  <c r="D16"/>
  <c r="U21" i="6"/>
  <c r="G16" i="10"/>
  <c r="K16"/>
  <c r="I16"/>
  <c r="S21" i="6"/>
  <c r="F16" i="10"/>
  <c r="D20"/>
  <c r="U25" i="6"/>
  <c r="G20" i="10"/>
  <c r="S25" i="6"/>
  <c r="F20" i="10"/>
  <c r="K20"/>
  <c r="I20"/>
  <c r="D12"/>
  <c r="S17" i="6"/>
  <c r="F12" i="10"/>
  <c r="K12"/>
  <c r="U17" i="6"/>
  <c r="G12" i="10"/>
  <c r="I12"/>
  <c r="S31" i="6"/>
  <c r="F26" i="10"/>
  <c r="U31" i="6"/>
  <c r="G26" i="10"/>
  <c r="D26"/>
  <c r="K26"/>
  <c r="I26"/>
  <c r="K15"/>
  <c r="U20" i="6"/>
  <c r="G15" i="10"/>
  <c r="I15"/>
  <c r="S20" i="6"/>
  <c r="F15" i="10"/>
  <c r="D15"/>
  <c r="U26" i="6"/>
  <c r="G21" i="10"/>
  <c r="D21"/>
  <c r="S26" i="6"/>
  <c r="F21" i="10"/>
  <c r="K21"/>
  <c r="I21"/>
  <c r="K17"/>
  <c r="U22" i="6"/>
  <c r="G17" i="10"/>
  <c r="I17"/>
  <c r="S22" i="6"/>
  <c r="F17" i="10"/>
  <c r="D17"/>
  <c r="U19" i="6"/>
  <c r="G14" i="10"/>
  <c r="S19" i="6"/>
  <c r="F14" i="10"/>
  <c r="D14"/>
  <c r="K14"/>
  <c r="I14"/>
  <c r="K9"/>
  <c r="U14" i="6"/>
  <c r="G9" i="10"/>
  <c r="I9"/>
  <c r="S14" i="6"/>
  <c r="F9" i="10"/>
  <c r="D11"/>
  <c r="S16" i="6"/>
  <c r="F11" i="10"/>
  <c r="U16" i="6"/>
  <c r="G11" i="10"/>
  <c r="K11"/>
  <c r="I11"/>
  <c r="U29" i="6"/>
  <c r="G24" i="10"/>
  <c r="D24"/>
  <c r="K24"/>
  <c r="I24"/>
  <c r="S29" i="6"/>
  <c r="F24" i="10"/>
  <c r="D13"/>
  <c r="S18" i="6"/>
  <c r="F13" i="10"/>
  <c r="K13"/>
  <c r="U18" i="6"/>
  <c r="G13" i="10"/>
  <c r="I13"/>
  <c r="S13" i="6"/>
  <c r="F8" i="10"/>
  <c r="V13" i="6"/>
  <c r="D8" i="10"/>
  <c r="K8"/>
  <c r="I8"/>
  <c r="S24" i="6"/>
  <c r="F19" i="10"/>
  <c r="D19"/>
  <c r="K19"/>
  <c r="U24" i="6"/>
  <c r="G19" i="10"/>
  <c r="I19"/>
  <c r="D6" i="9"/>
  <c r="CS14" i="6"/>
  <c r="BB5" i="28"/>
  <c r="D7" i="9"/>
  <c r="D13"/>
  <c r="AE31" i="6"/>
  <c r="C21" i="9"/>
  <c r="AE19" i="6"/>
  <c r="C9" i="9"/>
  <c r="BW14" i="6"/>
  <c r="BT13"/>
  <c r="BV13"/>
  <c r="BX14"/>
  <c r="BY14"/>
  <c r="AH5" i="28"/>
  <c r="BY15" i="6"/>
  <c r="AH6" i="28"/>
  <c r="BY13" i="6"/>
  <c r="AH4" i="28"/>
  <c r="AE24" i="6"/>
  <c r="C14" i="9"/>
  <c r="AE27" i="6"/>
  <c r="C17" i="9"/>
  <c r="D10"/>
  <c r="AE29" i="6"/>
  <c r="C19" i="9"/>
  <c r="M7" i="28"/>
  <c r="P7"/>
  <c r="BA16" i="6"/>
  <c r="O7" i="28"/>
  <c r="P4"/>
  <c r="BC13" i="6"/>
  <c r="M4" i="28"/>
  <c r="BA13" i="6"/>
  <c r="O4" i="28"/>
  <c r="M13"/>
  <c r="P13"/>
  <c r="BA22" i="6"/>
  <c r="O13" i="28"/>
  <c r="P6"/>
  <c r="BA15" i="6"/>
  <c r="O6" i="28"/>
  <c r="BA17" i="6"/>
  <c r="O8" i="28"/>
  <c r="M8"/>
  <c r="P8"/>
  <c r="P9"/>
  <c r="M9"/>
  <c r="BA18" i="6"/>
  <c r="O9" i="28"/>
  <c r="M17"/>
  <c r="P17"/>
  <c r="BA26" i="6"/>
  <c r="O17" i="28"/>
  <c r="M21"/>
  <c r="P21"/>
  <c r="BA30" i="6"/>
  <c r="O21" i="28"/>
  <c r="P16"/>
  <c r="BA25" i="6"/>
  <c r="O16" i="28"/>
  <c r="M16"/>
  <c r="M11"/>
  <c r="P11"/>
  <c r="BA20" i="6"/>
  <c r="O11" i="28"/>
  <c r="D18" i="9"/>
  <c r="D15"/>
  <c r="AE17" i="6"/>
  <c r="C7" i="9"/>
  <c r="M14" i="28"/>
  <c r="BA23" i="6"/>
  <c r="O14" i="28"/>
  <c r="P14"/>
  <c r="M10"/>
  <c r="P10"/>
  <c r="BA19" i="6"/>
  <c r="O10" i="28"/>
  <c r="M20"/>
  <c r="BA29" i="6"/>
  <c r="O20" i="28"/>
  <c r="P20"/>
  <c r="M12"/>
  <c r="BA21" i="6"/>
  <c r="O12" i="28"/>
  <c r="P12"/>
  <c r="P15"/>
  <c r="BA24" i="6"/>
  <c r="O15" i="28"/>
  <c r="M15"/>
  <c r="BA31" i="6"/>
  <c r="O22" i="28"/>
  <c r="M22"/>
  <c r="P22"/>
  <c r="BA28" i="6"/>
  <c r="O19" i="28"/>
  <c r="P19"/>
  <c r="M19"/>
  <c r="P5"/>
  <c r="BA14" i="6"/>
  <c r="O5" i="28"/>
  <c r="P18"/>
  <c r="BA27" i="6"/>
  <c r="O18" i="28"/>
  <c r="M18"/>
  <c r="W5"/>
  <c r="AQ5"/>
  <c r="AQ6"/>
  <c r="CS15" i="6"/>
  <c r="BB6" i="28"/>
  <c r="CS13" i="6"/>
  <c r="BB4" i="28"/>
  <c r="BA5"/>
  <c r="E16" i="13"/>
  <c r="E17"/>
  <c r="BY16" i="6"/>
  <c r="AH7" i="28"/>
  <c r="AG20"/>
  <c r="AG14"/>
  <c r="AG15"/>
  <c r="AG6"/>
  <c r="AG13"/>
  <c r="AG5"/>
  <c r="AG19"/>
  <c r="AG22"/>
  <c r="AG10"/>
  <c r="Z5"/>
  <c r="BK14" i="6"/>
  <c r="Y5" i="28"/>
  <c r="BK25" i="6"/>
  <c r="Y16" i="28"/>
  <c r="W16"/>
  <c r="Z16"/>
  <c r="Z18"/>
  <c r="W18"/>
  <c r="BK27" i="6"/>
  <c r="Y18" i="28"/>
  <c r="W13"/>
  <c r="Z13"/>
  <c r="BK22" i="6"/>
  <c r="Y13" i="28"/>
  <c r="Z11"/>
  <c r="W11"/>
  <c r="BK20" i="6"/>
  <c r="Y11" i="28"/>
  <c r="BK21" i="6"/>
  <c r="Y12" i="28"/>
  <c r="W12"/>
  <c r="Z12"/>
  <c r="Z21"/>
  <c r="W21"/>
  <c r="BK30" i="6"/>
  <c r="Y21" i="28"/>
  <c r="Z10"/>
  <c r="W10"/>
  <c r="BK19" i="6"/>
  <c r="Y10" i="28"/>
  <c r="Z19"/>
  <c r="W19"/>
  <c r="BK28" i="6"/>
  <c r="Y19" i="28"/>
  <c r="Z6"/>
  <c r="BK15" i="6"/>
  <c r="Y6" i="28"/>
  <c r="W6"/>
  <c r="Z9"/>
  <c r="BK18" i="6"/>
  <c r="Y9" i="28"/>
  <c r="W9"/>
  <c r="BK24" i="6"/>
  <c r="Y15" i="28"/>
  <c r="W15"/>
  <c r="Z15"/>
  <c r="W7"/>
  <c r="BK16" i="6"/>
  <c r="Y7" i="28"/>
  <c r="Z7"/>
  <c r="Z20"/>
  <c r="BK29" i="6"/>
  <c r="Y20" i="28"/>
  <c r="W20"/>
  <c r="W8"/>
  <c r="BK17" i="6"/>
  <c r="Y8" i="28"/>
  <c r="Z8"/>
  <c r="W22"/>
  <c r="Z22"/>
  <c r="BK31" i="6"/>
  <c r="Y22" i="28"/>
  <c r="W17"/>
  <c r="Z17"/>
  <c r="BK26" i="6"/>
  <c r="Y17" i="28"/>
  <c r="W14"/>
  <c r="Z14"/>
  <c r="BK23" i="6"/>
  <c r="Y14" i="28"/>
  <c r="BK13" i="6"/>
  <c r="Y4" i="28"/>
  <c r="Z4"/>
  <c r="BM13" i="6"/>
  <c r="W4" i="28"/>
  <c r="AT19"/>
  <c r="CE28" i="6"/>
  <c r="AS19" i="28"/>
  <c r="AQ19"/>
  <c r="AQ11"/>
  <c r="CE20" i="6"/>
  <c r="AS11" i="28"/>
  <c r="AT11"/>
  <c r="CE30" i="6"/>
  <c r="AS21" i="28"/>
  <c r="AQ21"/>
  <c r="AT21"/>
  <c r="CE15" i="6"/>
  <c r="AS6" i="28"/>
  <c r="AT6"/>
  <c r="AT22"/>
  <c r="CE31" i="6"/>
  <c r="AS22" i="28"/>
  <c r="AQ22"/>
  <c r="AT20"/>
  <c r="AQ20"/>
  <c r="CE29" i="6"/>
  <c r="AS20" i="28"/>
  <c r="AT16"/>
  <c r="AQ16"/>
  <c r="CE25" i="6"/>
  <c r="AS16" i="28"/>
  <c r="AT8"/>
  <c r="AQ8"/>
  <c r="CE17" i="6"/>
  <c r="AS8" i="28"/>
  <c r="AT18"/>
  <c r="AQ18"/>
  <c r="CE27" i="6"/>
  <c r="AS18" i="28"/>
  <c r="BA20"/>
  <c r="BD20"/>
  <c r="CO29" i="6"/>
  <c r="BC20" i="28"/>
  <c r="CO30" i="6"/>
  <c r="BC21" i="28"/>
  <c r="BA21"/>
  <c r="BD21"/>
  <c r="BA18"/>
  <c r="CO27" i="6"/>
  <c r="BC18" i="28"/>
  <c r="BD18"/>
  <c r="BD16"/>
  <c r="CO25" i="6"/>
  <c r="BC16" i="28"/>
  <c r="BA16"/>
  <c r="BD6"/>
  <c r="CO15" i="6"/>
  <c r="BC6" i="28"/>
  <c r="BA6"/>
  <c r="CO21" i="6"/>
  <c r="BC12" i="28"/>
  <c r="BD12"/>
  <c r="BA12"/>
  <c r="CO16" i="6"/>
  <c r="BC7" i="28"/>
  <c r="BA7"/>
  <c r="BD7"/>
  <c r="BA10"/>
  <c r="BD10"/>
  <c r="CO19" i="6"/>
  <c r="BC10" i="28"/>
  <c r="CE13" i="6"/>
  <c r="AS4" i="28"/>
  <c r="AT4"/>
  <c r="CG13" i="6"/>
  <c r="AQ4" i="28"/>
  <c r="CE23" i="6"/>
  <c r="AS14" i="28"/>
  <c r="AQ14"/>
  <c r="AT14"/>
  <c r="CE18" i="6"/>
  <c r="AS9" i="28"/>
  <c r="AT9"/>
  <c r="AQ9"/>
  <c r="AT7"/>
  <c r="CE16" i="6"/>
  <c r="AS7" i="28"/>
  <c r="AQ7"/>
  <c r="AQ10"/>
  <c r="AT10"/>
  <c r="CE19" i="6"/>
  <c r="AS10" i="28"/>
  <c r="CE14" i="6"/>
  <c r="AS5" i="28"/>
  <c r="AT5"/>
  <c r="AT12"/>
  <c r="AQ12"/>
  <c r="CE21" i="6"/>
  <c r="AS12" i="28"/>
  <c r="CE22" i="6"/>
  <c r="AS13" i="28"/>
  <c r="AT13"/>
  <c r="AQ13"/>
  <c r="AT17"/>
  <c r="CE26" i="6"/>
  <c r="AS17" i="28"/>
  <c r="AQ17"/>
  <c r="AQ15"/>
  <c r="CE24" i="6"/>
  <c r="AS15" i="28"/>
  <c r="AT15"/>
  <c r="BD11"/>
  <c r="CO20" i="6"/>
  <c r="BC11" i="28"/>
  <c r="BA11"/>
  <c r="BA14"/>
  <c r="BD14"/>
  <c r="CO23" i="6"/>
  <c r="BC14" i="28"/>
  <c r="BD8"/>
  <c r="BA8"/>
  <c r="CO17" i="6"/>
  <c r="BC8" i="28"/>
  <c r="CO26" i="6"/>
  <c r="BC17" i="28"/>
  <c r="BA17"/>
  <c r="BD17"/>
  <c r="CO18" i="6"/>
  <c r="BC9" i="28"/>
  <c r="BA9"/>
  <c r="BD9"/>
  <c r="BA19"/>
  <c r="CO28" i="6"/>
  <c r="BC19" i="28"/>
  <c r="BD19"/>
  <c r="BD15"/>
  <c r="BA15"/>
  <c r="CO24" i="6"/>
  <c r="BC15" i="28"/>
  <c r="BD22"/>
  <c r="BA22"/>
  <c r="CO31" i="6"/>
  <c r="BC22" i="28"/>
  <c r="BD13"/>
  <c r="BA13"/>
  <c r="CO22" i="6"/>
  <c r="BC13" i="28"/>
  <c r="AG12"/>
  <c r="BU31" i="6"/>
  <c r="AI22" i="28"/>
  <c r="AG17"/>
  <c r="AG11"/>
  <c r="BD5"/>
  <c r="CO14" i="6"/>
  <c r="BC5" i="28"/>
  <c r="BD4"/>
  <c r="CQ13" i="6"/>
  <c r="BA4" i="28"/>
  <c r="CO13" i="6"/>
  <c r="BC4" i="28"/>
  <c r="C40" i="13"/>
  <c r="E18" i="17"/>
  <c r="H18"/>
  <c r="S18"/>
  <c r="G18"/>
  <c r="I18"/>
  <c r="T18"/>
  <c r="AJ19" i="28"/>
  <c r="AJ15"/>
  <c r="AJ6"/>
  <c r="AJ12"/>
  <c r="AJ22"/>
  <c r="BU26" i="6"/>
  <c r="AI17" i="28"/>
  <c r="BU20" i="6"/>
  <c r="AI11" i="28"/>
  <c r="BU28" i="6"/>
  <c r="AI19" i="28"/>
  <c r="BU24" i="6"/>
  <c r="AI15" i="28"/>
  <c r="AJ20"/>
  <c r="AJ8"/>
  <c r="AG16"/>
  <c r="BU30" i="6"/>
  <c r="AI21" i="28"/>
  <c r="BU29" i="6"/>
  <c r="AI20" i="28"/>
  <c r="BU23" i="6"/>
  <c r="AI14" i="28"/>
  <c r="AJ9"/>
  <c r="AG8"/>
  <c r="BU25" i="6"/>
  <c r="AI16" i="28"/>
  <c r="AG21"/>
  <c r="AJ13"/>
  <c r="AJ14"/>
  <c r="AG9"/>
  <c r="AJ10"/>
  <c r="AG18"/>
  <c r="BU15" i="6"/>
  <c r="AI6" i="28"/>
  <c r="AG7"/>
  <c r="AJ5"/>
  <c r="AJ7"/>
  <c r="BU13" i="6"/>
  <c r="AI4" i="28"/>
  <c r="AJ4"/>
  <c r="BW13" i="6"/>
  <c r="AG4" i="28"/>
  <c r="AJ18"/>
  <c r="F6" i="17"/>
  <c r="G6"/>
  <c r="E5" i="18"/>
  <c r="AJ11" i="28"/>
  <c r="BU22" i="6"/>
  <c r="AI13" i="28"/>
  <c r="AJ17"/>
  <c r="AJ21"/>
  <c r="AJ16"/>
  <c r="BU21" i="6"/>
  <c r="AI12" i="28"/>
  <c r="BU18" i="6"/>
  <c r="AI9" i="28"/>
  <c r="BU17" i="6"/>
  <c r="AI8" i="28"/>
  <c r="F5" i="18"/>
  <c r="H5"/>
  <c r="E19" i="17"/>
  <c r="H19"/>
  <c r="I19"/>
  <c r="G19"/>
  <c r="BU14" i="6"/>
  <c r="AI5" i="28"/>
  <c r="BU19" i="6"/>
  <c r="AI10" i="28"/>
  <c r="BU16" i="6"/>
  <c r="AI7" i="28"/>
  <c r="BU27" i="6"/>
  <c r="AI18" i="28"/>
  <c r="F7" i="17"/>
  <c r="G7"/>
  <c r="E6" i="18"/>
  <c r="F6"/>
  <c r="H6"/>
  <c r="F8" i="17"/>
  <c r="G8"/>
  <c r="E7" i="18"/>
  <c r="F7"/>
  <c r="H7"/>
  <c r="F10" i="17"/>
  <c r="G10"/>
  <c r="E9" i="18"/>
  <c r="F9"/>
  <c r="H9"/>
  <c r="C41" i="13"/>
  <c r="F9" i="17"/>
  <c r="G9"/>
  <c r="E8" i="18"/>
  <c r="F8"/>
  <c r="H8"/>
  <c r="F11" i="17"/>
  <c r="G11"/>
  <c r="E10" i="18"/>
  <c r="F10"/>
  <c r="H10"/>
  <c r="E52" i="17"/>
  <c r="F14" i="18"/>
  <c r="E70" i="17"/>
  <c r="F32" i="18"/>
  <c r="E66" i="17"/>
  <c r="F28" i="18"/>
  <c r="E60" i="17"/>
  <c r="F22" i="18"/>
  <c r="E57" i="17"/>
  <c r="F19" i="18"/>
  <c r="E24" i="17"/>
  <c r="G24"/>
  <c r="E27"/>
  <c r="G27"/>
  <c r="E33"/>
  <c r="G33"/>
  <c r="E37"/>
  <c r="G37"/>
  <c r="E42"/>
  <c r="G42"/>
  <c r="E43"/>
  <c r="G43"/>
  <c r="L20" a="1"/>
  <c r="L20"/>
  <c r="R20"/>
  <c r="H24"/>
  <c r="H27"/>
  <c r="H33"/>
  <c r="H37"/>
  <c r="H42"/>
  <c r="H43"/>
  <c r="M20" a="1"/>
  <c r="M20"/>
  <c r="S20"/>
  <c r="I24"/>
  <c r="I27"/>
  <c r="I33"/>
  <c r="I37"/>
  <c r="I42"/>
  <c r="I43"/>
  <c r="N20" a="1"/>
  <c r="N20"/>
  <c r="T20"/>
  <c r="P20"/>
  <c r="L21" a="1"/>
  <c r="L21"/>
  <c r="R21"/>
  <c r="M21" a="1"/>
  <c r="M21"/>
  <c r="S21"/>
  <c r="N21" a="1"/>
  <c r="N21"/>
  <c r="T21"/>
  <c r="P21"/>
  <c r="L22" a="1"/>
  <c r="L22"/>
  <c r="R22"/>
  <c r="M22" a="1"/>
  <c r="M22"/>
  <c r="S22"/>
  <c r="N22" a="1"/>
  <c r="N22"/>
  <c r="T22"/>
  <c r="P22"/>
  <c r="L23" a="1"/>
  <c r="L23"/>
  <c r="R23"/>
  <c r="M23" a="1"/>
  <c r="M23"/>
  <c r="S23"/>
  <c r="N23" a="1"/>
  <c r="N23"/>
  <c r="T23"/>
  <c r="P23"/>
  <c r="L25" a="1"/>
  <c r="L25"/>
  <c r="R25"/>
  <c r="M25" a="1"/>
  <c r="M25"/>
  <c r="S25"/>
  <c r="N25" a="1"/>
  <c r="N25"/>
  <c r="T25"/>
  <c r="P25"/>
  <c r="L26" a="1"/>
  <c r="L26"/>
  <c r="R26"/>
  <c r="M26" a="1"/>
  <c r="M26"/>
  <c r="S26"/>
  <c r="N26" a="1"/>
  <c r="N26"/>
  <c r="T26"/>
  <c r="P26"/>
  <c r="L28" a="1"/>
  <c r="L28"/>
  <c r="R28"/>
  <c r="M28" a="1"/>
  <c r="M28"/>
  <c r="S28"/>
  <c r="N28" a="1"/>
  <c r="N28"/>
  <c r="T28"/>
  <c r="P28"/>
  <c r="L29" a="1"/>
  <c r="L29"/>
  <c r="R29"/>
  <c r="M29" a="1"/>
  <c r="M29"/>
  <c r="S29"/>
  <c r="N29" a="1"/>
  <c r="N29"/>
  <c r="T29"/>
  <c r="P29"/>
  <c r="L30" a="1"/>
  <c r="L30"/>
  <c r="R30"/>
  <c r="M30" a="1"/>
  <c r="M30"/>
  <c r="S30"/>
  <c r="N30" a="1"/>
  <c r="N30"/>
  <c r="T30"/>
  <c r="P30"/>
  <c r="L31" a="1"/>
  <c r="L31"/>
  <c r="R31"/>
  <c r="M31" a="1"/>
  <c r="M31"/>
  <c r="S31"/>
  <c r="N31" a="1"/>
  <c r="N31"/>
  <c r="T31"/>
  <c r="P31"/>
  <c r="L32" a="1"/>
  <c r="L32"/>
  <c r="R32"/>
  <c r="M32" a="1"/>
  <c r="M32"/>
  <c r="S32"/>
  <c r="N32" a="1"/>
  <c r="N32"/>
  <c r="T32"/>
  <c r="P32"/>
  <c r="L34" a="1"/>
  <c r="L34"/>
  <c r="R34"/>
  <c r="M34" a="1"/>
  <c r="M34"/>
  <c r="S34"/>
  <c r="N34" a="1"/>
  <c r="N34"/>
  <c r="T34"/>
  <c r="P34"/>
  <c r="L35" a="1"/>
  <c r="L35"/>
  <c r="R35"/>
  <c r="M35" a="1"/>
  <c r="M35"/>
  <c r="S35"/>
  <c r="N35" a="1"/>
  <c r="N35"/>
  <c r="T35"/>
  <c r="P35"/>
  <c r="L36" a="1"/>
  <c r="L36"/>
  <c r="R36"/>
  <c r="M36" a="1"/>
  <c r="M36"/>
  <c r="S36"/>
  <c r="N36" a="1"/>
  <c r="N36"/>
  <c r="T36"/>
  <c r="P36"/>
  <c r="L38" a="1"/>
  <c r="L38"/>
  <c r="R38"/>
  <c r="M38" a="1"/>
  <c r="M38"/>
  <c r="S38"/>
  <c r="N38" a="1"/>
  <c r="N38"/>
  <c r="T38"/>
  <c r="P38"/>
  <c r="L39" a="1"/>
  <c r="L39"/>
  <c r="R39"/>
  <c r="M39" a="1"/>
  <c r="M39"/>
  <c r="S39"/>
  <c r="N39" a="1"/>
  <c r="N39"/>
  <c r="T39"/>
  <c r="P39"/>
  <c r="L40" a="1"/>
  <c r="L40"/>
  <c r="R40"/>
  <c r="M40" a="1"/>
  <c r="M40"/>
  <c r="S40"/>
  <c r="N40" a="1"/>
  <c r="N40"/>
  <c r="T40"/>
  <c r="P40"/>
  <c r="L41" a="1"/>
  <c r="L41"/>
  <c r="R41"/>
  <c r="M41" a="1"/>
  <c r="M41"/>
  <c r="S41"/>
  <c r="N41" a="1"/>
  <c r="N41"/>
  <c r="T41"/>
  <c r="P41"/>
  <c r="W19"/>
  <c r="W20"/>
  <c r="W21"/>
  <c r="W22"/>
  <c r="W23"/>
  <c r="W24"/>
  <c r="X20"/>
  <c r="Y20"/>
  <c r="L24" a="1"/>
  <c r="L24"/>
  <c r="R24"/>
  <c r="Z20"/>
  <c r="M24" a="1"/>
  <c r="M24"/>
  <c r="S24"/>
  <c r="AA20"/>
  <c r="N24" a="1"/>
  <c r="N24"/>
  <c r="T24"/>
  <c r="AB20"/>
  <c r="W25"/>
  <c r="W26"/>
  <c r="W27"/>
  <c r="W28"/>
  <c r="W29"/>
  <c r="W30"/>
  <c r="W31"/>
  <c r="W32"/>
  <c r="W33"/>
  <c r="W34"/>
  <c r="W35"/>
  <c r="W36"/>
  <c r="W37"/>
  <c r="W38"/>
  <c r="W39"/>
  <c r="W40"/>
  <c r="X40"/>
  <c r="Z40"/>
  <c r="Y40"/>
  <c r="AB40"/>
  <c r="AA40"/>
  <c r="X27"/>
  <c r="L27" a="1"/>
  <c r="L27"/>
  <c r="R27"/>
  <c r="Z27"/>
  <c r="M27" a="1"/>
  <c r="M27"/>
  <c r="S27"/>
  <c r="AA27"/>
  <c r="Y27"/>
  <c r="N27" a="1"/>
  <c r="N27"/>
  <c r="T27"/>
  <c r="AB27"/>
  <c r="X31"/>
  <c r="AA31"/>
  <c r="Z31"/>
  <c r="AB31"/>
  <c r="Y31"/>
  <c r="X32"/>
  <c r="Z32"/>
  <c r="AA32"/>
  <c r="Y32"/>
  <c r="AB32"/>
  <c r="X21"/>
  <c r="Z21"/>
  <c r="Y21"/>
  <c r="AA21"/>
  <c r="AB21"/>
  <c r="X19"/>
  <c r="AA19"/>
  <c r="Y19"/>
  <c r="Z19"/>
  <c r="AB19"/>
  <c r="X30"/>
  <c r="AA30"/>
  <c r="Z30"/>
  <c r="Y30"/>
  <c r="AB30"/>
  <c r="X37"/>
  <c r="Y37"/>
  <c r="L37" a="1"/>
  <c r="L37"/>
  <c r="R37"/>
  <c r="Z37"/>
  <c r="N37" a="1"/>
  <c r="N37"/>
  <c r="T37"/>
  <c r="AB37"/>
  <c r="M37" a="1"/>
  <c r="M37"/>
  <c r="S37"/>
  <c r="AA37"/>
  <c r="X39"/>
  <c r="AB39"/>
  <c r="AA39"/>
  <c r="Z39"/>
  <c r="Y39"/>
  <c r="X36"/>
  <c r="AA36"/>
  <c r="Z36"/>
  <c r="AB36"/>
  <c r="Y36"/>
  <c r="W41"/>
  <c r="W42"/>
  <c r="W43"/>
  <c r="W44"/>
  <c r="X26"/>
  <c r="AA26"/>
  <c r="Z26"/>
  <c r="AB26"/>
  <c r="Y26"/>
  <c r="X22"/>
  <c r="L33" a="1"/>
  <c r="L33"/>
  <c r="R33"/>
  <c r="Z22"/>
  <c r="N33" a="1"/>
  <c r="N33"/>
  <c r="T33"/>
  <c r="AB22"/>
  <c r="M33" a="1"/>
  <c r="M33"/>
  <c r="S33"/>
  <c r="AA22"/>
  <c r="Y22"/>
  <c r="X44"/>
  <c r="Z44"/>
  <c r="Y44"/>
  <c r="AB44"/>
  <c r="AA44"/>
  <c r="X43"/>
  <c r="L43" a="1"/>
  <c r="L43"/>
  <c r="R43"/>
  <c r="Z43"/>
  <c r="Y43"/>
  <c r="M43" a="1"/>
  <c r="M43"/>
  <c r="S43"/>
  <c r="AA43"/>
  <c r="N43" a="1"/>
  <c r="N43"/>
  <c r="T43"/>
  <c r="AB43"/>
  <c r="X38"/>
  <c r="AB38"/>
  <c r="Z38"/>
  <c r="AA38"/>
  <c r="Y38"/>
  <c r="X42"/>
  <c r="L42" a="1"/>
  <c r="L42"/>
  <c r="R42"/>
  <c r="Z42"/>
  <c r="M42" a="1"/>
  <c r="M42"/>
  <c r="S42"/>
  <c r="AA42"/>
  <c r="N42" a="1"/>
  <c r="N42"/>
  <c r="T42"/>
  <c r="AB42"/>
  <c r="Y42"/>
  <c r="X29"/>
  <c r="Z29"/>
  <c r="AA29"/>
  <c r="Y29"/>
  <c r="AB29"/>
  <c r="X41"/>
  <c r="AA41"/>
  <c r="Y41"/>
  <c r="AB41"/>
  <c r="Z41"/>
  <c r="X33"/>
  <c r="Z33"/>
  <c r="Y33"/>
  <c r="AB33"/>
  <c r="AA33"/>
  <c r="X35"/>
  <c r="Z35"/>
  <c r="Y35"/>
  <c r="AB35"/>
  <c r="AA35"/>
  <c r="X34"/>
  <c r="Y34"/>
  <c r="Z34"/>
  <c r="AB34"/>
  <c r="AA34"/>
  <c r="X23"/>
  <c r="AB23"/>
  <c r="Y23"/>
  <c r="AA23"/>
  <c r="Z23"/>
  <c r="X24"/>
  <c r="Y24"/>
  <c r="Z24"/>
  <c r="AA24"/>
  <c r="AB24"/>
  <c r="X28"/>
  <c r="AA28"/>
  <c r="Z28"/>
  <c r="Y28"/>
  <c r="AB28"/>
  <c r="X25"/>
  <c r="Z25"/>
  <c r="AA25"/>
  <c r="Y25"/>
  <c r="AB25"/>
  <c r="J32" i="33"/>
  <c r="H32"/>
  <c r="D32"/>
  <c r="B32"/>
  <c r="J31"/>
  <c r="H31"/>
  <c r="D31"/>
  <c r="B31"/>
  <c r="J30"/>
  <c r="H30"/>
  <c r="D30"/>
  <c r="B30"/>
  <c r="J29"/>
  <c r="H29"/>
  <c r="D29"/>
  <c r="B29"/>
  <c r="J28"/>
  <c r="H28"/>
  <c r="D28"/>
  <c r="B28"/>
  <c r="J27"/>
  <c r="H27"/>
  <c r="D27"/>
  <c r="B27"/>
  <c r="J26"/>
  <c r="H26"/>
  <c r="D26"/>
  <c r="B26"/>
  <c r="J25"/>
  <c r="H25"/>
  <c r="D25"/>
  <c r="B25"/>
  <c r="J24"/>
  <c r="H24"/>
  <c r="D24"/>
  <c r="B24"/>
  <c r="J23"/>
  <c r="H23"/>
  <c r="D23"/>
  <c r="B23"/>
  <c r="J22"/>
  <c r="H22"/>
  <c r="D22"/>
  <c r="B22"/>
  <c r="J21"/>
  <c r="H21"/>
  <c r="D21"/>
  <c r="B21"/>
  <c r="J20"/>
  <c r="H20"/>
  <c r="D20"/>
  <c r="B20"/>
  <c r="J19"/>
  <c r="H19"/>
  <c r="D19"/>
  <c r="B19"/>
  <c r="J18"/>
  <c r="H18"/>
  <c r="D18"/>
  <c r="B18"/>
  <c r="J17"/>
  <c r="H17"/>
  <c r="D17"/>
  <c r="B17"/>
  <c r="J16"/>
  <c r="H16"/>
  <c r="D16"/>
  <c r="B16"/>
  <c r="J15"/>
  <c r="H15"/>
  <c r="D15"/>
  <c r="B15"/>
  <c r="J14"/>
  <c r="H14"/>
  <c r="D14"/>
  <c r="B14"/>
  <c r="J13"/>
  <c r="H13"/>
  <c r="D13"/>
  <c r="B13"/>
  <c r="J12"/>
  <c r="H12"/>
  <c r="D12"/>
  <c r="B12"/>
  <c r="J11"/>
  <c r="H11"/>
  <c r="D11"/>
  <c r="B11"/>
  <c r="J10"/>
  <c r="H10"/>
  <c r="D10"/>
  <c r="B10"/>
  <c r="J9"/>
  <c r="H9"/>
  <c r="D9"/>
  <c r="B9"/>
  <c r="J8"/>
  <c r="H8"/>
  <c r="D8"/>
  <c r="B8"/>
  <c r="J7"/>
  <c r="H7"/>
  <c r="D7"/>
  <c r="B7"/>
  <c r="C29" i="13"/>
  <c r="C28"/>
  <c r="C16"/>
  <c r="C17"/>
  <c r="F16"/>
  <c r="M16"/>
  <c r="S16"/>
  <c r="I16"/>
  <c r="I28"/>
  <c r="S28"/>
  <c r="M28"/>
  <c r="F28"/>
  <c r="J16"/>
  <c r="J32"/>
  <c r="H16"/>
  <c r="H28"/>
  <c r="U16"/>
  <c r="T17"/>
  <c r="M17"/>
  <c r="M29"/>
  <c r="L17"/>
  <c r="P17"/>
  <c r="O17"/>
  <c r="N17"/>
  <c r="T16"/>
  <c r="H17"/>
  <c r="L16"/>
  <c r="P16"/>
  <c r="O16"/>
  <c r="S17"/>
  <c r="S29"/>
  <c r="J17"/>
  <c r="N16"/>
  <c r="D28"/>
  <c r="D16"/>
  <c r="R29"/>
  <c r="R17"/>
  <c r="R16"/>
  <c r="R28"/>
  <c r="Q28"/>
  <c r="G32"/>
  <c r="U28"/>
  <c r="K33"/>
  <c r="G17"/>
  <c r="D17"/>
  <c r="K32"/>
  <c r="I29"/>
  <c r="U29"/>
  <c r="T28"/>
  <c r="Q17"/>
  <c r="F29"/>
  <c r="D29"/>
  <c r="Q29"/>
  <c r="N33"/>
  <c r="N32"/>
  <c r="J33"/>
  <c r="O32"/>
  <c r="O33"/>
  <c r="P33"/>
  <c r="P32"/>
  <c r="L33"/>
  <c r="L32"/>
  <c r="H29"/>
  <c r="T29"/>
  <c r="Q16"/>
  <c r="I17"/>
  <c r="K16"/>
  <c r="K17"/>
  <c r="G16"/>
  <c r="G33"/>
  <c r="U17"/>
  <c r="F17"/>
  <c r="E75" i="17"/>
  <c r="C20" i="13"/>
  <c r="C29" i="14"/>
  <c r="C19" i="13"/>
  <c r="C18"/>
  <c r="D23"/>
  <c r="D24"/>
  <c r="E23"/>
  <c r="E24"/>
  <c r="F23"/>
  <c r="F24"/>
  <c r="G23"/>
  <c r="G24"/>
  <c r="H23"/>
  <c r="H24"/>
  <c r="I23"/>
  <c r="I24"/>
  <c r="J23"/>
  <c r="J24"/>
  <c r="K23"/>
  <c r="K24"/>
  <c r="L23"/>
  <c r="L24"/>
  <c r="M23"/>
  <c r="M24"/>
  <c r="N23"/>
  <c r="N24"/>
  <c r="O23"/>
  <c r="O24"/>
  <c r="P23"/>
  <c r="P24"/>
  <c r="Q23"/>
  <c r="Q24"/>
  <c r="R23"/>
  <c r="R24"/>
  <c r="S23"/>
  <c r="S24"/>
  <c r="T23"/>
  <c r="T24"/>
  <c r="U23"/>
  <c r="U24"/>
  <c r="C23"/>
  <c r="C24"/>
  <c r="D44"/>
  <c r="D45"/>
  <c r="C44"/>
  <c r="C45"/>
  <c r="D46"/>
  <c r="D48"/>
  <c r="D47"/>
  <c r="C46"/>
  <c r="C47"/>
  <c r="C48"/>
  <c r="L35"/>
  <c r="L37"/>
  <c r="L36"/>
  <c r="U35"/>
  <c r="U37"/>
  <c r="U36"/>
  <c r="G35"/>
  <c r="G37"/>
  <c r="G36"/>
  <c r="N35"/>
  <c r="N37"/>
  <c r="N36"/>
  <c r="D35"/>
  <c r="D36"/>
  <c r="D37"/>
  <c r="K35"/>
  <c r="K37"/>
  <c r="K36"/>
  <c r="M35"/>
  <c r="M36"/>
  <c r="M37"/>
  <c r="T35"/>
  <c r="T37"/>
  <c r="T36"/>
  <c r="P35"/>
  <c r="P37"/>
  <c r="P36"/>
  <c r="C35"/>
  <c r="C37"/>
  <c r="C36"/>
  <c r="O35"/>
  <c r="O36"/>
  <c r="O37"/>
  <c r="J35"/>
  <c r="J36"/>
  <c r="J37"/>
  <c r="S35"/>
  <c r="S37"/>
  <c r="S36"/>
  <c r="F35"/>
  <c r="F36"/>
  <c r="F37"/>
  <c r="E35"/>
  <c r="E37"/>
  <c r="E36"/>
  <c r="Q35"/>
  <c r="Q36"/>
  <c r="Q37"/>
  <c r="H35"/>
  <c r="H37"/>
  <c r="H36"/>
  <c r="I35"/>
  <c r="I36"/>
  <c r="I37"/>
  <c r="R35"/>
  <c r="R37"/>
  <c r="R36"/>
</calcChain>
</file>

<file path=xl/sharedStrings.xml><?xml version="1.0" encoding="utf-8"?>
<sst xmlns="http://schemas.openxmlformats.org/spreadsheetml/2006/main" count="1286" uniqueCount="825">
  <si>
    <t>The Minister of Transport and infrastructure is responsible for planning in the infrastructure sector. Nicaragua has a special PPP law for concessions for the road sector. Law No. 264 of 1997 established a framework for concessions where the revenues for tolls can be complemented by subsidies. Also under the law of the ENAP (Empresa Nacional de Puertos) the national port company can license specific infrastructure, according to 1997 regulations. In 1998 the Drinking Water and Sewage Law (Law 297) split the national water company into a regulatory agency (Instituto Nicaragüense de Acuaeductos y Alcantarillas—INAA) and an operating company (Enacal), a move that authorised the government to seek private investment in the sector and was considered a prelude to the eventual privatisation of Enacal. A public contracting law supplements this by establishing the requirement for public bidding for these types of projects. The regulations contained within the law consider the obligation to maintain concessions’ financial equilibrium. This obliges the concessionary to request adjustments when it feels that the financial equilibrium has been altered. In the case of projects which require subsidies for operations or investment, such subsidies must be approved by Congress. Projects which are self-sufficient do not require prior approval. The inability to commit future revenue flows from the project in favour of a third party (creditors) make project financing for private concessions almost impossible. The maximum term for concession contracts is 30 years. The Ministry of Transport and Infrastructure plays the contracting, supervising and economic oversight roles.</t>
  </si>
  <si>
    <t xml:space="preserve">The Concession Works and Public Services Law No 1618, passed in 2000, established the legal framework that allows the central government and government departments and municipalities to offer concessions and concessioned services. Concessions must be authorised by law, by departmental ordinance or by-laws. Once the work is authorised, it can be put out for concession by executive decree. The respective ministry is responsible for undertaking preliminary studies, qualifying proposals, and selecting and executing the contracting process through an obligatory public bidding process. The length of the concession cannot exceed 30 years. In practice, Paraguay has very little experience with concession projects. However, the Ministry of Public Works and Communication (MOPC- Ministerio de Obras Publicas) recently presented a tentative plan for future road-network concessions within the so called Plan Plan Triángulo. In the drinking water sector, Law No 1614 sets the legal framework and tariff structure for public service and provision of drinking water and water sanitation. This law specifies that public agencies will always be the competent authorities in this area and that delegation of service provision should favour municipal governments. The regulatory entity for sanitary services ERSSAN (Ente Regulador de Servicios Sanitarios) has final control over service provision, supervises the quality and efficiency levels of the service, protects the interests of the community and users, and audits and verifies application of the legal provisions in force. ESSAP (Empresa de Servicios Sanitarios del Paraguay) a public firm, provides drinking water and sewage in municipalities with more than 10,000 inhabitants (this accounts for 72% of the urban population). In 2002 unions and community organisations helped enact Law No 1932, which prevents the privatisation of public service firms, after the former water firm, Corposana, attempted privatisation. </t>
  </si>
  <si>
    <t>The Ministry of Public Works has a wide range of responsibilities and powers. It is responsible for planning, preparing studies, contracting, constructing and monitoring projects. Although other sectoral institutions exist, none are important enough to serve as a counterweight to the ministry. For example, there is an entity in charge of supervising concession contracts, the Dirección Nacional de Administración de Contratos. A multisectoral regulator, ERSP (Entre Regulador de los Servicios de Panama), regulates the services and activities of the largest and biggest water supplier, Instituto de Acueductos y Alcantarillados Nacionales—IDAAN (a state company). ANAM (Autoridad Nacional del Ambiente) regulates use of water in river basins.</t>
  </si>
  <si>
    <t xml:space="preserve">There are no restraints on foreign investment in concession projects. Nevertheless, laws establish a preference for companies with local capital. Projects are awarded by a public tender process. There is no obligation to publish contracts and their amendments. A limit has been established on any additional work that may be financed mutually with the contractor and whose overall scope reaches as much as 25% of the initial investment. If there is no agreement on compensation for additional works, the National Concessions Council (the regulatory body for public services) takes a final decision. Nevertheless, when the discrepancies are solved through negotiations between the council and the concessionaire, the regulatory body is not responsible for overseeing or reviewing the agreement, which may contain tariff adjustments for users. There is no obligation to tender out additional works. These may be negotiated with approval of the council. </t>
  </si>
  <si>
    <t>By constitutional requirement, disputes between the federal government and private sector actors must be resolved by the Contencioso-Administrativo tribunals, which enjoy a relative degree of independence. Only technical issues, such as disputes over construction techniques, quality of engineering, cost factors, and the quality of demand measures, can be brought to arbitration. Nevertheless, there is ambiguity over whether certain disputes belong to the courts or to arbitration, especially for decisions that involve political and judicial risk to government officials. Conciliation schemes to guarantee equity and transparency are not in place, and in practice disputes are often resolved by direct negotiations between parties, which avoids the use of tribunals. In the case of water services, the resolution system depends on the terms of each contract. If a municipality enters a concession directly, disputes are resolved by tribunals. However most PPP water projects are contracted by municipal companies, which have the power to establish ad hoc arbitration schemes. Mexico is a signatory of the International Centre for Settlement of Investment Disputes (ICSID).</t>
  </si>
  <si>
    <r>
      <t xml:space="preserve">The Ministries of Public Works and Transport and of Housing are responsible for planning formulating policies and directives in their respective areas, as well as selecting specific services for concession projects.  These ministries are also the principals in any concession contracts. Official highway boards, the Executive Port Commission </t>
    </r>
    <r>
      <rPr>
        <u/>
        <sz val="10"/>
        <rFont val="Arial"/>
        <family val="2"/>
      </rPr>
      <t xml:space="preserve">(CEPA- Comisión Ejecutiva Portuaria Autónoma de El Salvador) </t>
    </r>
    <r>
      <rPr>
        <sz val="10"/>
        <rFont val="Arial"/>
        <family val="2"/>
      </rPr>
      <t xml:space="preserve">and the National Aqueducts Agency </t>
    </r>
    <r>
      <rPr>
        <u/>
        <sz val="10"/>
        <rFont val="Arial"/>
        <family val="2"/>
      </rPr>
      <t xml:space="preserve">(ANDA- Administración Nacional de Acueductos y Alcantarillados) </t>
    </r>
    <r>
      <rPr>
        <sz val="10"/>
        <rFont val="Arial"/>
        <family val="2"/>
      </rPr>
      <t>are responsible for the development of services in their sectors.  A law must be passed to authorise a particular concession project before these bodies are allowed to tender services out for private contracting. For each sector, the</t>
    </r>
    <r>
      <rPr>
        <u/>
        <sz val="10"/>
        <rFont val="Arial"/>
        <family val="2"/>
      </rPr>
      <t xml:space="preserve"> </t>
    </r>
    <r>
      <rPr>
        <sz val="10"/>
        <rFont val="Arial"/>
        <family val="2"/>
      </rPr>
      <t xml:space="preserve">execution and regulation of projects falls under the responsibility of one entity; however combining these responsibilities reduces accountability. All public investment must be registered in the national investments system, which centralises basic project information projects and, in theory, is supposed to </t>
    </r>
    <r>
      <rPr>
        <u/>
        <sz val="10"/>
        <rFont val="Arial"/>
        <family val="2"/>
      </rPr>
      <t>aid</t>
    </r>
    <r>
      <rPr>
        <sz val="10"/>
        <rFont val="Arial"/>
        <family val="2"/>
      </rPr>
      <t xml:space="preserve"> the evaluation and supervision of projects. Finally, the Treasury has significant power to supervise ministerial decisions so long as they involve fiscal government commitments. </t>
    </r>
  </si>
  <si>
    <r>
      <t>Brazil’s legal mechanisms for leasing state assets and establishing PPP projects are in effect at different layers of government; activities are regulated by various laws and regulations such as the 1995 Lease Law, the 2004 Private Public Association Law (which extended contract lengths to 35 years), and individual laws in nine states. Contracts with mixed financing by users and the state are allowed, although any such projects where the state contributes more than 30% of resources must be approved by the Congress. The legal framework also roots itself in the 1988 Constitution, the Public Contracting Law of 1986, and a Public Tendering Law of 1993, which establish an “honest service balance” principle. This principle forces the state to compensate concessionaires in anticipation of changes in a project’s external conditions. It applies to the transport and water sectors, among others. General standards on contract modifications further make transferring commercial risks to the state possible, despite the fact that the law requires that risk allocation between the public and private sectors follow economic criteria. Fiscal responsibilities are also defined through a set of regulations preventing government administrators from using PPPs to transfer contingencies or improve the outlook of their fiscal obligations. Projects must be overseen at different stages of implementation, although supervisory responsibilities are not always assigned to the same entity in all cases.  For example, in some states contract supervision is the responsibility of state-level regulators; in others, it is the responsibility of the entity which legally authorised the private sector provision of the service. For federal-level transport projects, operations are supervised by the National Transport Regulating Entity (ANTT- Agência Nacional de Transportes Terrestres)</t>
    </r>
    <r>
      <rPr>
        <sz val="9"/>
        <color indexed="8"/>
        <rFont val="Arial"/>
        <family val="2"/>
      </rPr>
      <t xml:space="preserve"> </t>
    </r>
    <r>
      <rPr>
        <sz val="10"/>
        <rFont val="Arial"/>
        <family val="2"/>
      </rPr>
      <t xml:space="preserve">and the Ministry of Transport is responsible for project planning and design. For water and sanitary services, the municipalities supervise projects.  </t>
    </r>
  </si>
  <si>
    <t>The main factor limiting the development of PPP projects is the reduced technical capacity at federal, state, and municipal levels. Supervision capacity at the National Transport Regulating Entity (ANTT- Agência Nacional de Transportes Terrestres) is modest.</t>
  </si>
  <si>
    <t xml:space="preserve">Each Ministry, service or decentralised body with the legal authority to provide services by concession is responsible for monitoring its own contracts and projects. Service inspectors responsible for monitoring quality commitments are usually employed by or related to the same public agencies which prepare, award and legally authorise the concession project. Ideally, the supervision role would be independent from the agency responsible for project planning, service level setting and infrastructure design. The Modernisation Council (Consejo Nacional de Modernización del Estado) is responsible for generally supervising the monitoring carried out by these individual state-level and local-level agencies. Within the present political context, CONAM does not play an active role and concession monitoring is not a high priority. </t>
  </si>
  <si>
    <t>Mexico has a national investment system which is overseen by the Ministry of Finance. The law requires cost-benefit analyses to be conducted when considering public investment projects and concessions. At the federal level, investments in infrastructure are planned for each five-year presidential term.  This process still has a political component that involves negotiation with state and local stakeholders, which reduces the profitability of investments. In the case of road concessions, free alternatives to expensive toll road systems lead to low profitability. There is no evaluation procedure that compares PPP projects and public investment with regard to cost and value. The public accounting system is biased against public investment since debt from deferred payments for PPS is not accounted for in the same way as public investment debt. This is often the fundamental consideration when determining investment modalities. In the water sector, decisions are typically influenced by politics, tariffs do not cover the cost of conserving water systems, and private participation is very complicated.</t>
  </si>
  <si>
    <t xml:space="preserve">Experience with the first generation of concessions has shown that the state has not been able to transfer commercial risk to the private sector as it should. The concept of maintaining financial equilibrium for projects explains this dilemma. In the newer wave of roadway concessions, the present value criteria has not been used; rather, the state has established as award criteria the highest payment to the government promised by the private sector operator or the lowest government subsidy proposed by the concessionaire and do not guarantee income for a minimum traffic level. </t>
  </si>
  <si>
    <t xml:space="preserve">The Ministry of Public Works’ Law No 5 of 1988 regulates the creation of concession projects; this includes roads and airports. In the case when there are state-owned companies owning the infrastructure, private contract laws are used for these contracts as the lessor firms are the state-owned firms themselves. Neither the water nor transport sector benefits from oversight or supervision provided in the legal and regulatory framework. Ports have a different legal framework and have been covered through contract-laws approved by Congress, with an ad-hoc judicial arrangement for each port. The concept of financial equilibrium in contracts has often been used by road concessionaires to solicit substantial modifications to project contracts, resulting in the paralysis of important works (for example the Panama-Colón highway project). Law No 5 established compensation by offering public land rights to concessionaires. Conflicts over interpretation obliged the government to modify the law to allow compensation to concessionaries with public land. In September 2002 the Moscoso administration announced the creation of an autonomous state corporation to administer the Tocumen International Airport. The new entity, Aeropuerto de Tocumen, began operating in June 2003 with a seven-member board of directors, including representatives from the government and private sector. The state has established regional firms in the water sanitation sector, as well as a plan to create a regulatory body that would permit the sale of 51% of equity shares to incorporate private capital. Indeed, Law No 2 of 1997 established the legal and regulatory framework to incorporate private sector capital, but political difficulties have prevented implementation, and private capital has not been incorporated in these firms in a significant way. The public water company (Instituto de Acueductos y Alcantarillados Nacionales—IDAAN) was included in the privatisation process as a result of Law No 2 of 1997, but this sale was suspended following violent demonstrations in Panama City. The Moscoso government reached an agreement with the International Monetary Fund in 2000 to restructure the company, allowing private companies to take charge of billing, metering and other services. The National Assembly subsequently passed a law that reorganised IDAAN, creating a board of administrators and granting the company more financial autonomy. This restructuring left a regulatory vacuum in the water sector. </t>
  </si>
  <si>
    <r>
      <t>Peru is in the process of improving its regulatory and legal framework for PPPs. A public-works concession law has been in place since 1996, and allows the private sector to contract out highways, water sanitation works and airports. Without replacing the main concessions law, another series of laws were passed in 2008 to provide more flexibility regarding financing and risk-allocation options. President García signed the Regional and Local Public Investment with Private Participation Law (Law 29230, May 20th 2008), making it easier for the government to attract public investment by relaxing some of the conditions for approving disbursement of funds through the National Public Investment System (Sistema Nacional de Inversión Pública—SNIP). The change facilitates faster approval of water/sanitation, road-building and other public works projects that expand existing services. In addition to Law 29230, the administration passed legislation defining private investment in public projects. Legislative Decree 1012 (May 11th 2008) regulates the private sector’s participation in public infrastructure and services through PPPs, establishing risk-allocation principles according to each party’s ability to mitigate these risks. An earlier norm, Supreme Decree 104/2007-EF (July 19th 2007), approved guidelines for the provision of public services through co-financed concessions involving the government and private sector. This 2008 framework also regulates private investment and the participation of different government bodies in the project approvals process. The participation of ministries and national/regional services is established in the project preparation stage. The agency in charge of privatisations, ProInversión, will now concentrate on major concession projects, especially in infrastructure, by managing the bidding and contractual stages of federal projects. For example, in the transport sector, ProInversión planned to offer two highway network and regional port concessions in 2008. Road concessions had not been awarded as of March 2009, and the port concession experienced serious difficulties due to negative social opposition.</t>
    </r>
    <r>
      <rPr>
        <u/>
        <sz val="10"/>
        <rFont val="Arial"/>
        <family val="2"/>
      </rPr>
      <t xml:space="preserve"> </t>
    </r>
    <r>
      <rPr>
        <sz val="10"/>
        <rFont val="Arial"/>
        <family val="2"/>
      </rPr>
      <t>The change in the role of ProInversión from promoting privatisation to promoting concessions reflects the fact that Peru no longer has major assets ready for privatisation as it did when the Privatisation Law (Decree Law 674) was implemented in 1991. Now Peru has to rely more significantly on the concession law of 1996 and its amendments of 2008 for incorporating private investment in infrastructure. Regional bodies oversee non-federal projects. Compensation for changes in financial equilibrium is restricted. It is allowed only in cases in which legal changes have specific impacts on the project. The supervision of the technical aspects of a project during the preparation and execution phases is handled by the sectoral authority. Since 1998 the supervision of service levels and tariff adjustments for transport infrastructure has been overseen by OSITRAN (</t>
    </r>
    <r>
      <rPr>
        <sz val="9"/>
        <rFont val="Verdana"/>
        <family val="2"/>
      </rPr>
      <t xml:space="preserve">Organismo Supervisor de la Inversión en Infraestructura de Transporte de Uso Público), and a more </t>
    </r>
    <r>
      <rPr>
        <sz val="10"/>
        <rFont val="Arial"/>
        <family val="2"/>
      </rPr>
      <t>recently created sectoral regulator,  SUNASS (Superintendencia Nacional de Servicios Sanitarios) oversees these aspects of water and sanitation.</t>
    </r>
  </si>
  <si>
    <t>Uruguay established a legal framework for public works concessions with Law No 15.367 in 1984. This framework is of a general nature, leaving project details up to each contract. The law permits investment in the transport and drinking-water sectors at various levels of government. When a 1992 referendum established that the majority of the population was against the privatisation of state enterprises, concessions became one of the few options for introducing private capital in infrastructure development. Using the 1984 law as a foundation, road concessions and a concession for a transport corridor in Rio de la Plata were developed in the nineties. A later law from 1991reorganised the port sector into regional firms and included the option of concessioning out specific terminals within the jurisdiction of each firm. In the water sector, a law allowed Obras Sanitarias del Estado (OSE),  the state firm, to award concessions in cities or specific regions. After the first concessions in Maldonado, however, a political movement forced a constitutional reform that made all hydrological resources subject to social considerations before economic ones and authorised the termination of any concession that threatened this principle. In 2001 the government developed a new road concessions system, called the Roads Mega Concession. In this scheme, the ministry created a National Road Company as the operator of more than one thousand kilometers of roads, although its network will be expanded to include other roads oncen their concessions expire. This company can incorporate up to  40% private capital and is responsible for contracting private construction companies for the development and maintenance of the network, and must obtain financing from the market or from government subsidies. In reality, this creates a quasi-state monopoly without any formal regulator to manage the main road networks. This is a radical shift from the road concessions that were originally implemented in Uruguay at the beginning of the 1990s. Current regulations require adherence to financial equilibrium and do not allow the use of arbitration mechanisms to resolve conflicts.</t>
  </si>
  <si>
    <t xml:space="preserve">Although Uruguay has eliminated most price controls, the executive branch continues to fix prices on certain basics, including milk, meat, fuels, transport (including bus fares, which are set by municipalities), electricity, and water supply and telephone services. The prices of water services charged by the state firm OSE (Obras Sanitarias del Estado) do not permit the financing of investment necessary to reach population coverage levels intended by the government. The political context surrounding water provision since the constitutional modification has made it increasingly difficult to establish effective pricing regimes for cost recovery. Subsidies are generalised without focusing on low income groups, and, as a result, OSE has been forced to reduce its investment in system infrastructure in the past decade. Multiple cross subsidies have made it difficult to judge the effectiveness of current operations.  In the road sector, tolls are heavily subsidised. This makes new investment financing very difficult. </t>
  </si>
  <si>
    <t xml:space="preserve">The banking system is highly fragmented and is dominated by two state-owned banks, the Banco de la República Oriental del Uruguay (BROU) and the newly created Nuevo Banco Comercial (NBC), which account for around 55% of total assets. Although bank deposits have recovered significantly since the 2002 economic crisis, the financial services sector—and particularly the BROU and the BHU—is still in need of reform. Despite growth in bank deposits and the economic recovery, the credit market has been slow to react. </t>
  </si>
  <si>
    <r>
      <t>The four roadways and port concessions were awarded by a competitive bidding process, although the criteria to award bids have not been consistent. In some cases, a multitude of criteria have been used, weighing both economic and technical considerations. In other cases, the net present value of revenue of the concession has been used as the criteria. The Mega Concession scheme constitutes a direct transfer of almost 2,000 km worth of roads to Corporaci</t>
    </r>
    <r>
      <rPr>
        <sz val="9"/>
        <rFont val="Verdana"/>
        <family val="2"/>
      </rPr>
      <t>ó</t>
    </r>
    <r>
      <rPr>
        <sz val="10"/>
        <rFont val="Arial"/>
        <family val="2"/>
      </rPr>
      <t xml:space="preserve">n Vial del Uruguay’s jurisdiction (rather than bidding). This state firm operates more like a private firm than a public one in terms of the process used to award projects and obtain financing, despite the fact that the firm itself is funded mostly through public budgets </t>
    </r>
  </si>
  <si>
    <r>
      <t>The Ministry of Transport and Public Works has a limited capacity to prepare and supervise projects. This was exacerbated by the creation of the Mega Concession, which initially incorporated the technical personnel of the Dirección Nacional de Vialidad. The Mega Concession scheme transferred almost 2,000km worth of roads to the jurisdiction of the state firm, Corporaci</t>
    </r>
    <r>
      <rPr>
        <sz val="9"/>
        <rFont val="Verdana"/>
        <family val="2"/>
      </rPr>
      <t>ó</t>
    </r>
    <r>
      <rPr>
        <sz val="10"/>
        <rFont val="Arial"/>
        <family val="2"/>
      </rPr>
      <t>n Vial del Uruguay. At the same time, the technical capacity for road concessions was also transferred to the state firm, weakening the capacity of the ministry and the Road National Office to develop projects. The involvement of private concessionaires to participate in toll road concessions as an alternative to the mega concession scheme is a remote possibility, unless the Mega Concession starts breaking its network into toll road concession projects for direct involvement of private operators. For both the transport and water sectors, regulatory capacity has not been developed at a national level. The government seems to be in favour of developing the transport and water sectors through public investment, without considering other options.</t>
    </r>
  </si>
  <si>
    <r>
      <t>Uruguay has not created an institutional framework that can facilitate competitive or efficient private investment in infrastructure. The port sector is the most developed, albeit with an inconsistent institutional framework. Port authorities concession out specific terminals and encourage private competition for the right to provide services. However, the Port Authority of Montevideo has been transformed into a firm whose shares that have been sold to the private sector (up to 40% of total value), confusing the regulatory role with the firm role in an area where the firm has monopoly power. In the transport sector, a public firm was created to control a significant share of the road network (Corporaci</t>
    </r>
    <r>
      <rPr>
        <sz val="9"/>
        <rFont val="Verdana"/>
        <family val="2"/>
      </rPr>
      <t>ó</t>
    </r>
    <r>
      <rPr>
        <sz val="10"/>
        <rFont val="Arial"/>
        <family val="2"/>
      </rPr>
      <t xml:space="preserve">n Vial del Uruguay); like the Port Authority of Montevideo, it can incorporate private capital and is not subject to a regulatory counterweight. Once completed, the roadway concessions now taking place may be incorporated into the Mega Concession system. The Ministry of Transport and Public Works concentrates various responsibilities, as it must set policies in the sector, execute public investment for projects and regulate transport services .In the drinking water and sanitation sectors, the constitutional changes present a significant obstacle for structuring concession projects. In the drinking water sector, the private concessioning process has been discontinued, and the state firm OSE (Obras Sanitarias del Estado) and the municipality of Montevideo have the responsibility for all water services throughout the country. The powers of the electricity regulator URSEA (Unidad Reguladora de los Servicios de Energía y Aguas de Uruguay) have been extended to water in the hope that this body will exercise a supervisory role for service quality. </t>
    </r>
  </si>
  <si>
    <r>
      <t xml:space="preserve">At the outset, various road concession projects were developed by leveraging the general framework established in public contracting laws. However, in 1999 a uniform, national-level framework was created for roads, ports, airports and water sanitation services (Law No </t>
    </r>
    <r>
      <rPr>
        <u/>
        <sz val="10"/>
        <rFont val="Arial"/>
        <family val="2"/>
      </rPr>
      <t>5.394</t>
    </r>
    <r>
      <rPr>
        <sz val="10"/>
        <rFont val="Arial"/>
        <family val="2"/>
      </rPr>
      <t>). In this law, regions or municipalities were obliged to create an entity that would be responsible for guiding and carrying out the concessions process. This law also outlined bidding mechanisms, firm rights and government rights during the concessions process. Regions and municipalities can use this law to offer concessions in works and services within their respective sectors. Concessionaires’ rights outlined in the law include maintenance of financial equilibrium, where firms are allowed to solicit revisions to the economic regimen and term length. This clause allows for free transfer of risks to the state beyond what is specified in a particular contract. Unfortunately, the current government has also set back the concession process by centralising road development efforts and freezing (and later eliminating) tolls, leaving its financial obligations for concession projects unpaid. In the water drinking and sanitation sector, the 2001 Drinking Water and Sanitation Service Provision Law (Ley Orgánica para la Prestación de los Servicios de Agua Potable y de Saneamiento), was created to regulate the supply of these services through concessions and formulated a standard for auditing, monitoring and evaluating these services. The Superintendency and a National Office were made responsible for these tasks. In 2007 the law was changed to transfer the functions previously served by the National Office and the Superintendency to the state company Compañía Anónima Hidrológica (HIDROVEN). The clauses contained within this law apply to all drinking water and sanitation providers regardless of whether these are public, private or a mix of both. In both the water and transport sectors, there is a pull back from incorporating private capital. Venezuela returned to a model that integrates service provision with regulatory responsibilities. Also, there is an attempt by the central government to reduce the involvement of the regions and municipalities in infrastructure provision.</t>
    </r>
  </si>
  <si>
    <t>The Argentinean government, through the emergency economic law from 2001, froze water provision and sanitation prices for all, without targeting low income users specifically. This has caused a crisis in which the sector does not have the funds necessary for investments. It is also one of the key factors behind the termination of numerous water concessions; although in some areas a social tariff was offered to target the poorest users. However in most cases these price reductions were financed through cross subsidies (where high charges to certain users "subsidise” low charges for others) and not directly financed by the State. For transport, the government grants monthly subsidies to bus, train and toll-road operators in exchange for keeping prices stable. Out of a total of Ps16.15bn in subsidies in 2007, the government spent Ps4.2bn (or 26%) on transport alone; of this total, Ps2.3bn went to metropolitan rail and underground services, and Ps1.9m to the integrated bus services. In the toll-road sector, Argentina has highly subsidised tolls; comparatively, they are a third of toll levels in Chile and 40% of those in Brazil, which implies that the state must be financing at least 60% of service costs. Cross subsidy schemes established in favour of cargo transport are also the norm.</t>
  </si>
  <si>
    <r>
      <t>Trinidad and Tobago does not possess a legal framework to establish concessions in transport or water sectors. Public entities regulate ports and airports, and they develop activities on their own or through concessions. For example, in 2006 a process was initiated to establish a private operator for the Port of Spain, although a firm project award has not yet materialised, leaving the country as one of the few nations in the region that has not yet contracted out any of its airports using concessions. In the road sector, no toll roads have been contracted through concessions either. The Ministry of Works and Transport is responsible for planning the development of infrastructure in roads ports and airports. Infrastructure operations are the responsibility of sector authorities. In the water sector, the Water and Sewage Authority (WASA) serves as the country's water and sanitation authority and provider. Between 1996 and 1999  a management contract between WASA and a British Water Company was implemented as an interim step for dividing WASA and concessioning the operational part to a private operator and  turning WASA into a regulatory entity. However, this plan was ultimately discarded and only one investment contract for operation of specific services for water desalination was offered. This has kept WASA as the main operator for drinking water and sanitation. Political interest still does not exist to advance for the creation of an integrated legal framework that would permit the participation of the private sector in transport and water infrastructure development. Nevertheless, the government of T&amp;T is working with multilateral agencies to create favourable conditions for such projects. A regulatory commission for public services (Regulatory Commission of Regulated industries) has been established in 1998.</t>
    </r>
    <r>
      <rPr>
        <u/>
        <sz val="10"/>
        <rFont val="Arial"/>
        <family val="2"/>
      </rPr>
      <t xml:space="preserve"> </t>
    </r>
    <r>
      <rPr>
        <sz val="10"/>
        <rFont val="Arial"/>
        <family val="2"/>
      </rPr>
      <t>Private investment has been effectively utilised in the electricity and telecommunications sectors via concessions.</t>
    </r>
  </si>
  <si>
    <t xml:space="preserve">A ministry-level council must approve all federal level projects and their tendering. This council has a PPP executive unit at the Ministry of Planning, which chairs the council. Sector ministries are responsible for presenting the projects and their corresponding studies to the council for approval. The Ministry of Finance has created a unit to evaluate each project’s tax impacts and contingencies, guaranteeing that tax allocations are established properly and that limits are set on future tax commitments. Once tenders are launched, project bidding, execution and operation supervision corresponds to the sector-regulating entity, which is the ministry or department responsible for providing the service. The institutional framework varies for each state, creating a heterogeneous environment for state level projects. Sectoral ministries co-ordinate both project planning and preparation tasks, supervising all project stages. Given that state projects represent two thirds of the investment and that the federal-level institutional design is superior, transferring federal design principles to lower levels of government is much needed. </t>
  </si>
  <si>
    <t xml:space="preserve">There is no statutory requirement to disclose bidding information. The Freedom of Information Act  passed in 2002 helps guide disclosure practices, but it is up to the discretion of the companies involved to provide information. Because external consultants are hired to help with marketing the bid, collecting the information, and the planning process, it is these companies that perform due diligence for bidding and do the calculations and analysis for each bid option. Once the documents are received, they go to a decision committee that includes the ministries affected and representatives of the private sector bidding companies. The National Management and Strategic Investment Office ultimately signs the contract, although they do not monitor the contract afterwards. If a specific contract breach is brought to the attention of the office, however, they follow up with the issue. Extensions to contracts are handled in a disciplined manner and “scope creep” is not really possible because any potential additions/changes to contracts are always discussed before contracts are signed. The framework and process could be improved, specifically in order to have a more formalised system that encompasses PPPs in law rather than policy. </t>
  </si>
  <si>
    <t xml:space="preserve">The external debt default experienced by Argentina profoundly affected the Republic of Uruguay, preventing the authorities from making subsidy payments agreed with concessionaires. Once the country recuperated from the Argentinean shock, obligations have been renegotiated in agreement with operators. Nevertheless, bi-national concession projects, such as the dredging of Rio de la Plata to allow boat traffic, were severely affected. </t>
  </si>
  <si>
    <t xml:space="preserve">Uruguay’s capital markets are undeveloped, making it difficult to finance long-term infrastructure projects. The capitalisation of its stock market was equal to only 2% of GDP in 2005 (latest available data), according to the World Bank. The banking system is characterised by relatively high concentration and high operating costs, which increase the cost of credit. The US dollar is the main currency used in the local financial market. Overall, debt financing is clearly preferred to equity financing in Uruguay. Lack of knowledge and information could be one of the main reasons for the low use of bonds and other more complex debt products. </t>
  </si>
  <si>
    <t xml:space="preserve">The next government is unlikely to enjoy a parliamentary majority, reducing government effectiveness from 2010. Regulatory risk is high because productive activity is heavily influenced by large state-owned institutions with substantial sway over regulatory policy. The practice whereby regulators sometimes give domestic companies preference over foreign ones will probably continue. Intellectual property rights are recognised, but weakly enforced. The level of political influence over the judiciary came into focus in early 2008 when the Supreme Court ruled that the introduction of an income tax on pensioners (carried out in 2007) was unconstitutional. Parts of the Frente Amplio (FA) appeared to put pressure on the Supreme Court to reverse its decision, potentially harming Uruguay's reputation for juridical independence. So far though, this is an isolated incident. </t>
  </si>
  <si>
    <t xml:space="preserve">After a recession in 1999-2002, real GDP growth recovered strongly to average an annual 8.1% in 2004-07 and exceeded 10% in 2008. Growth will fall sharply from these heady rates in 2009 and 2010 to 2% and 3.3%, respectively, with the risk weighted on the downside. The peso will be vulnerable to changes in market sentiment associated with concerns about external shocks, and the depreciation that the peso has undergone since September 2008 is likely to continue (albeit at a more moderate rate) in 2009-10. Inflation is expected to fall back to within the central bank's 3% to 7% target range in 2009, in line with lower commodity prices and falling domestic demand. The public debt burden will continue to be a drain on fiscal resources, but primary surpluses are helping the government to reduce this to a more manageable level. Since prepaying its IMF debt in 2006 the government has no need of an agreement with the IMF, but will maintain the fiscal orthodoxy outlined in the programme that it signed in 2005. </t>
  </si>
  <si>
    <t xml:space="preserve">The unemployment rate is below pre-recession levels, thanks to a strong economic recovery since 2004. Unions are influential, although the threat of unemployment has forced them to turn their attention to demands other than pay increases, particularly reduced working hours to contain unemployment. Strikes are common, especially in state-owned companies at the end of each year when the subsequent year's budget is debated, and rose sharply in response to fiscal adjustment and recession. The first general strike under the Frente Amplio (FA) government took place in August 2008, and further disruption is possible in the approach to the October 2009 general election. Dismissing workers is complicated and expensive. Although intermittent and occasionally disruptive strikes will continue from the powerful unions, Uruguay does not have a history of violent protest: popular discontent during the deep recession in 1999-2002 did not degenerate into the sort of street violence witnessed in neighbouring Argentina for example. Although inequalities increased in 1999-2002, Uruguay has a large middle class and a more equitable income distribution than most Latin American countries. The government is seeking to reduce income inequalities further and a tax reform implemented in 2007 will go some way towards achieving this. </t>
  </si>
  <si>
    <t>According to data from the World Bank, from 1997-2006 Trinidad and Tobago has had only one build, own and operate project. This was in the water sector. Across the four major infrastructure sectors (ie, water, transport, energy and telecoms), this project represented 25% of all projects. (Figures do not include management and lease contracts or divestitures. Please note that numbers do not necessarily match explanations for other indicators in this index due to different counting methods and time frames.)</t>
  </si>
  <si>
    <t>According to the World Bank PPI database, Trinidad &amp; Tobago's sole water concession project, run by the Desalination Company of Trinidad &amp; Tobago, is under distress. (Figures do not include management and lease contracts or divestitures. Please note that numbers do not necessarily match explanations for other indicators in this index due to different counting methods and time frames.)</t>
  </si>
  <si>
    <t xml:space="preserve">Although policy administration is reasonably effective in most areas, serious concerns about corruption and mismanagement erode government effectiveness. Corruption is widespread at all levels and bureaucratic procedures delay court proceedings, reducing the accountability of public officials. Public pressure for the government to review procedures for public procurement and improve the legal framework are likely to result in some progress in the future, but the system of checks and balances is likely to remain insufficient to significantly reduce corruption. </t>
  </si>
  <si>
    <t xml:space="preserve">Notwithstanding occasional demonstrations, violent civil unrest is unlikely and the threat of armed conflict is low. The union movement retains relatively high membership (up to 25% of the population) and it has pressed for significant wage increases, arguing that the government should take advantage of supportive economic conditions to boost wages, particularly at a time of higher inflation. Labour strikes are uncommon, but other forms of action are more usual, particularly in the energy sector and key service sectors. </t>
  </si>
  <si>
    <t xml:space="preserve">The private sector has the right to arbitration for technical disputes, but disputes involving unilateral government actions must be handled in tribunals. There are no ad-hoc pre-judicial resolution mechanisms. The perceived lack of technical competency and independence of the tribunals, as well as their mismanagement, generates much risk for projects. Peru is a signatory of the International Centre for Settlement of Investment Disputes (ICSID) and the New York Convention for dispute resolutions. </t>
  </si>
  <si>
    <t xml:space="preserve">In principle, Peru has the necessary checks and balances in its institutional framework for infrastructure concessions. However, these systems do not always work well. The investment promotion agency, ProInversión, which is responsible for transactions and project promotions at a federal level, does not play an effective role in supporting regional projects. (Fonace handles ProInversión’s role for public firms.) The transport regulator is responsible for evaluating service quality agreed to in the contract, although its role could be strengthened if it helped to define these standards. The Superintendency of Sanitation Services has been created to supervise the operation of concessions (particularly service quality). There is an important concession in the water sector in Tumbes, and there are possibilities of expanding the system. The Ministry of Housing and Urban Works is developing the capacity to advise regional and municipal entities in this area. The legal changes introduced in 2008 are aimed at reducing the bureaucracy that delays the concessions process. However, the law of administrative silence, which automatically grants investment approval if an authority does not issue a response within a specified period, reduces the ability to influence the selection and adjustment decisions for projects. Furthermore, despite the existence of checks and balances, the modification of contracts seems very arbitrary. </t>
  </si>
  <si>
    <t xml:space="preserve">All concession projects in Peru undergo a social evaluation process. This requires a value-for-money analysis in which all delivery options are considered before a decision can be made that the PPP approach is best. In the case of private initiatives that do not require government guarantees, the use of these evaluation methods is not required.  The government also published two laws on June 4th 2008 revamping the state’s purchasing and acquisitions process. The Law of State Contracts (Ley de Contrataciones del Estado; Legislative Decree 1017/2008), streamlines the way the state enters into contracts. Legislative Decree 1018/2008 created the Central Bureau for Public Purchases (Central de Compras Públicas—Peru Compras), which places all public procurement under one system. At the same time, the law limits the amount of fiscal contingencies that can be contracted as a percent of GDP. This reduces  political risk and assigns a higher opportunity cost to using PPP mechanisms with deferred investment payments, increasing the likelihood that this mechanism will be used only in cases where it is most appropriate. A mechanism has been incorporated into the fiscal responsibility law that requires the open publication of fiscal payments committed for the following three years. </t>
  </si>
  <si>
    <t xml:space="preserve">Public bidding procedures are required for all concession contracts, and these are reasonably fair and transparent. During the contracting period, the lessor can increase the size of the project for public-interest reasons as long as the expansion does not exceed 10% of the total value of the original contract. The law explicitly states that any modification of the terms of the concession can only be done by the same body that authorised the concession. Independent supervision of the renegotiation process and contract changes is not in place. There is no discrimination between national and foreign companies. However, various international studies note that corruption is a problem and can interfere with the contracting process. </t>
  </si>
  <si>
    <t>The country does not have enough experience with PPP projects to offer a detailed rationale; however the country's one transport project during the 1997-2007 period was not cancelled or distressed. The score is based on the country’s’ performance in related areas, particularly the low project preparation capacity which makes the need for contract renegotiations more likely, though admitedly laws attempt to limit the scope of such changes.</t>
  </si>
  <si>
    <t xml:space="preserve">During the first half of the nineties, a national investment system was developed to improve public investment decisions. A process of incorporating the private sector in the provision of services was introduced to reduce the political aspects of decisions and impose some economic rationale to investments. The law from 1999 created a Concessions Committee that is charged with the task of preparing and executing the concessions process, as well as inspecting and auditing awarded contracts. However, the central government has begun to take decision-making power away from the committee, effectively rendering it irrelevant for investment decisions. </t>
  </si>
  <si>
    <t>Currently the playing field is not level for all firms in sectors where the state plays a large role. Even when the law established certain criteria to protect investors, in practice decisions exhibit a high degree of political discretion and a clear bias against private investment in these sectors. As a result, the decision process is not technical in nature with privilege to companies that are closer to the Government.  Limited foreign investment is permitted under rigorous terms, though the government has swept away much of the 1990s-era oil-sector opening (referred to as the Apertura) through forced renegotiations of the contracts made with private companies.</t>
  </si>
  <si>
    <t xml:space="preserve">To resolve conflicts, the law specifies conciliation mechanisms and arbitration with the support of expert judgment for matters of different technical character (such as construction techniques), engineering and financial issues. The local tribunals are not independent of the executive and do not fully respect local or international arbitration rulings, despite the fact that Venezuela is a signatory of the International Centre for Settlement of Investment Disputes (ICSID). Confronted with the direct or indirect expropriation of their assets, various companies have been forced to reclaim these from the Venezuelan government using ICSID. This was the case with the concession of the Caracas-La Guaira viaduct. </t>
  </si>
  <si>
    <t>The concession law creates a Concessions Committee that is responsible for preparing and executing bidding procedures, as well as inspecting and supervising awarded contracts. Furthermore, sectoral laws mention different agencies in charge of planning and oversight of service quality. Despite this design, the system has not functioned properly in practice.</t>
  </si>
  <si>
    <t>In the past few years, Venezuela has terminated, expropriated and limited private concession projects. These cancelled projects have been of both domestic and international ownership, in a wide variety of sectors: petroleum exploration, mining, electricity, telecommunications and more. In this context, renationalisation of all industrial sectors seems likely. Recently, the government announced the centralisation of the administration of ports, airport and roads for the entire country; previously these had been administered independently by state/regional governments. This measure is based in the Ley Orgánica de Descentralización, Delimitación y Transferencia de Competencias del Poder Público, approved in the past year by the national assembly. The national tribunals have not had the independence required to protect investors’ rights subsequent to these changes. This precedent sets the stage for the central government to block any roads concessions planned by state and municipal administrations.</t>
  </si>
  <si>
    <t xml:space="preserve">Venezuela has developed preparation, evaluation and management capacities for projects. These have resulted from the country’s experience with numerous large public and private projects. Nevertheless, these capacities are being lost or not being used. </t>
  </si>
  <si>
    <t xml:space="preserve">Although the concession law requires bidding and economic evaluations of projects for awarding contracts, in practice, political discretion is the norm. A bias against foreign investor and operator participation also exists. </t>
  </si>
  <si>
    <t xml:space="preserve">The concessions law establishes two contradictory clauses. It first enables opportunism by the concessionaire by establishing a government obligation to maintain financial equilibrium in the face of unforeseeable changes in economic project conditions. On the other hand, the law explicitly states that it is the prerogative of the body responsible for leasing the public asset or service to establish a unilateral interpretation of the contract via an administrative act in cases of disagreement with the concessionaire. Furthermore, the law also allows unilateral modification of the contract for public interest reasons. In practice, the shaky independence of justice tribunals and the concentration of power at the central level tip the balance in favor of the government. This ensemble of factors has been systematically used to terminate contacts. </t>
  </si>
  <si>
    <t>According to data from the World Bank, in the past ten years Venezuela had a total of four projects in the water and transport sectors. Across the four major infrastructure sectors (ie, water, transport, energy and telecoms), transport concessions represented 22% of all projects and water also represented 22%. (Figures do not include management and lease contracts or divestitures. Please note that numbers do not necessarily match explanations for other indicators in this index due to different counting methods and time frames.)</t>
  </si>
  <si>
    <t>Out of four projects in the World Bank PPI database for the transport and water sectors, Venezuela had one failed/distressed project in transport, for an overall failure/distress rate of 25%. (Figures do not include management and lease contracts or divestitures. Please note that numbers do not necessarily match explanations for other indicators in this index due to different counting methods and time frames.)</t>
  </si>
  <si>
    <t xml:space="preserve">Venezuela's government effectiveness is extremely low compared to both regional and international peers. Although extreme centralisation of power enables the Chavez government to advance its programme, a lack of checks and balances undermines the quality and consistency of policymaking. The introduction of an entirely new institutional architecture in the 1999 constitution has failed to make an impact; in the current political environment institutions have lost credibility and independence, and are perceived as more politicised than ever. Pervasive red tape increases the cost of doing business and creates opportunities for corrupt officials. Sudden policy reversals are often announced, compounding the uncertain business environment. Public officials are largely unaccountable, and conviction of the perpetrators of corruption is very rare. </t>
  </si>
  <si>
    <t xml:space="preserve">Macroeconomic risk is high, mainly reflecting distortions caused by heterodox economic policies put in place in recent years. The prospect of weaker energy prices sustains the risk of a sharp economic contraction and a devaluation of the fixed exchange rate, which will further fuel inflation and worsen shortages of basic goods, in the context of price controls. The deterioration of the business environment has led to a decline in non-oil investment, which will entrench dependence on the oil sector and deepen the impact from lower energy prices. Companies will continue to encounter difficulties in accessing foreign exchange, owing to the system of capital controls. Domestic asset prices, inflated by the captive pool of excess liquidity created by the controls, will remain at risk of a sharp reversal. </t>
  </si>
  <si>
    <t xml:space="preserve">Protests are usually localised and foreign business premises are rarely targets. Nevertheless, the security environment has worsened in the past few years, partly as a result of political conflict and a difficult economic climate. Acute political polarisation combined with a process of policy radicalisation keeps the risk of such political instability high. It also undermines confidence in institutions, to the detriment of political effectiveness; yet expectations for compensation from the labour market are high, as onerous severance, vacation and pension regulations are in place.  </t>
  </si>
  <si>
    <t>Venezuela has a mediocre credit rating, which has worsened as a result of lower oil prices. External guarantee agencies which insure payments for commercial transactions, such as COFACE, award Venezuela a low score for payment fulfillment. The Economist Intelligence Unit gives the county a B sovereign debt risk rating.</t>
  </si>
  <si>
    <t>Venezuela has not yet reformed its pension system. The preeminence of oil revenues from a state owned industry has crowded out private sector debt issues. Capital markets are small relative to the size of the economy, and there is no incentive to register companies on the stock market given the hostile political environment towards capitalist improvements.</t>
  </si>
  <si>
    <t xml:space="preserve">Subsidies are awarded for a series of basic services; electricity, public transport and gasoline subsidies are large for all users, severely distorting resource allocation in the country’s economy. In the case of water and sanitation, the law also allows the possibility of issuing subsidies. </t>
  </si>
  <si>
    <t xml:space="preserve">There has been little private-sector capital for infrastructure financing because of the long-term nature of the projects and the unstable condition of the Venezuelan economy. Venezuela’s largest companies typically turned to international markets for their financing needs given the favourable attitude of the European debt markets in the late 1990s. But since the imposition of currency controls in February 2003 foreign financing is a viable option only if domestic companies obtain prior approval to purchase foreign currency to meet interest and principal payments.Of greater relevance to foreign businesses, the Andean Development Corp (Corporación Andina de Fomento), operated jointly by the members of the Andean Pact, supplies medium- and long-term credit in dollars for projects with a foreign component. Also, Overseas Private Investment Corporation (OPIC) of the United States has provided nearly US$1bn in financing for 12 large projects. But future projects will not have access to OPIC financing and political-risk insurance until resolution of a dispute between Petróleos de Venezuela (PDVSA) and Science Applications International Corp (SAIC), a US company insured by OPIC. </t>
  </si>
  <si>
    <t xml:space="preserve">The Technical Secretariat of Planning is responsible for prioritising, monitoring and evaluating public investments in accordance with the government’s economic and social strategic plan. This agency reports directly to the president and assists the National Economic Co-ordination Council. The secretariat’s institutional capabilities are not well developed, however. In practice, decisions regarding infrastructure projects are politically motivated, with limited economic discipline. </t>
  </si>
  <si>
    <t>Concessions Law No 1618 stipulates that both tender proposals and the concession contract itself must identify potential causes of revisions to the economic terms and conditions. If these are not foreseen, the economic terms of the concession cannot be adjusted post-contract. This law also indicates that a dispute-resolution process must be followed for all controversies or claims that could result from the interpretation, application or execution of the concession contract. Arbitration only follows if a resolution cannot be found. The bidding documents for each project will stipulate the process of dispute resolution including all rules of procedure and choice of the referees. The 1991 law guarantees non-discriminatory treatment of foreign investors. This law also allows the possibility of international arbitration for conflicts between the public and private sector. Paraguay has been a member of the International Centre for Settlement of Investment Disputes (ICSID) since 1982.</t>
  </si>
  <si>
    <t xml:space="preserve">The Ministry of Transport is responsible for planning and deciding on PPP projects and carries out a social evaluation and comparison to public investment alternatives. As long as every state institution uses the 11079/04 legal framework, the Ministry must conduct a value for money analysis in order to justify project leases. The executive branch also created a managing agency, the Comitê Gestor de Parceria Público-Privada Federal (GCP), which functions under the Ministry of Planning, Budget and Management. The agency has adopted the following criteria to judge the bid proposals: the lowest rate, the best technical proposal and the lowest installment payments by the government or public-sector entity. As a means to break ties, the government may require that bidders provide evidence of social responsibility. The Ministry of Planning also created a specialised unit at a national level to plan for future PPP fiscal contingencies. However, there are specific laws at the state level with less systematic requirements to guarantee efficiency during the decision-making process. </t>
  </si>
  <si>
    <t>The concessions law assigns responsibility for project preparations to the relevant body (ministry, municipality, etc) involved in each infrastructure sector. But without a centralized advisory capacity or proper cost benefit and fiscal risk analysis, public sector lessors are incentivised to make projects more attractive to the private sector at the expense of future fiscal contingencies and economic profitability. Although a formal national investment system exists, the government does not have the experience or capacity to operate it very efficiently. Project planning and preparation capabilities are more advanced in the drinking water and electricity sectors, but the degree of contracting in these areas is minimal.</t>
  </si>
  <si>
    <t>According to data from the World Bank, in the past ten years Paraguay has had only one project, in the transport sector. Across the four major infrastructure sectors (ie, water, transport, energy and telecoms), this project represented 25% of all projects. (Figures do not include management and lease contracts or divestitures. Please note that numbers do not necessarily match explanations for other indicators in this index due to different counting methods and time frames.)</t>
  </si>
  <si>
    <t>The World Bank PPI database only indicates one concession project in the transport sector. It did not experience distress or failure. (Figures do not include management and lease contracts or divestitures. Please note that numbers do not necessarily match explanations for other indicators in this index due to different counting methods and time frames.)</t>
  </si>
  <si>
    <t>Chile has a very flexible contract law which allows for contracting of public works under the condition that such works be regulated by the Ministry of Public Works (MOP). The framework was initially approved in 1991 and was later modified in 1996 to enable contractor compensation through a combination of service rates, guarantees, asset contributions, and government resources. Public property may also be leased from other ministries and municipalities through formal agreement with MOP. However, a different lease system was structured for the port system, which is subject to a less flexible law and follows an ad-hoc supervision system. In the sanitary sector, Chile either has vertically integrated and privatised regional companies or sources its utility management function to private parties. Public works contract law allows unlimited contracting of additional work through direct state negotiation with the contractor. On the other hand, compensation clauses are vague, enabling potential transfer of commercial risks from the private party to the state. Nor does the law establish criteria for allocating risk among the different parties; however, it does protect creditors in the event that the MOP decides to fire a concessionaire, by forcing repeated project bidding (with a floor price) to ensure project financing. Currently, Congress is discussing legislation that will substantially improve risk assignment and supervision schemes at different project stages by establishing regulations and mechanisms that would increase transparency of contract modification processes.</t>
  </si>
  <si>
    <t>The country does have not much experience with PPP projects to offer a detailed rationale; however, the track record for using economic criteria to designate projects has been poor, and overall regulators only occasionally use efficient variables to award projects. Net present value analysis for future revenues of long-term road contracts has been used for project awards in some cases.</t>
  </si>
  <si>
    <t>Paraguay has a sovereign debt risk rating of B from the Economist Intelligence Unit, on par with Honduras, Costa Rica and Bolivia. Risk of the government's non-compliance and late adherence to financial obligations for concession projects is moderate.</t>
  </si>
  <si>
    <t xml:space="preserve">The Ministry of Economy and Finance and the Planning and Budgeting Office (OPP Oficina de Planeamiento y Presupuesto) have responsibility for supervising the public investment process. The process of planning, prioritising and evaluating public investment in Uruguay is in the early stages of development; only recently has a national public investment system (NIP Plan Nacional de Inversiones) been created at a federal level, allowing for the standardisation of evaluation schemes. Currently, concession projects do not follow a rigorous evaluation process and are not subject to comparisons with public investment alternatives. Accounting for contingent liabilities and for deferred payments has not been harmonised with general public investment accounting practices. </t>
  </si>
  <si>
    <t>Foreign and domestic investors are generally treated equally. But starting in January 2009, in light of the global financial crisis, domestic firms were granted advantages over foreign ones for bidding. Political interference often mires the bidding process and obscures transparency. Multiple factors are considered in the awarding of contracts; this affects the efficiency of the process and increases the risk of non-compliance after a contract is signed. Contract renegotiations are allowed, but are not regulated. Government discretion and political interference is not addressed in any laws, creating a lack of checks and balances needed for transparency and an effective level playing field.</t>
  </si>
  <si>
    <t xml:space="preserve">Uruguay’s concessions law does not establish arbitration as a mechanism for resolving controversies. Justice tribunals must be used to resolve disputes with the state, and although these tribunals have reasonable levels of independence processes are slow. </t>
  </si>
  <si>
    <t xml:space="preserve">Uruguay has a judicial system with a reasonable degree of independence from political influence. Processes are slow, however, and there is no capacity within the judiciary to handle technical PPP issues that arise during conflicts over concessions. The concessions law does not establish arbitration mechanisms, which increases legal risk for these projects. </t>
  </si>
  <si>
    <t xml:space="preserve">The four roadway and port concessions transferred commercial risk to the State. The financial crisis triggered by Argentina’s default early in this decade severely affected Uruguay, and constituted an external shock of enough magnitude to endanger the viability of the original schemes that were negotiated. In the case of road projects, a net prevent value criteria was used in two projects to assign concessions, which permits the incorporation of demand risk factors. As is the case with the majority of countries in the region, projects have not used completion risk instruments to diversify project risk. </t>
  </si>
  <si>
    <t>According to data from the World Bank, in the past ten years Uruguay had a total of five projects in the water and transport sectors. Across the four major infrastructure sectors (ie, water, transport, energy and telecoms), transport concessions represented 50% of all projects and water represented 13%. (Figures do not include management and lease contracts or divestitures. Please note that numbers do not necessarily match explanations for other indicators in this index due to different counting methods and time frames.)</t>
  </si>
  <si>
    <t>Out of five projects in the World Bank PPI database for the transport and water sectors, Uruguay had one failed/distressed project in transport and one failed/distressed project in the water sector, for an overall failure/distress rate of 40%. (Figures do not include management and lease contracts or divestitures. Please note that numbers do not necessarily match explanations for other indicators in this index due to different counting methods and time frames.)</t>
  </si>
  <si>
    <t>Commercial banks offer medium and long-term loans. Their market is principally medium-sized and large companies, but penetration of the small-business sector is growing.(In 2005 it issued its first-ever 30-year bond.)  The government is attempting to build a reference yield curve for the private-debt market by issuing longer-term paper. However companies in Mexico with access to dollars generally opt to finance in dollars (for both short- and long-term needs). Three-year fixed-rate loans are the most common for longer-term projects and are typically obtained through a foreign syndicate.</t>
  </si>
  <si>
    <t>Since 2000, Mexico has moved from a system in which political power was highly concentrated in the presidency to one in which the legislature and the state governors have been empowered and the executive weakened. This shift has exposed institutional weaknesses that impair political effectiveness. Once again, no single party has a majority in the Congress elected in 2006. Mr Calderón of the Partido Acción Nacional (PAN), who took office at the end of 2006, faces the same challenges in pushing his agenda through Congress as his predecessor, Vicente Fox. Although governability initially improved under Mr Calderón, looming mid-term elections in July 2009 have since slowed the legislative agenda. Several initiatives have been put forward to tackle pervasive corruption. Advances will be slow, but such efforts may receive impetus from growing media coverage of misconduct. The influence of interest groups remains prevalent despite various efforts to promote more transparent rules.</t>
  </si>
  <si>
    <t>Macroeconomic risk has risen sharply. Although monetary and fiscal policy management has become more disciplined in recent years, Mexico faces the prospect of a sharp economic decline in 2009 as the US - its main trading partner - enters a recession. Worsening external conditions will highlight the extent to which Mexican growth remains acutely vulnerable to economic cycles in the US. Notwithstanding recent capital inflows related to a widening interest rate differential with the US, a further depreciation of the peso is likely in coming months as the external balance weakens. The collapse in domestic demand is at least likely to allow inflation to fall back within the 2-4% target by the end of 2009, even assuming a cycle of monetary easing by the central bank.</t>
  </si>
  <si>
    <t>Events surrounding the 2006 presidential election suggest that there is still some risk of social unrest, although there are no direct links between armed rebels and the left-wing political opposition. Protests are a regular occurrence in the capital, but are rarely violent and do not generally obstruct business.</t>
  </si>
  <si>
    <t xml:space="preserve">To a large degree, political factors influence decisions taken regarding concession awards. Although there is an evaluation system for investment in public projects, which the Secretary of the President oversees, this system has not been used to a large extent for decisions regarding concessions. </t>
  </si>
  <si>
    <t xml:space="preserve">Regulations are not explicitly biased against foreign investors, neither in the road concessions law nor public contract law. All sectors require public bidding for projects of a certain size and complexity.  However, in the port sector the country has had difficult experiences with concessions, and one project failed due to insufficient technical competency. The public works sector does not benefit from good credibility in terms of transparency, and the private contracting companies are severely undercapitalised, which leads to a complex relationship with the state. </t>
  </si>
  <si>
    <t>Concessions laws do not obstruct the use of arbitration to resolve disputes between the private sector and the government. However, arbitration procedures are not regulated. No legal framework exists to protect creditors or to ensure their rights to concession revenues. In May 2005, only several years after concessions were put in place, Law 512 was passed establishing the Reformed Rural and Urban Property Institute; although general in nature, this law would have allowed for mediation and arbitration rules which could be used for concessions disputes. However, the reform was never implemented and was declared unconstitutional in January 2008. General bankruptcy laws are not adequate to protect long-term investors. Potential investors must also carefully verify property titles before making purchases. Over 300 entities were sold under the administration of Violeta Chamorro (1990–96) and the Sandinista government of the 1980s confiscated thousands of homes, businesses and tracts of land without compensation; the resolution of these cases remains a divisive issue in Nicaragua. Comprehensive judicial reform designed to improve legal procedures and enhance enforcement of contracts and property rights is proceeding very slowly. When the state must compensate investors, disputes must be resolved by local courts which lack competencies and independence. Nicaragua is a signatory of the International Centre for Settlement of Investment Disputes (ICSID) and the New York Convention for dispute resolutions.</t>
  </si>
  <si>
    <t>The political structure is stable and a consensus around prudent macroeconomic policies underpins the stable climate for foreign investment. Unfortunately, macroeconomic risk has increased since the global financial crisis began in October 2008 and plunging global energy prices do not bode well for economic performance in 2009. High levels of foreign direct investment have underpinned reserve accumulation in recent years, but these are expected to decline markedly in 2009 as FDI inflows dry up and the authorities attempt to shield the TT dollar from volatility. After several years of very strong growth, government consumption will contract in 2009 as lower energy revenue forces a freeze on spending. Fixed investment will also contract in 2009—as global financing remains rationed and construction costs rise—and the recovery in 2010 is projected to be weak. Overall export volume growth will decline by around 4% in 2009 before rising by 3% in 2010. With high inflation and tighter credit conditions expected to slow credit growth in 2009, private consumption will slow sharply. Falling investment and sharply weakening consumption will prompt real imports to contract.</t>
  </si>
  <si>
    <r>
      <t>Trinidad and Tobago has a high sovereign debt risk rating by regional standards, and is among the most reliable governments in the region in financial terms. Sovereign risk remains on a “stable” outlook despite the global economic slowdown and sharp declines in energy prices.</t>
    </r>
    <r>
      <rPr>
        <u/>
        <sz val="10"/>
        <rFont val="Arial"/>
        <family val="2"/>
      </rPr>
      <t xml:space="preserve"> </t>
    </r>
  </si>
  <si>
    <t>Trinidad and Tobago has well-developed capital markets. A full range of credit instruments is available to the private sector, including a small but well-developed stock market. There are no restrictions on borrowing by foreign investors. However, local credit is expensive by US standards due to high commercial bank reserve requirements. Many commercial banks are foreign-owned, and performance bonds and insurance products are available through foreign sources. The currency has a managed float, and although there aren’t many hedging instruments, forward contracts are available. Although local banks might offer interest rate swaps, they are not available or used in any significant capacity.</t>
  </si>
  <si>
    <t xml:space="preserve">Trinidad and Tobago's financial services sector has grown in importance over the past decade. As elsewhere in the Caribbean, regulation and supervision of the banking sector have improved in recent years. Financial soundness indicators have strengthened, with the share of non-performing loans (NPLs)—which were a serious problem in the 1980s—falling to 1.4% of the total loan portfolio at the end of 2007. Credit growth in the private sector has decelerated from the highs of over 20% registered in mid-2006, but at 16.1% at the end of 2007 it remains strong. Moreover, this is from a fairly high base, with credit accounting for 33% of GDP in September 2006. (Country Profile, 2008.) </t>
  </si>
  <si>
    <t xml:space="preserve">Currently, water service subsidies do not exist; residents pay for their usage level. People are used to pay-for-service schemes in the water and transport sectors. The only current transport-related subsidies are gasoline price reductions. </t>
  </si>
  <si>
    <t xml:space="preserve">The judicial system is ineffective, and many judges are open to bribery. A judicial reform commission was set up in 2004, but its recommendations have largely been ignored. Increased spending in the system has brought little result. Judicial tribunals have a reasonable degree of independence from the executive branch. Ambiguity remains in the use of tribunals in arbitration matters, mainly because of the tribunals’ role in resolving disputes originating from administrative decisions. In general, property rights are respected, as are contract rights, and securing rights-of-way is a fairly straightforward process. Litigation to recover debts can cost up to half the amount being contested, leading businesses to prefer trusted suppliers and customers, and discouraging competition. Litigation related to concessions has moved very slowly. Contract terminations are permitted as long as technical requirements are upheld and depending on the stage of the contract.  </t>
  </si>
  <si>
    <t xml:space="preserve">Bidding processes are generally competitive and transparent. Economic award criteria are used in most cases, effectively reducing political discretion in the decision-making process. The factors used in deciding awards have varied; recently, net present value of revenue has been used for transport projects, although the lowest subsidy and other such traditional criteria have also been used on occasion. Political pressures after an award are not unknown and can affect the development of projects. </t>
  </si>
  <si>
    <r>
      <t xml:space="preserve">Peru’s PPP laws clearly establish a framework for distributing risk. This contrasts with the past perception that past risk allocation efforts and the subsequent renegotiations have been excessive and costly to the country. Currently, risk-allocation principles are related to a party’s ability to mitigate these risks. Compensation for changes in financial equilibrium is limited. In Peru, the capital markets are developed enough to allow the use of local currency debt instruments for currency and interest-rate hedging. There is also a newly developing market for covering financial risk. Completion risk instruments are in incipient stages. </t>
    </r>
    <r>
      <rPr>
        <u/>
        <sz val="10"/>
        <rFont val="Arial"/>
        <family val="2"/>
      </rPr>
      <t xml:space="preserve"> </t>
    </r>
  </si>
  <si>
    <t>According to data from the World Bank, in the past ten years Peru had a total of 20 projects in the water and transport sectors. Across the four major infrastructure sectors (ie, water, transport, energy and telecoms), transport concessions represented 50% of all projects and water represented 6%. (Figures do not include management and lease contracts or divestitures. Please note that numbers do not necessarily match explanations for other indicators in this index due to different counting methods and time frames.)</t>
  </si>
  <si>
    <t>Out of 20 projects in the World Bank PPI database for the transport and water sectors, Peru had one failed/distressed project in transport, for an overall failure/distress rate of 5.0%. (Figures do not include management and lease contracts or divestitures. Please note that numbers do not necessarily match explanations for other indicators in this index due to different counting methods and time frames.)</t>
  </si>
  <si>
    <t xml:space="preserve">Mr García lacks a legislative majority and faces the challenge of seeking consensus within the divided opposition in Congress. Economic policy can be inconsistent at times, with the government sometimes forced to dilute its orthodox aims with populist measures to satisfy Congress and quell unrest. Congress will continue to submit numerous populist legislative proposals, putting the president on the defensive. Corruption will remain an issue, particularly within the judiciary. The overhaul of state institutions launched in late 2000 will take many years to complete. </t>
  </si>
  <si>
    <t>The currency has remained stable in recent years, even at times of political upheaval and global financial instability. It is supported by prudent monetary and fiscal policies, and solid external accounts. Foreign exchange earnings from exports and investment inflows from the Camisea natural gas project will help to maintain the strength of the currency. Although still relatively low by regional standards, inflation is a concern and the Central Bank will likely miss its inflation target of 1-3% in 2009. Strong primary sector growth has been complemented by robust manufacturing and construction growth. External shocks, such as a rapid fall in commodity prices, pose the main risk to growth in the short-term. High unemployment and poverty rates-although falling-will persist, bringing with them the risk of social instability.</t>
  </si>
  <si>
    <t xml:space="preserve">Strikes and demonstrations, occasionally violent, have become more frequent; there have also been protests against government policy in the regions. Protest is generally directed at local government, and sometimes business, particularly in the extractive sectors. The labour market is held back by high non-wage employment costs and low educational levels.  </t>
  </si>
  <si>
    <r>
      <t>Like the banking industry, the insurance industry has recently gone through a period of consolidation. The domestic industry can meet most corporate insurance needs, although overseas insurers also serve the market. Compared with most other insurance sectors in Latin America, the Peruvian insurance market is healthy and overcapitalised. A significant proportion of its revenue comes from investments. Competition has also grown in the country's pension sector. The state-administered pension system continues to exist, but is being gradually</t>
    </r>
    <r>
      <rPr>
        <u/>
        <sz val="10"/>
        <rFont val="Arial"/>
        <family val="2"/>
      </rPr>
      <t xml:space="preserve"> </t>
    </r>
    <r>
      <rPr>
        <sz val="10"/>
        <rFont val="Arial"/>
        <family val="2"/>
      </rPr>
      <t xml:space="preserve">reduced in size. The World Economic Forum evaluates Peru's pension sector in 2005 favourably, describing it as a regional outlier in a positive sense for its "rather sophisticated and diversified pension funds that invest in both state and corporate assets". Access to capital improved as Peru’s economic climate has stabilised and solidified. Credit is generally available through banks, which remain the primary sources for financing. Other longer-term sources include the issuance of bonds and loans from multilateral institutions, such as the World Bank’s International Finance Corporation, the Inter-American Development Bank and the Andean Corporation for Development (Corporación Andina de Fomento). Firms can issue bonds in local or foreign currency, but there has been a trend towards using the local currency. The trend towards nuevo-sol-dominated bonds will increase as Peru’s financial system continues to de-dollarise. Bond issues reported in the Public Security Market Registry (Registro Público de Mercado de Valores—RPMV) were worth Ns3.3bn and US$600.9m in 2007, compared with Ns.2.9bn and US$896.8m in 2006. </t>
    </r>
  </si>
  <si>
    <r>
      <t>In the water sanitation sector, households which consume less than 20 m</t>
    </r>
    <r>
      <rPr>
        <vertAlign val="superscript"/>
        <sz val="10"/>
        <rFont val="Arial"/>
        <family val="2"/>
      </rPr>
      <t xml:space="preserve">3 </t>
    </r>
    <r>
      <rPr>
        <sz val="10"/>
        <rFont val="Arial"/>
        <family val="2"/>
      </rPr>
      <t>of water per month are subsidised, regardless of their socio-economic status. However, the Superintendency of Sanitation Services (SUNASS Superintendencia Nacional de Servicios Sanitarios) is currently looking at potential pro-poor subsidy methods. In the transport sector, the tolls vary according with the number of axes of the vehicle. Therefore, there is no cross subsidy that could benefit interurban public transport, which usually are used by the lower income groups.</t>
    </r>
  </si>
  <si>
    <t xml:space="preserve">Access to capital has improved as Peru’s economic climate has stabilised and solidified. Authorities anticipate that financing will be easier to access and less expensive in the coming years now that two rating agencies, Dominion Bond Rating Service (in late 2007) and Fitch (in early 2008) upgraded Peru’s long term foreign-currency default rating to investment grade. A trend in the past three years has been to local currency-financing mechanisms, with firms (as well as the Peruvian government) issuing bonds in domestic currency. The trend towards nuevo-sol-dominated bonds will increase as Peru’s financial system continues to “de-dollarise.” </t>
  </si>
  <si>
    <t>In the case of the country’s primary road concession project, the government eventually assumed financing and interest rate risk. It is not clear how cost overruns resulting from delays will be distributed. Local capital markets are not well developed and do not permit the financing of large or complex projects. Nor are there useful instruments for mitigating project risk.  There is, however, free and easy access to international capital markets and financial instruments.</t>
  </si>
  <si>
    <t>According to data from the World Bank, in the past ten years Jamaica has had a total of 2 projects across the water and transport sectors; however, these were exclusively in the transport sector. Out of the four major infrastructure sectors (i.e., water, transport, energy and telecoms), transport concessions represented 50% of all projects. (Figures do not include management and lease contracts or divestitures. Please note that numbers do not necessarily match explanations for other indicators in this index due to different counting methods and time frames.)</t>
  </si>
  <si>
    <t>Out of 2 projects in the World Bank PPI database for the transport and water sectors, Jamaica did not experience any cancellations or distress. (Figures do not include management and lease contracts or divestitures. Please note that numbers do not necessarily match explanations for other indicators in this index due to different counting methods and time frames.)</t>
  </si>
  <si>
    <t>The Ministry of Planning of Trinidad and Tobago, together with the Minister of Finance, is strengthening the National Public Investment System as a mechanism to make sure that investment decisions are more aligned with the National Development Programme (Vision 2020). The goal is to improve the execution control and the budgeting of capital expenditure and recurrent expenditure. The National Management and Strategic Investment Office reports directly to the Prime Minister. Although this cuts some red, it also removes some transparency from the process. The decision to privatise is still a cabinet decision, however. Trinidad and Tobago is far from having a decision-making process for investment based on rigorous analysis. The aforementioned office does not have the in-house resources to conduct due diligence on firms or cost-benefit analyses; this part of the process is outsourced to external consultants like PricewaterhouseCoopers. One of the highest priorities when deciding on a PPP is the effect on employment and terms of severance for potential lay-offs. The government usually works hard to set up contingency plans for severance payments and to enable new employment opportunities for the new joint venture.</t>
  </si>
  <si>
    <t xml:space="preserve">In recent years reforms have generated many improvements in the operating environment for business, but Jamaica still faces a plethora of challenges. By some estimates, unionisation is around 25% of the workforce; the most influential unions are public sector. Political consensus on the maintenance of an open, pro-business stance has helped to ease the burden of red tape, but the burden of crime on the judiciary makes for a slow and inefficient legal system. The poor security environment also raises business costs. Businesses looking to establish premises in Jamaica, and particularly the capital, Kingston, need to factor in the high cost of security. There are additional costs to take into account, including losses from looting, extortion, fraud, burglary and arson, and the losses incurred from temporary closures and reduced working hours (many businesses prefer to close before dark). </t>
  </si>
  <si>
    <t xml:space="preserve">No precedents exist for evaluating the government’s commitment to fulfill its obligations to concessionaries. Nevertheless, public debt dynamics have been deteriorating. Public debt as a percentage of GDP is approaching 150%, one of the highest levels in the region.  </t>
  </si>
  <si>
    <t>A period of consolidation, restructuring and legislative reform in the aftermath of the financial crisis in the mid-1990s has strengthened the sector, but weaknesses remain. The debt market consists mostly of government issues and foreign issues by other Caribbean governments. There are no local-currency-denominated products to mitigate project finance risk. There is also ample room for deepening the shallow capital market, which currently does not provide much scope for project financing by large foreign investors.</t>
  </si>
  <si>
    <t>There is not an explicit dispute resolution system for PPPs. However, in Trinidad &amp; Tobago the High Court of Justice has jurisdiction over all matters involving sums in excess of TT$15,000 and can grant equitable relief such as acclamation injunctions and public law remedies. Steps are currently underway to modernise its procedures, and new Rules of Civil Procedure with case management provisions and docketing of matters came into effect in September 2005. Trinidad and Tobago is a member of the International Center for the Settlement of Investment Disputes (ICSID), which facilitates conciliation and arbitration of investment disputes between contracting states and nationals of contracting states. Trinidad and Tobago has also ratified the New York Convention on the Recognition and Enforcement of Foreign Arbitral Awards, which facilitates the registration and enforcement of foreign arbitral awards between contracting states.</t>
  </si>
  <si>
    <t>All privatisation must go through the National Management and Strategic Investment Office, instead of the Divestment Secretariat. Before, the Divestment Secretariat reported to a minister and then to the Prime Minister, but now the National Management and Strategic Investment Office reports directly to the prime minister. The office is not independent, and its mandate is to represent the government and uphold government policy. However, it partners with independent consultants during the bidding and selection process. Clearly, the development of proper processes and agencies is the main challenge of PPP in Trinidad and Tobago. An important question is if there exists the necessary scale in order to develop the appropriate critical mass of people that would design, evaluate and oversee all the initiatives in the system. The enactment of the Fair Trade Act in 2006 creates some additional checks and balances on government decisions.</t>
  </si>
  <si>
    <t>Generally speaking, there are no restrictions or disincentives to investment. Property rights are protected under the constitution and common-law practice. Secured interests in property are recognised and enforced. Private foreign and domestic entities have the right to establish and own business enterprises and engage in remunerative activity. Under the Companies Ordinance and the Foreign Investment Act, a foreign investor may purchase shares in a local corporation, incorporate or set up a branch office in Trinidad and Tobago, or form a joint venture or partnership with a local entity. Private enterprises and public enterprises are treated equally with respect to access to markets, credit, and other business operations. No expropriation actions have been taken since the 1980s. All prior expropriations were compensated to the satisfaction of the parties involved. There is no indication of policy shifts that might lead to expropriation in the future. The judicial system in Trinidad and Tobago upholds the sanctity of contracts and generally provides a level playing field for foreign investors involved in court matters. Corruption is not a problem in the judicial system. However, due to the backlog of cases, there can be major delays in the process. This risk is also high for arbitration, and the process is costly. As a result, it is imperative for those investing to sign enforceable contracts and use local attorneys. The slowness of the process often dissuades companies from using the courts to resolve issues unless really necessary. Usually companies go to the National Management and Strategic Investment Office first if there is a breach/problem with the contract.</t>
  </si>
  <si>
    <t xml:space="preserve">Even though a PPP legislation does not exist yet, there are some initiatives of private participation in some traditionally state activities that are worthwhile to mention. In general, Trinidad and Tobago has undertaken privatisation of key sectors since the 1990s, including electrical power generation, telecommunication and the postal service. Nevertheless, in the water and the transport infrastructure sector the state maintains public provision and capabilities for developing concessions have not developed. </t>
  </si>
  <si>
    <t xml:space="preserve">There is little experience in concessions in the transport and water sector. Trinidad and Tobago have been able to bring private investment in electricity and telecommunications. In the telecommunications sector, the country was falling behind other English-speaking Caribbean countries on regulatory reform. Nevertheless, it recently was able to solve some critical bottlenecks, like establishing a technically qualify and independent regulator with a policy to promote competition and increase coverage. Although there are some pending challenges, this process shows that the country has the capacity to promote private sector participation in infrastructure with reasonable level of efficiency once the political obstacles have been removed. </t>
  </si>
  <si>
    <r>
      <t xml:space="preserve">Trinidad and Tobago has minimal experience with PPPs for the transport and water sectors specifically. However the governments risk allocation track record for similar PPP projects in other infrastructure sectors is mixed. For example, contracts in the telecommunications sector led to a 40% annual growth in cell phones and new investments of over US$600m </t>
    </r>
    <r>
      <rPr>
        <u/>
        <sz val="10"/>
        <rFont val="Arial"/>
        <family val="2"/>
      </rPr>
      <t xml:space="preserve">in two and a half years. </t>
    </r>
    <r>
      <rPr>
        <sz val="10"/>
        <rFont val="Arial"/>
        <family val="2"/>
      </rPr>
      <t xml:space="preserve">On the other hand, the performance has been mediocre for fixed lines and Internet access. This is in part due to the fact that the government has been unable to unbundle local loops as too much power has been given to the incumbent company. </t>
    </r>
  </si>
  <si>
    <r>
      <t>Mexico does not have an integrated concession or PPP law for infrastructure sectors. The power to issue a concession or contract for infrastructure projects with the private sector rests with different legal bodies for each sector and level of government. State governments have their own legislation and procedures for approval. This heterogeneous framework is inflexible and difficult for promoting private-sector participation in infrastructure.  To correct this situation, PPP contracts, called Service Project Provision (PPS), have been structured by regulations contained in the Public Acquisitions Law</t>
    </r>
    <r>
      <rPr>
        <u/>
        <sz val="10"/>
        <rFont val="Arial"/>
        <family val="2"/>
      </rPr>
      <t xml:space="preserve"> of 1983.</t>
    </r>
    <r>
      <rPr>
        <sz val="10"/>
        <rFont val="Arial"/>
        <family val="2"/>
      </rPr>
      <t xml:space="preserve"> However, this is not adequate for infrastructure investment projects because it does not allow for project modifications. The law also establishes the concept of financial equilibrium, which forces the state to take on risks and increases ex-post opportunism. In the transport sector, federal law grants supervisory roles to the departments within the Ministry of Transport for all steps of every project. In the water sanitation sector, PPS contracts can be offered by municipal firms, which are also responsible for the supervision of each project stage. This sector is much atomised, since each municipality is responsible for service provision. In a few metropolitan areas, larger companies have developed to span several municipalities.  The preservation of the autonomy of the states and municipalities complicates the investment process.</t>
    </r>
  </si>
  <si>
    <t>Mexico requires that all federal-level projects be tendered, although large projects are negotiated directly in certain cases. In general, the bidding process involves ample public notification, even though contracts and their modifications are not always public. There is no obligation to tender or bid out contract adjustments, although the PPS juridical structure prevents additions to PPS contracts. In the case of concessions, additions are financed with contributions from users, although tariff conditions can be modified without independent mechanisms to ensure transparency.  The Public Comptroller’s office conducts audits, but staff members often do not have the technical knowledge to investigate contracts from a regulatory perspective. At the municipal level, the degree of transparency when private-sector participants are involved is low. Indeed, in many cases projects are negotiated with the private sector, and the Municipal Councils do not exercise an adequate supervisory role. Contract changes are common, but without safeguards for equity or transparency.</t>
  </si>
  <si>
    <t>The Mexican institutional system is highly fragmented; each sector and level of government is responsible for planning, implementing and supervising projects. There is no council at the ministerial level that establishes policies and oversees the system. There is no agency to advise on financial or contractual issues, nor is there supervision of service standards and economic regulation. On the other hand, the Ministry of Finance must approve federal level projects, although the ministry still needs to formalise and develop evaluation procedures for fiscal risks and contingencies. This ministry is in charge of the management of the national investment system, which exercises a certain disciplinary role in project supervision and selection.</t>
  </si>
  <si>
    <t>Legislative Decree 1014 (May 16 2008) fosters private investment in public services, primarily water/sewage, electricity, natural gas and telecommunications, by reducing bureaucracy. Title III of the law states that permits for building, expanding or maintaining public services will be granted within 30 days. This clause is linked to the Administrative Silence Law (Law 29060, July 7th 2007) that states that permits and other requirements for investment are automatically granted if the corresponding authority does not issue a response, positive or negative, to the requests within the specified period (ie, administrative silence). The government’s policy of administrative silence, combined with extremely short decision-making periods, reduces the effectiveness of the contributions made by bodies such as the Finance and Economic Ministry and the sectoral agencies. In general, PPP projects are assigned after a bidding process has considered a set of weighted economic factors. Publication and advertisement of contracts and their modifications is part of this bidding process. Limits to contract adjustments have been established. The supervisory authority does not have the power to offer an opinion when changes in the contract are proposed; this is left to the Ministry of Economy and Finance. Foreign companies generally do not face discrimination.</t>
  </si>
  <si>
    <t xml:space="preserve">Macroeconomic indicators have improved since 2003, when the previous administration adopted a fiscal reform programme under the supervision of the IMF. Economic growth was re-established after a period of recessions and weak recoveries in 1998-2002. The new government has signalled that it will maintain the current macroeconomic framework. However, macroeconomic risk is fuelled by structural vulnerabilities. Black market activities, such as smuggling, represent a substantial share of economic output. Reliance on agriculture and royalties from the bi-national hydroelectricity projects of Itaipú and Yacyretá (with Brazil and Argentina, respectively), is substantial. This increases vulnerability to external shocks such as the ongoing global recession, which has led to a significant drop in commodity prices and sharp economic deceleration in Brazil and Argentina. The combination of widespread poverty, growing migration flows to big cities and impunity has also led criminal activity to rise sharply in recent years. </t>
  </si>
  <si>
    <t xml:space="preserve">Compared to its regional neighbours, Paraguay remains relatively stable. Violent civil unrest is rare, but strikes and demonstrations occur often and might cause minor disruption to businesses activities. Inefficient publicly-owned companies limit the capacity for the country's fiscal adjustment, but privatisations will continue to be resisted by the population. </t>
  </si>
  <si>
    <r>
      <t xml:space="preserve">The water sanitation regulator </t>
    </r>
    <r>
      <rPr>
        <u/>
        <sz val="10"/>
        <rFont val="Arial"/>
        <family val="2"/>
      </rPr>
      <t>ERSSAN (</t>
    </r>
    <r>
      <rPr>
        <sz val="10"/>
        <rFont val="Arial"/>
        <family val="2"/>
      </rPr>
      <t>Ente Regulador de Servicios Sanitarios)</t>
    </r>
    <r>
      <rPr>
        <u/>
        <sz val="10"/>
        <rFont val="Arial"/>
        <family val="2"/>
      </rPr>
      <t xml:space="preserve"> </t>
    </r>
    <r>
      <rPr>
        <sz val="10"/>
        <rFont val="Arial"/>
        <family val="2"/>
      </rPr>
      <t xml:space="preserve">sets water prices, which are the same in all urban areas of the country. These prices are heavily subsidised, which means that national state provider, ESSAP (Empresa de Servicios Sanitarios del Paraguay), requires subsidies from the central government for investment. On the other hand, rural areas have a self-management scheme with self-financing. This structure implies that the poorer rural sector pays for water while the richest urban areas are subsidised by the state. Toll roads are low for international standards and have a cross subsidy in favor of interurban buses. </t>
    </r>
  </si>
  <si>
    <t>Panama established the SINIP (Sistema Nacional de Inversión Publica), a national system for public investments, as an evaluation mechanism and oversight body for public investment decisions. The Ministry of Tourism and Finance is linked to the proposal process, which increases its effectiveness. However, this fairly effective framework does not apply to concessions. Procedures have not been established to evaluate contingent liabilities, and decisions for proposing projects are largely political.</t>
  </si>
  <si>
    <t xml:space="preserve">Regulations do not discriminate between bidders by nationality. Although laws do establish procedures for the concession projects to the private sector, they do not specify the need for competency and transparency. Laws do allow for the possibility of modifying contracts and compensating concessionaries for additional works by granting public lands. The process for adjusting tariffs and contracts is unregulated and is left to the discretion of the Ministry of Public Works. Projects are often modified without adequate consideration for the public good. As modifications are often arbitrary because of a lack of regulation, the playing field is generally uneven for private bidders. </t>
  </si>
  <si>
    <t xml:space="preserve">The arbitration procedures available for public and commercial disputes are also available for concessions. However, there is legal ambiguity over the role of justice tribunals during litigation that can affect compensation by the state to the concessionaire. There are no specific laws dealing with nationalisation or expropriation. Panama’s constitution gives the government the right to nationalise property for the public interest, but it must do so through the judicial process and with prior compensation. The government also has the right to intrude on private property without compensation in time of war or other major disturbances, but only for limited periods. No nationalisation of either type has occurred since 1972. Arbitration systems establish a pre-judicial resolution phase, although a lack of transparency can undermine the effectiveness of the mechanism. Panama is a signatory of the International Centre for Settlement of Investment Disputes (ICSID). </t>
  </si>
  <si>
    <t>The process for granting land ownership is extremely complex judicially, and this creates serious difficulties for designing concession projects. Environmental laws have evolved and currently require comprehensive environmental impact studies, although this is a bureaucratic process subject to long delays. Tribunals exist, but their independence is limited and they play a secondary role in securing concessionaires’ rights. Concessionaries often use direct and closed-door negotiations with the executive branch to protect their interests and resolve disputes. The risk of expropriation is limited, but delays often occur because of government decisions that are arbitrary and not transparent.</t>
  </si>
  <si>
    <t xml:space="preserve">Panama’s three highway projects have been poorly prepared from an engineering, environmental and land-planning standpoint. The government has little capacity for project preparation and even less competence in properly awarding projects. This has forced concessionaires to carry out management, permit and planning studies, with the support of the Ministry of Public Works. The incentives for concessionaires to conduct their own planning studies in a well thought-out manner are low because it is easy to renegotiate contract terms after the project has begun. </t>
  </si>
  <si>
    <t>According to data from the World Bank, in the past ten years Panama had a total of three projects in the water and transport sectors. Across the four major infrastructure sectors (ie, water, transport, energy and telecoms), transport concessions represented 29% of all projects and water represented 14%. (Figures do not include management and lease contracts or divestitures. Please note that numbers do not necessarily match explanations for other indicators in this index due to different counting methods and time frames.)</t>
  </si>
  <si>
    <t>Out of 3 projects in the World Bank PPI database for the transport and water sectors, Panama did not experience any cancellations or distress. (Figures do not include management and lease contracts or divestitures. Please note that numbers do not necessarily match explanations for other indicators in this index due to different counting methods and time frames.)</t>
  </si>
  <si>
    <t xml:space="preserve">As a provider of export-oriented services, such as transport and financial services, Panama's fortunes are highly geared to developments in the world economy. Dollarisation, established for a century, has historically reduced macroeconomic risk by fostering price stability and low interest rates. However, it does mean that Panama is unable to use monetary policy as a tool to manage demand when price pressures begin to pick up. The large integrated (domestic and offshore) financial system foments stability, reducing the risk of domestic credit booms and busts. Fiscal policy assumes particular importance in the absence of an autonomous monetary policy, and Panama shows high levels of public indebtedness. The government has introduced legislation tightening fiscal policy, but failure to consolidate on fiscal reform would risk a deterioration in Panama's country risk premium, raising doubts about medium-term debt sustainability. </t>
  </si>
  <si>
    <t xml:space="preserve">Measures to rationalise the taxation system, cut the government bureaucracy and target spending more rigorously have resulted in an improvement in the government finances. The government's ability to take unpopular decisions to address structural weaknesses in the economy benefits from its firm mandate and the majority it has in the Legislative Assembly. However, fierce opposition from the public and workers' unions to government measures to reduce the size and cost of the public sector has lead to compromises by the government on certain key issues, posing a risk to investor confidence in its ability to consolidate on the advances made in placing the public finances on a sustainable footing. </t>
  </si>
  <si>
    <t xml:space="preserve">Structural unemployment is high in Panama, although has been falling steadily since 2003 alongside strong economic growth. The main services industries are generally capital-intensive, while agriculture and manufacturing lack the competitive advantages to sustain large-scale workforces. Many foreign companies operating in Panama will have to deal with a unionised workforce. Violent labour protests occur occasionally, but high unemployment in the recent past has contributed to a decline in overall union membership in recent years. </t>
  </si>
  <si>
    <t>Panama’s government has a fairly good record of meeting obligations to its debt holders. Law 20 of May 2002 modified the use of Panama’s Development Trust Fund (Fondo Fiduciario para el Desarrollo) and allowed the use of the proceeds from privatisations as payment for specific public works, in particular the Panamerican Highway.</t>
  </si>
  <si>
    <t>Panama has well-developed capital markets that can provide financing for medium-term projects. Exchange rate risk is low, as the country’s currency is the US dollar. Panamanian banks may participate in syndicated loans, but they tend to register them abroad to avoid paying a 1% tax levied on all consumer and commercial loans. Several domestic banks, for example, participated in syndicated loans (registered abroad) to finance private participation in the local telecommunications and electricity sectors after both were privatised. Other infrastructure projects, such as the building of the northern or southern corridor toll roads in the capital city, have had to seek foreign financing. Expansion of some ports can also be financed locally, however.</t>
  </si>
  <si>
    <t>At the heart of Panama's financial system, which contributes around 9% of the country's GDP, is the Centro Bancario Internacional (CBI, the International Banking Centre), which developed out of a 1970 banking law permitting offshore operations to be conducted under tight confidentiality and with minimal financial regulation. The banking sector's strong performance in 2004-07, after several years of decline, was spurred by the domestic and regional economy's improved performance. The sector's combined loan portfolio increased to US$44.1bn at end-2007, from US$31.5bn a year earlier. Domestic loans represented 45% of the total. The main sources of long-term financing (that is, with maturity terms of more than five years) are the development banks, whose supply of credit is limited to the lines they obtain from international official lending institutions. Major commercial banks hesitate to offer credit for three years or more. Financial leasing and corporate bond issues are common long-term infrastructure financing techniques. Developers of important infrastructure projects—such as toll roads, railways and port facilities—seek financing on international markets through Eurobonds and credits from multilateral agencies, although some syndicated loans have been constituted locally for port expansion. (Country Finance and Country Profile 2008.)</t>
  </si>
  <si>
    <t xml:space="preserve">Road concession projects do not currently benefit from subsidies. However, a pilot project is under way in which only trucks are charged highway tolls and individuals’ tolls are subsidised by the government. This could be extended to users of public transport. In the water sanitation sector, subsidy schemes are across the board and do not focus on low income groups. However, revenues are insufficient to ensure the conservation of current infrastructure. </t>
  </si>
  <si>
    <t>Government effectiveness is aided by stable government majorities, which have facilitated passage of the government's policy agenda and by consensus across the political spectrum on the maintenance of Jamaica's pro-business environment. A number of reforms over recent years have simplified regulations, improved public-sector procurement policy, eliminated constraints on investment and significantly reduced red tape. This is reflected in the World Bank's 2008 Doing Business report, where Jamaica ranks 11th out of 178 countries for ease of starting a business. There have been very few scandals over public corruption or mismanagement in recent years, but accountability is still a concern. Moreover, within the private sector extortion (linked to criminal dons) is a real problem for many companies, particularly in the construction industry and in the retail trade.</t>
  </si>
  <si>
    <t>In the past decade, the authorities have managed to stabilise the macroeconomic environment, reducing exchange- and interest-rate volatility and bringing inflation down to single-digit levels. However, the sharp fiscal and monetary tightening that this has required has had a dampening impact on growth: over the past decade GDP growth has averaged less than 1% per year. At the same time, accumulated overvaluation of the Jamaican dollar to help contain external debt servicing costs has reduced export competitiveness and diversification. Combined with the huge public-debt burden of around 127% of GDP, Jamaica is as vulnerable as ever to domestic and external shocks. The government will need to maintain fiscal discipline over the next several years to reduce vulnerability to shocks and to put the debt on a more stable footing.</t>
  </si>
  <si>
    <t>The concessions law establishes that the lessor, depending on the type of work or service being concessioned, will award each step of the contract. The auditing entities will be named by the leasing body, and this agency will have the responsibility for overseeing the development of projects, works, services and, when needed, the process of expropriation and control of acquisition of goods by the concessionaire. There is no council or other supervising body with the responsibility for overseeing the delegation process. There are no independent auditors for monitoring concessioned services; the auditors are typically associated with the entity that leases the service or asset. Only very recently has the MOPC begun to create a concession project portfolio of significance.</t>
  </si>
  <si>
    <t xml:space="preserve">Law No 1618 states that a concession can be terminated upon mutual agreement by the private and public parties involved. In this case the public body can only agree if the creditors who have guaranteed project financing give prior approval. The concession contract includes, among other things, the conditions and quality of construction of the service and the devolution of the work upon termination of the concession. As part of the evaluation and bid awards process, projects’ profitability in net present value terms is considered and calculated in accordance with the established specifications of the presented offers. No central concessions authority exists, and projects, in theory, can come from the state through its ministries, municipalities or departments; experience with such projects is, however, often quite limited. In general, private property has been protected as a fundamental right in Paraguay. However, there have been select cases of uncompensated and unjustified expropriation of land in the past few years. </t>
  </si>
  <si>
    <t xml:space="preserve">Financial sector restructuring has facilitated a reduction in the ratio of NPLs to 2.4% in September 2007, down from 27.2% in 1997. A reduction in the cash reserve requirement to 9% in 2002, from 13% in 2000, and a fall in the liquid-assets ratio from 31% to 23% in the same period, have also boosted liquidity, as has the replacement of local banks’ Finsac bonds with government paper paying interest in cash. However, most of the liquidity released is still being channelled into (highly profitable) government debt instruments rather than productive lending. At the end of 2006 about 40% of commercial banks’ assets were in public-sector instruments (including central bank balances). Public-sector debt dominates the small domestic capital market.  The equities market is underdeveloped and is dominated by financial institutions, which account for around 80% of total market capitalisation. </t>
  </si>
  <si>
    <t>The National Water Commission assigns tariffs to urban users, but these barely cover operating costs; infrastructure investment costs are paid by the government. There is no coherent policy for recovering costs for offering subsidies to the poorest segments of the population. Cross subsidies do exist, however, between the tourism sector and domestic and commercial users, as prices are higher and losses lower in the tourism industry. Operating deficits are even larger in rural areas, and in many instances national companies take responsibility for funding rural systems by increasing their deficits. Given such conditions, it is difficult to create private concessions except in new tourism development areas, where there is more revenue potential. A proposed policy aimed at restructuring the sector and improving service management is still awaiting congressional approval.</t>
  </si>
  <si>
    <t xml:space="preserve">Capital markets are underdeveloped. The number of companies trading on Paraguay’s first stockmarket, the Bolsa de Valores y Productos de Asunción (BVPASA), rose from five in 2004 to ten in 2005. In 2005, for the first time, government bonds were launched on the market, at the value of US$167m. At end-2006 there were 33 insurance companies licensed to operate in Paraguay. The top 12 companies account for more than one-half of all premiums. Companies generally protect themselves against risk through reputable international reinsurance firms.  Paraguay has not done a pension reform as other Latin American countries; therefore, the size of the asset managed by private institutional investors is very small. </t>
  </si>
  <si>
    <t>The availability of credit for industrial investment is limited by the short terms of most bank deposits and the poor credit quality of most potential borrowers. The government has tried to address the issue of short deposit terms by introducing differential reserve requirements, with higher levels of reserves required on short-term deposits. The Banco Central del Paraguay (the central bank) pays interest on a portion of these reserve requirements. However, this measure has so far failed to produce the expected effects.</t>
  </si>
  <si>
    <t>The 1992 Constitution weakened the power of the executive. The president cannot issue unilateral decrees and is only allowed to enforce policies unilaterally if Congress fails to address an urgent bill within 660 days. Governance will be weak under Fernando Lugo amid strong political polarisation. Mr Lugo will inherit a system largely dominated by appointees of the Partido Colorado (PC), which may further hamper political effectiveness. Corruption is widespread and Paraguay scores very poorly in the rankings elaborated by various non-government organisations (NGOs). The former government adopted measures to address this problem, including the creation of an on-line government procurement system, and the Lugo administration has taken actions to dismantle corruption nets. However, weak institutions and political patronage have frequently obstructed efforts to reduce corruption, which will remain a problem for Mr Lugo. Red tape will continue to add to the cost of doing business, but there has been significant progress in this area recently.</t>
  </si>
  <si>
    <t xml:space="preserve">In general, the government does not offer demand-based subsidies of basic services for a targeted segment of the poor population; sanitation services are subsidised for the general population. Tariffs are low and do not even pay for replacing the service costs of infrastructure; as a result, there is a chronic deficit that inhibits private participation and equitable access. Public transport is indirectly subsidised by general subsidies for gasoline and the low taxes on diesel. </t>
  </si>
  <si>
    <t>The general legal framework and the constitution protect property rights, requiring compensation in cases of expropriation for public interest reason.  Tribunals have enough prestige and independence to secure reasonable protection for investors. There are general laws that regulate the termination of contracts with the state and which generate a reasonable level of legal security. Mexico has developed a system called Fideicomiso,  which protects creditors’ rights in case of non-compliance by operators or the state in a particular contract. Transfer mechanisms for concessions are complicated and do not allow an expedited exit from a contract for investors. Regulations for obtaining rights of way for road or other infrastructure projects are extremely bureaucratic and often lead to legal paralysis and opportunism by property owners. Environmental and social issues often generate political conflicts as well, which filter through the judicial system, triggering cumbersome and frustrating legal procedures. The use of judicial procedures to delay projects and increase the value of compensation for property owners is widespread.  The government is planning legislation to speed up this process and reduce hold-up risk.</t>
  </si>
  <si>
    <t>The capacity for project planning and development is very limited at all levels of government. Resources are especially limited at the municipal level, which constitutes a significant bottleneck for implementing PPP programs. The efforts and expertise dedicated to supervision of PPP contracts are minimal. The limited human resources dedicated to public works focus on project preparation rather than oversight of service quality. The fiscal adjustment following the financial crisis of the 1990s led to a dramatic reduction in public investment; this reduced significantly the number of engineers working in project preparation at all levels of government</t>
  </si>
  <si>
    <t xml:space="preserve">According to data from the World Bank, in the past ten years Mexico had a total of 62 projects in the water and transport sectors. Across the four major infrastructure sectors (ie, water, transport, energy and telecoms), transport concessions represented 42% of all projects and water represented 16%. (Figures do not include management and lease contracts or divestitures. Please note that numbers do not necessarily match explanations for other indicators in this index due to different counting methods and time frames.) </t>
  </si>
  <si>
    <t>Out of 62 projects in the World Bank PPI database for the transport and water sectors, Mexico had 1 failed/distressed project in transport and 2 failed/distressed projects in the water sector, for an overall failure/distress rate of 4.8%. (Figures do not include management and lease contracts or divestitures. Please note that numbers do not necessarily match explanations for other indicators in this index due to different counting methods and time frames.)</t>
  </si>
  <si>
    <t xml:space="preserve">In general, the federal government has a good track record and fulfills its obligations to PPP projects in a timely manner. The record is more mixed on a sub-national level. However, the structuring of PPP projects usually considers the Fideicomiso as a separate entity managed by a bank trust, to which the government must anticipate the payment of a proportion of future subsidies. The bank trust is responsible for disbursing government subsidies according to the contract specification. This scheme has reduced drastically illiquidity problems for federal and sub-national entities. </t>
  </si>
  <si>
    <t xml:space="preserve">Mexico’s capital markets are well developed and serve institutional investors linked to the pension system, which invests in long-term instruments. Firms and the state have developed debt instruments that are indexed to inflation for the medium and long term to capture resources from institutional investors. There has been only moderate development of risk diversification instruments that are useful for infrastructure projects. Exchange-rate risk hedging instruments are available, but these are largely short-term. Completion risk markets remain underdeveloped. </t>
  </si>
  <si>
    <r>
      <t>The development of concessions for infrastructure services, specifically transport and water, is not a government priority. This explains the relative underdevelopment of the institutional framework. Planning and project preparation is to be done at the sector level by the agency responsible for providing the services. There is a need for a centralised advisory capacity and a board at a ministerial level whereby relevant ministries are involved in strategic decision making. An external regulator yet needs to assume</t>
    </r>
    <r>
      <rPr>
        <u/>
        <sz val="10"/>
        <rFont val="Arial"/>
        <family val="2"/>
      </rPr>
      <t xml:space="preserve"> </t>
    </r>
    <r>
      <rPr>
        <sz val="10"/>
        <rFont val="Arial"/>
        <family val="2"/>
      </rPr>
      <t xml:space="preserve"> the responsibility of overseeing the fulfillment of the service quality commitments and checking that the contract modifications do not transfer rents to the concessioner or cause indirect expropriation of the concession. </t>
    </r>
  </si>
  <si>
    <t xml:space="preserve">The judiciary is inefficient and highly politicised, which means that contractual agreements are often not respected and the protection of property rights is limited. Despite the implementation of the new criminal code at the end of 2002, the judiciary remains politicised—the judicial career law was amended in such a way by the legislature to justify the control of the Frente Sandinista de Liberación Nacional (FSLN)  and the Partido Liberal Constitucionalista (PLC) over the judiciary. The Supreme Court's judges are affiliated to one of these two main political parties. Red tape is pervasive and likely to remain a constraint on investment. There also exists a high risk of political conflict that paralyses litigation. However, mechanisms to obtain rights-of-way for public works projects are obtained easily, which implies that land owners cannot trust the courts to protect their property rights. The Road Concessions Law does not permit the transfer of rights nor does it establish mechanisms to handle previously agreed upon contract terminations. </t>
  </si>
  <si>
    <t xml:space="preserve">There is low transparency surrounding the bidding and selection processes, and contract awards are often decided by political factors. There is an inadequate level of skills in the public sector to handle the technical details of project preparation, selection and planning. </t>
  </si>
  <si>
    <t xml:space="preserve">The concessions laws in place do not establish project selection criteria. In the area of public works, arbitrary decision-making and subjectivity have been used for project assignments. </t>
  </si>
  <si>
    <t xml:space="preserve">There is not enough experience to evaluate risk allocation effectiveness. Nicaragua has not granted concessions of transport and water infrastructure. In the energy sector, where there has been private participation in electricity generation, the risk of indirect expropriation through price freezing is deterring private investment. </t>
  </si>
  <si>
    <t xml:space="preserve">According to data from the World Bank, in the past ten years Nicaragua has had only one project, in the transport sector. Across the four major infrastructure sectors (ie, water, transport, energy and telecoms), this project represented 17% of all projects. (Figures do not include management and lease contracts or divestitures. Please note that numbers do not necessarily match explanations for other indicators in this index due to different counting methods and time frames.) </t>
  </si>
  <si>
    <t>The World Bank PPI database only indicates one concession project in the transport sector, which did not experience any cancellation or distress. (Figures do not include management and lease contracts or divestitures. Please note that numbers do not necessarily match explanations for other indicators in this index due to different counting methods and time frames.)</t>
  </si>
  <si>
    <t xml:space="preserve">Nicaraguan politics is plagued by corruption and nepotism, and the inefficiencies these generate. It is reflected in the arbitrary judicial system, largely controlled by the Frente Sandinista de Liberación Nacional (FSLN), and is perpetuated by the poor pay and incentives for the civil service. Enrique Bolaños (2002-07) was the first president to crack down on corruption. But Mr Bolaños's aim to dismantle the political pact in place between the Partido Liberal Constitucionalista (PLC) and the FSLN since 2000, failed, as it would have hurt the vested interests of both parties. However, with the opposition becoming increasingly united, the pact has come under growing pressure. Donors and international organisations could bring some pressure to bear, but based on political reform proposals at the start of Mr Ortega's term, he will not make any effort to depoliticise state institutions during his five-year term. </t>
  </si>
  <si>
    <t xml:space="preserve">After growing by more than 4% per annum in 2004-07, GDP is set to decelerate markedly as a result of the global downturn, and in particular the recession in the US, Nicaragua's main trading partner, which is a source of investment and home to most of its expatriate workers. The fallout from the international crisis combined with receding confidence in the Ortega government will dampen growth to 1.6% in 2009. On the back of falling oil and food prices, inflation should fall to 12% in 2009 and to 10% in 2010. </t>
  </si>
  <si>
    <t>Demonstrations and civil/labour unrest take place occasionally but are in protest at the national government and poor living conditions rather than private business. High un- and underemployment has weakened the Nicaraguan labour movement, and strikes by workers in private-sector companies are rare. However, the level of unionisation of the public sector is still quite high and workers, particularly in the transport sector, occasionally stage strikes. Although high poverty rates make crime (mostly petty street crime) a growing problem, Nicaragua does not suffer the kind of organised crime experienced in El Salvador, Honduras or Guatemala. The risk of armed conflict is negligible, and poses virtually no threat to business.  (EIU Risk Briefing, January 2009.)</t>
  </si>
  <si>
    <t>Capital markets are underdeveloped in Nicaragua. Private sources offer only limited types of longer-term credit that is generally scarce and expensive, and medium-term finance options are also limited. Although a new Foreign Investment Law (Ley de Promoción de Inversiones Extranjeras—No. 344) approved in April 2000 lifted a previous restriction on foreign companies accessing local financing for medium- and long-term loans, the limited availability of such financing has meant that foreign firms meet their longer-term capital needs either through self-financing or from sources abroad. Non-bank financial institutions and institutional investors are few; Nicaragua’s insurance market remains small and largely centres on property and casualty coverage. The pension-fund sector is mostly limited to the state-owned Nicaraguan Social Security Institute, despite government attempts to open the sector to private investment. Infrastructure projects are thus generally executed and financed by the public sector with funds from multilateral financial institutions. Private-sector management of existing infrastructure has been arranged with concessions, rental payments and investment agreements.</t>
  </si>
  <si>
    <t xml:space="preserve">Infrastructure projects are generally executed and financed by the public sector with funds from multilateral financial institutions. Although a new Foreign Investment Law (Ley de Promoción de Inversiones Extranjeras—No. 344) approved in April 2000 lifted a previous restriction on foreign companies accessing local financing for medium- and long-term loans, the limited availability of such financing has meant that foreign firms meet their longer-term capital needs either through self-financing or from sources abroad. Private-sector management of existing infrastructure has been arranged with concessions, rental payments and investment agreements. </t>
  </si>
  <si>
    <t xml:space="preserve">In the electricity and water sector, those households with low levels of consumption pay lower prices, similar to other countries in the region. This has some limited correlation with poverty, but the government’s subsidy policies need more focus and targeting to poor populations if these are to improve conditions for private sector participation. The absence of a pay-for-service culture and the lack of political will to enforce fees in Nicaragua renders cost recovery difficult for private operators. </t>
  </si>
  <si>
    <t>The Ministry of Transport is the authority responsible for deciding investment in the sector; even so the Ministry of Finance and Planning plays a fundamental role in the selection of concession projects. In the early 1980s, a national investment system was established and administered by the Mimistry of Finance and Planning, which has been strengthened as part of the planning and proposal process.  However, the evaluation processes are less standardised than in the most developed  Latin American countries. In the case of key concession projects, such as the Highway 2000 program, there is no proper economic evaluation of the full project, with the risk that some projects will become “white elephants". The first phase of the Highway 2000 project (Kinston-Montego Bay) has enough traffic to justify the investment, and  the social evaluation of the project  is available online. The remainder of the programme is projected to have lower traffic volumes and very high construction costs, making a full-fledged feasibility analysis essential before undertaking it. For each  project proposal scheme, the Ministry of Finance and Planning only evaluates the budget impact over the next three years. There are no budgetary accounting standards to evaluate project contingencies, nor are such contingencies included in project considerations or planning.</t>
  </si>
  <si>
    <t xml:space="preserve">Jamaica has eliminated regulatory clauses that establish preferences for domestic firms over foreign ones. Indeed, projects of a certain size and complexity are pursued through international appeals, and foreign companies are often the primary bidders. Under the Anglo Saxon legal system, the renegotiation process is not regulated, a fact that introduces an enormous amount of flexibility and government discretion into the process. To guard against excess political discretion, agencies and laws—such as the Fair Competition Act (1992) and the Corruption Prevention Act (2003)—have been created to deter bias. Concessions in the highway, port and airport sectors have progressed with the help of improved supervisory capabilities in bodies separate from, but linked to, the Ministry of Transport and Public Works, which is responsible for supervising these entities. </t>
  </si>
  <si>
    <t>Specific laws for each sector do not establish explicit arbitration mechanisms. Nevertheless, there are no obstacles under the Common Law that prevent the state from using national or international arbitration mechanisms to reconcile disputes. Jamaica has been a signatory to the ICSIS since 1965. Jamaica has also used the Overseas Private Investment Corporation (OPIC), a US government agency, to offer political risk insurance to investors. Dispute resolution through justice tribunals is slow and does not provide an adequate means for resolving disagreements between the state and infrastructure contractors/operators.</t>
  </si>
  <si>
    <t xml:space="preserve">Bidding processes for concessions are centralised in the National Investment Bank, an institution whose mandate is to guarantee proper transparency and promotion in the bidding proposal process. Institutions such as the Fair Trading Commission and the Corruption Prevention Commission generate a certain degree of counterbalance that also improves the transparency of bidding processes. Nevertheless, selecting a preferred bidder in the second phase of the process, where conditions are negotiated, lacks the minimum level of transparency. The Ministry of Housing and Water and the Ministry for Transport and Public Works.are responsible for planning and investment decisions. The Ministry of Transport and Public Works created three national regulatory authorities for concessions: the Toll Road Authority, the National Airport Authority and the National Port Authority. Planning responsibilities fall under the ministry, whereas these decentralised entities focus on administrative and investigative functions for contracts. The interaction between the ministry and each sector regulator generates a certain degree of counterweight for regulation and administration. In the water sector, there are several bodies, state companies, and ministries with overlapping or confusing regulatory, policy, planning and operational responsibilities. The law that separates functions and streamlines regulation has been awaiting approval for several years. Mechanisms for private participation in transport are regulated in an ad hoc manner in respective sectoral laws. The Ministry of Finance and Planning has an important role in defining proposed projects and evaluating their fiscal impact. </t>
  </si>
  <si>
    <t xml:space="preserve">The judicial process is slow, as criminal trials clog the court system and delay commercial dispute resolution. A special commercial court was introduced as early as 2001, but it must be upgraded and streamlined to speed the processing of cases and to facilitate greater specialisation in the field of commercial and financial law by lawyers and judges. Property and contract rights are upheld, but in the event of a dispute resolution is a slow and costly process. Foreign investors, who in general are on a level playing field with domestic businesses, can also refer disputes with local partners for international arbitration. Utility and financial regulation has been strengthened in recent years, as have the powers of the Fair Trading Commission. </t>
  </si>
  <si>
    <t xml:space="preserve">The National Investment Bank has the experience to oversee bidding processes and international participation. Regarding the technical aspects of projects (engineering, economic analysis, environmental studies), the weakest area is in the water and sanitation sector. There is also limited capacity in the transport sector, although the European Union and multilateral agencies have been supporting improvements among the entities that have regulatory and implementation responsibilities. </t>
  </si>
  <si>
    <t xml:space="preserve">Although the law requires that economic variables be evaluated as part of the bidding process, in practice a great degree of political discretion is used.  Indeed, negotiations after the bidding process with the preferred party reduces drastically the discipline of the bidding process.. Road projects, where the auction was based on a minimum subsidy from the government, have been renegotiated many times. </t>
  </si>
  <si>
    <t xml:space="preserve">There is no single, common legal framework for regulating concessions in the transport and water sectors; each sector has specific laws governing concessions. In each sector, legislation authorised the incorporation of the private sector as a provider of services. Specific authorities are responsible for granting licenses. Regulatory responsibilities between the license-granting authority and the national regulatory authorities are split depending on the sector. This produces a heterogeneous framework in which the rules are flexible and subject to change. Jamaica has developed road, airport and port concessions in the transport sector. The country has also developed concessions in the water sector, albeit on a minimal scale. Jamaica’s water resources are regulated in two pieces of legislation—the Water Resource Act of 1998 and the National Water Conservation Act of 1991— which regulate the overall management of water resources with regard to licensing of water permits, basin management and environmental protection. There are several pieces of legislation governing the production and distribution of drinking water and sewerage. The Parishes Water Supply Act permits private participation in the provision of water services at the parish level. The National Water Commission Act of 1980 regulates the operation of the National Water Commission, the entity responsible for providing water and sewerage in the cities. The National Water Act of 2007 transfers oversight responsibilities on quality of water to the Ministry of Health and quality assurance responsibilities to the operators. The Water Act also grants the Ministry of Water and Housing the power to make policy decisions and give instructions to the operators. The Office of Utility Regulation (OUR) Act of 1995 established water supply as one of the utility sectors that is subject to economic regulation; this includes the process used to grant licenses for private operation. There are serious overlaps in the regulation of water supply. There is also the possibility of significant influence from politically motivated decisions by the ministries. These issues make regulation less effective. In addition, there is a lack of political will to break the National Water Commission (NWC) monopoly, which owns most of the licenses in urban areas and is responsible for the quality of water services even if it opts to contract out certain investments or the operation of specific facilities. In the rural areas, each Parish Council is responsible for providing basic services, including drinking water. There are few cases in which these municipal agencies have awarded service contracts to the private sector. For several years now, the government has been discussing with Congress the passage of a Water Supply and Sewerage Act, which would separate the water regulatory role from the contract-awarding role and would eventually break the NWC to allow private operators investing in the sector to come under the supervision of the OUR.
The Ministry of Transport and Works is responsible for defining policies for the development of infrastructure in the transport sector. The ministry also exerts an oversight role for the functioning of all sectoral agencies. In 2002 the government passed the Toll Road Act, a law that established the conditions for PPP projects in the road sector. The toll road authority has oversight responsibility with regard to quality of services, users’ rights and enforcing tolls agreed under the contract. The National Road Operating and Constructing Company (NROCC) was established in 2002 to handle the preparation and bidding of concessions for Plan Highway 2000. The first phase of the plan, an 85km highway between Kingston and Sandy Bay, was awarded to a French company (Bouyguess) for a concession term of 35 years. The government contributed 25% of the investment as a subsidy to the special-purpose company, Transjamaican Highway Limited.  However, financing difficulties obligated the NROCC to go into debt to fund the project, ultimately causing delays and placing excessive risk on the state.   
The Airport Authority Act of 1974 established the regulatory responsibilities of the Airport Authority and a very general framework to delegate activities to the private sector. In 2001 the Airport Authority of Jamaica initiated private contracts for the Montego Bay airport terminal with MBJ Airport International, an international consortium. The consortium is to expand the terminal and the shopping and services areas. Later, in 2002, the Airport Economic Regulation Act granted authorities the power to regulate and designate a private operator for airports under its supervision. The regulation establishes the mechanism for granting a license to the airport operator and rights to levy charges. It also sets transparency requirements. There is no detail, however, on the way charges are levied and licenses are granted. The Port Authority Act of 1972 established regulations for public ports in the country and created the Port Authority of Jamaica, the primary institution responsible for the development and regulation of public ports. The right to grant licenses is established in very general terms. All the regulatory acts do establish in general terms the conditions for granting licenses to the private sector. Therefore, there is no reference to risk allocation between the private operator and the state, nor are there details regarding the mechanism for modification of contracts. 
</t>
  </si>
  <si>
    <t xml:space="preserve">Chile’s contract laws create an effective arbitration system for PPP disputes. A streamlined system resolves disagreements between the state and the private sector with reasonable speed. There also exists a conciliation mechanism that can be used prior to taking disputes to a court. In this system, an arbitration panel offers the possibility of reconciliation between the parties before it serves as a tribunal. The panel also manages the reconciliation phase prior to the jurisdictional phase. However, this mechanism has also increased collusion risk for contract adjustments. It has also increased the risk of contractors using the mechanism to obtain compensation post-contract. Moreover, this arbitration mechanism based on equity grounds (rather than procedures and agreement defined by law) is too flexible and tends to seek intermediate solutions to conflicts, promoting litigation (as it is often possible to get additional benefits to those established in the contract). Authorities have concluded that it is necessary to modify conciliation mechanisms in order to reduce incentives for litigation, protect the integrity of bidding procedures, and guarantee fairness for all participants and a level playing field. The draft law being discussed in Congress establishes a permanent independent experts’ panel as a pre-court conciliation scheme. It also modifies the mechanism to base  arbitration on law and contracts, which strengthens transparency and respect for tendering conditions. However, there is no clarity regarding politicians’ commitment to pass these modifications. </t>
  </si>
  <si>
    <t xml:space="preserve">There is little risk of political interference in the judicial process, whether from government or private interest groups. Contract rights are generally upheld and recognised. The judicial process is usually efficient. Neither the courts nor the government tend to favor domestic companies over foreign ones, and there has been no expropriation of foreign assets. Any alteration to investment recovery rights resulting from acts of excessive government authority may be appealed and are compensated in arbitration courts, which fully guarantee these rights. Early termination of contracts may occur by mutual agreement or if there is a grave lack of fulfillment of the contract. Contracts can be transferred without obstacle to facilitate company exits when necessary. In general, works are not started until a large part of rights of way is secured for the project. The procedure to obtain right of way is reasonably fast as there is an expropriation law that allows reasonable resolution of differences that may arise between the State and the property owner. Involvement of the State Defense Council imposes certain restrictions when contracting lawyer bureaus to represent the lessor. As opposed to Brazil, in Chile the risk that concessionaires will inappropriately take advantage of project renegotiations is higher than government expropriation risk. </t>
  </si>
  <si>
    <t xml:space="preserve">Throughout the nineties, Chile improved its project formulation and preparation capacities. However, after the MOP-Gate corruption scandal landed the minister of Public Works in jail and the ensuing political turmoil caused a reduction in project preparation funding, capacity to effectively develop pre-investment contracting stages clearly deteriorated. Although capacity at the Ministry of Public Works has strengthened since 2006, the capacity to control operations provided under concession contracts remains weak. Sanitary companies’ regulatory capacity is still insufficient and information on operations and management is difficult to obtain, despite the fact that development plans must be redefined every five years. The Ministry of the Treasury serves as an effective counterpart that evaluates contingent liabilities. Although there is a good, long track record of public investment evaluation, its importance in formulation of contracts has weakened. Also, value for money evaluations are not carried out for project concessions. </t>
  </si>
  <si>
    <t>According to data from the World Bank, in the past ten years Chile has had a total of 44 projects in the water and transport sectors. Across the four major infrastructure sectors (ie, water, transport, energy and telecoms), transport concessions represented 53% of all projects and water represented 18% (figures do not include management and lease contracts or divestitures). (Figures do not include management and lease contracts or divestitures. Please note that numbers do not necessarily match explanations for other indicators in this index due to different counting methods and time frames.)</t>
  </si>
  <si>
    <t>Of the 44 projects in the World Bank PPI database for the transport and water sectors, Chile did not experience any cancellations or distress. (Figures do not include management and lease contracts or divestitures. Please note that numbers do not necessarily match explanations for other indicators in this index due to different counting methods and time frames.)</t>
  </si>
  <si>
    <t xml:space="preserve">Although tensions between the economic liberals and the left-wing of the Concertación have never been far below the surface, there is broad policy consensus in Chile, helped by a generally supportive opposition, and a history since the return to democracy in 1990 of co-operation and policy by consensus. Falling poverty levels, along with the most stable and advanced economy in the region, will help to ensure continued policy consensus. This will continue to underpin a mostly co-operative and effective political environment, as the government is working to reduce red tape. Low corruption levels will be reduced further with a civil service reform aimed at increasing accountability and transparency. Strong institutional traditions mean that public officials are generally held accountable for their actions. Chile has a good quality bureaucracy with good implementation capabilities. </t>
  </si>
  <si>
    <t xml:space="preserve">Chile's small, open economy is vulnerable to external shocks. Weaker copper prices will hit the fiscal and current account balances. The global recession and local inflation will dampen GDP growth below 3% in 2009. Monetary tightening should lower inflation to target, but not until 2010. The global credit crisis may cause further peso volatility in the short-term, but the peso is supported by sound economic fundamentals. The tax regime is simple and pro-investment, though tax rates have risen in recent years. Labour market flexibility has diminished since 2002, but by regional standards remains high. Public and private investment in transport and energy infrastructure is scheduled for 2009. </t>
  </si>
  <si>
    <t>Security risk is low. However, since mid-2006, demonstrations by teachers, students, citizens of Santiago and workers (which were rare before 2006) have turned violent on several occasions. With the government's popularity at a low ebb and greater public appetite for protest, further disruptive demonstrations are a risk. That said, the risk of conflict remains low and localised. The labour force in general is peaceful, although union power has increased in recent years, and the incidence of strikes has risen, as Chile's bonanza has raised expectations of greater welfare among poorer citizens and outsourcing of labour has led to grievances.</t>
  </si>
  <si>
    <t xml:space="preserve">Local medium- and long-term loans and bonds tend still to be denominated in UFs (unidades de fomento, an inflation-indexed unit of account). The use of the UF as the unit of account eliminates the inflation risk for lenders, which turned Chile into one of the few emerging countries with a capital market able to offer funding with long maturities. The most common maturities for local bond issues are now five and 21 years, but there is a range of three to 30 years. The largest issue in the history of the local bond market was completed in June 2004 when Vespucio Norte Express, an urban highway concession controlled by Dragados (Spain) and Hochtief (Germany), placed UF16m (US$432m at the time) in 24.5-year bonds with a yield of 5.25%, a spread of just 65 basis points over central bank papers with the same maturity. Demand for this issue, which fully financed the project, reached nearly UF30m, suggesting that the local market can absorb larger issues. </t>
  </si>
  <si>
    <t>As of morning of wed Apr 15. Does not include Paraguay survey or Jamaica</t>
  </si>
  <si>
    <t xml:space="preserve">The law that regulates concessions also establishes the opportunity for investors and operators to take disputes with the state to arbitration, which is regulated by the code of civil procedures. Recourse to judicial tribunals is possible in extreme cases. The Superintendency Law (Ley de Promoción y Desarrollo de la Obras Públicas y la Infraestructura) form  1998 guides these procedures and requires that dispute resolution must involve a conciliation effort by the Superintendence in the first instance. Only after this step has been exhausted can investors and operators bring their case to the courts. The official process for resolving controversies between investors, operators and the state is adequate, but in practice it does not always work well. Investors do have recourse to the International Centre for Settlement of Investment Disputes (ICSID). </t>
  </si>
  <si>
    <t xml:space="preserve">In principle, specific roles have been established for the government entity that contracts out the public service or asset and the entity that finances the concession contract. There have been few cases where the principal revises financial aspects of the contract or makes many additions. The Ministry of Finance has more of an advisory role and directs relevant parties in the use of concession contracting mechanisms. However, the ministry has not developed a formal evaluation scheme for financial risk and contingencies.  </t>
  </si>
  <si>
    <t>The government has limited capacity for project preparation and implementation. That said, the existence of the Superintendency implies that there exists some capacity for contract monitoring and investigation.</t>
  </si>
  <si>
    <r>
      <t>Experience with airport concessions shows that the main factor in awarding such contracts has been the share of project and service revenue captured by the state. This introduces perverse incentives, as companies structure bids to provide high revenue transfers to the state which may jeopardise the profitability of the project.</t>
    </r>
    <r>
      <rPr>
        <u/>
        <sz val="10"/>
        <rFont val="Arial"/>
        <family val="2"/>
      </rPr>
      <t xml:space="preserve"> </t>
    </r>
    <r>
      <rPr>
        <sz val="10"/>
        <rFont val="Arial"/>
        <family val="2"/>
      </rPr>
      <t xml:space="preserve">Furthermore, investors know that the State sometimes has difficulty fulfilling its investment obligations, which can make the bidding system slower and more contentious. </t>
    </r>
  </si>
  <si>
    <t>According to data from the World Bank, in the past ten years Honduras had a total of three projects in the water and transport sectors. Across the four major infrastructure sectors (ie, water, transport, energy and telecoms), transport concessions represented 29% of all projects and water represented 14%. (Figures do not include management and lease contracts or divestitures. Please note that numbers do not necessarily match explanations for other indicators in this index due to different counting methods and time frames.)</t>
  </si>
  <si>
    <t>Out of three projects in the World Bank PPI database for the transport and water sectors, Honduras did not experience any cancellations or distress. (Figures do not include management and lease contracts or divestitures. Please note that numbers do not necessarily match explanations for other indicators in this index due to different counting methods and time frames.)</t>
  </si>
  <si>
    <t>Argentina has the main institutional components required for an efficient concessions system. According to the country’s various concession laws, the entity that is legally responsible for providing the public service also becomes the granting agency which legally authorises the concession and is in charge of the tendering process. National regulating entities have been consolidated to unite previously scattered capacities in each sector and to centralise oversight responsibility for ensuring the quality of services. Approval requirements for fiscal authorities have also been established. However, this institutional design is severely weakened by a lack of independence and effective checks and balances within a larger context of poor service sustainability in the short and medium term.</t>
  </si>
  <si>
    <t>According to data from the World Bank, in the past ten years Argentina has had a total of 27 projects in the water and transport sectors. Across the four major infrastructure sectors (ie, water, transport, energy and telecoms), transport concessions represented 33% of all projects and water represented 20%. (Figures do not include management and lease contracts or divestitures. Please note that numbers do not necessarily match explanations for other indicators in this index due to different counting methods and time frames.)</t>
  </si>
  <si>
    <t xml:space="preserve">Weak institutions are a shortcoming of Argentina's political system. The Kirchners have failed to restore confidence as they have been slow to rectify the setbacks of recent years, prioritising the maintenance political support instead. Government intervention and policy improvisation will increase due to recession, heightening legal and regulatory risk. The government has been forced to liberalise transport and utility tariffs owing to fiscal pressures, but contract security with owners of privatised utilities will be mixed. Regulatory risks to business in the form of compulsory price agreements, which began to be used to combat inflation in late 2005, will continue. </t>
  </si>
  <si>
    <t xml:space="preserve">A recession beckons in 2009 as the wheels came off Argentina's economic model (which saw five years of elevated, but unsustainable growth), buffeted by the escalation of the global financial crisis and recession. Improvised policies, such as the privatisation of private pensions in November 2008, heighten the risk of a disorderly adjustment, with capital flight, devaluation and a default as possible scenarios. Policymakers will seek a weaker real-exchange rate as export competitiveness has been eroded, but managing the process smoothly will prove challenging. Officially, inflation is now 7%, but the government has meddled with the statistics and it is more like 20-25%. Inflation is set to rise as tariffs are freed and subsidies cut and the peso weakens, crimping consumption. A deterioration in fiscal performance will force the government to address financing constraints (including a resolution of "holdouts" from the 2005 debt restructuring and a possible IMF deal) or face a heightened risk of default. </t>
  </si>
  <si>
    <t xml:space="preserve">Argentina has suffered episodes of political instability in the recent past, usually triggered by economic stress. After setbacks since coming to power, the government is weak and with testing political and economic challenges ahead, there is a rising risk of further instability, which could end Cristina Fernández de Kirchner's term prematurely. </t>
  </si>
  <si>
    <t xml:space="preserve">The 1988 Constitution establishes the power to contract public services to the private sector. However, it establishes preferential treatment for Brazilian companies and restricts the percentage of foreign workers in a company. In practice, foreign companies must associate with local companies in order to participate in tendering. PPP laws do not establish limits for contract changes, nor do they establish bidding and evaluation requirements for their additional works. The GCP publishes information on proposed PPP projects and also details their stages of development. There are no evaluation requirements independent from the agency negotiating the changes in contract. </t>
  </si>
  <si>
    <t xml:space="preserve">Brazil’s courts have struggled to protect investor rights, especially foreign investors, in state-controlled sectors of the economy. The judiciary’s lack of technical knowledge about PPP project issues, their dependence on political power, and the long period necessary for procedure resolution all inhibit private investment in infrastructure. The PPP legal framework from 2004 allows the use of arbitration as a mechanism to resolve controversies between the state and the private sector. The law specifies that early termination due to grave non-compliance of the contract by the private sector will lead the state to recuperate the assets. However, early termination of the contract by the state for public interest reasons will lead to compensation to creditors. Termination due to reasons related to the public interest can occur while maintaining indemnity rights for the contractor, and a public authority’s actions to one-sidedly terminate the lease may be appealed. Overall, expropriation risks are higher than the risk that the lessee may hold the authority as a hostage. However, international jurisdictions are not accepted, although Brazil has signed the New York Convention on Dispute Resolution. </t>
  </si>
  <si>
    <t>Criteria used to award lease contracts are mainly economic, although technical criteria are also considered. Yet the bias in favor of economic criteria, such as rate quotes for services or short-term subsidy offers to end-users, is not necessarily the most effective method, especially in the case of highways and airports. Another problem is that firms selected for a second round of bidding may engage in tenders that are conducted aloud in an auction-like style, after economic offers have been submitted in writing, reducing the transparency and objectivity of the bids established through the latter method in the first round.</t>
  </si>
  <si>
    <t>According to data from the World Bank, in the past ten years Brazil has had a total of 105 projects in the water and transport sectors. Across the four major infrastructure sectors (ie, water, transport, energy and telecoms), transport concessions represented 30% of all projects and water represented 16%. (Figures do not include management and lease contracts or divestitures. Please note that numbers do not necessarily match explanations for other indicators in this index due to different counting methods and time frames.)</t>
  </si>
  <si>
    <t xml:space="preserve">As is always the case with Brazilian administrations, the ruling coalition in the Lula government is comprised of a range of generally undisciplined political parties. This means that reforms will often need to be diluted or exchanged for concessions elsewhere. The level of competence among senior officials is high, but lower down, the civil service is often inefficient. The government is attempting to upgrade skills in the civil service by hiring better qualified staff but fiscal constraints will restrain progress. Political appointments by the Workers' Party (Partido dos Trabalhadores—PT) have made inefficiencies worse in some areas. Red tape increases the cost of doing business. Clientelism and a lack of accountability foster corruption at all levels, creating inefficiency, lack of trust and an uneven playing field for business. Measures taken so far to tackle these problems have been weak. </t>
  </si>
  <si>
    <t xml:space="preserve">Improved policies have stabilised macroeconomic variables and reduced Brazil's vulnerability to external shocks. Strict adherence to an inflation targeting regime has been instrumental in stabilising prices and reducing inflationary expectations. Greater macroeconomic stability and a deepening of credit markets are laying the basis for a gradual broadening of growth. Nonetheless, domestic economic conditions in 2009-10 are expected to lead to much lower rates of economic growth, a weaker exchange rate and a wider currency account deficit on the back of recessionary global economic conditions. The transformation of the external accounts and the accumulation of a large cushion of foreign reserves will help to contain currency volatility, which, nonetheless, is projected to remain high in 2009-10 in the face of the ongoing global credit crunch. Still-high, albeit declining, interest rates, mainly reflecting a still-large public sector borrowing requirement, will continue to constrain investment. </t>
  </si>
  <si>
    <t xml:space="preserve">Changes in laws in the last 4 years established new requirements for public bidding; specifically, law 240 from 2006 established new norms of transparency for public purchase, public works and concessions projects.  Even though this law does lay out transparency rules, in practice processes remain opaque. Publication or modifications of contracts is not necessary. The rules of reciprocity and rules on promoting national industries established by the Law of Public Purchases effectively restrain participation by foreign companies, and national companies tend to form consortiums. In practice, most public investment and concession projects are awarded by means of a bilateral negotiation process, which stands in the way of transparency. </t>
  </si>
  <si>
    <t xml:space="preserve">The Public Purchases Law establishes several stages for dispute resolution. A primary stage of direct negotiations is indicated, then arbitration and finally appeal to the administrative contentious courts is made. Arbitration systems must also be specified in each contract. There exists scant independence of administrative courts and no mechanism for arbitration proceedings  are nor defined explicitly  Without schemes for formal conciliation and direct negotiation between disputing parties, collusion risk between investors and the government agency exist, which  could damage public interests or increase the likelihood of expropriation of the contractor’s interests. </t>
  </si>
  <si>
    <t xml:space="preserve">Decision-making processes and negotiations are highly politicised. The same public contracting framework which defines general level procedures for public contracts and works also governs infrastructure concessions. This makes it difficult to generate the minimum capacities and design necessary for a PPP institutional system to function properly and ensure efficient investment activities and procedures. The Secretariat of the Treasury attempts to counterbalance to the existing PPP system but these attempts have lacked political clout. Law 240 of 2006 created a new Secretary of Economy and Planning to provide at least some checks and balances inside the government. However the biggest issue is now enforcement., as the Secretariat’s project evaluation responsibilities are mostly nominal. Nevertheless, the government has sent a PPP bill to Parliament that would substantially improve the institutional framework, if passed and implemented properly. </t>
  </si>
  <si>
    <t xml:space="preserve">Policymaking is likely to shift further to the left under the new constitution, with harsher operating conditions for foreign companies in Ecuador. Strong rivalry between coastal and highland political and economic elites, and strong demands for regional autonomy, especially in Guayaquil, will also undermine stability. Party politics are volatile and unpredictable. However, the position of Rafael Correa, the president, has been bolstered by the suspension of the opposition-dominated Congress in 2007 and the approval of the new constitution. Bureaucratic procedures are generally cumbersome and beset by red tape. Corruption is widespread, and many government appointments are made on the basis of personal connections rather than competence. Generally, law enforcement is weak or politically motivated. Amnesties for past misdeeds are also relatively common, and often granted according to political expediency. As the judiciary is subject to political pressure, court proceedings are a common means of obstructing government legislation. </t>
  </si>
  <si>
    <t xml:space="preserve">The leverage of trade unions has declined in recent years, with notable exceptions in the oil and electricity sectors, where they are powerful. Strikes and protests by unions in these sectors often cause widespread disruption. Indigenous groups in remote areas have stepped up pressure on foreign oil and mining companies in pursuit of environmental or economic objectives, seizing dozens of oil wells and suspending production in recent years. Popular demonstrations are a common form of political protest and frequently involve disruptive roadblocks. Foreigners are not explicitly targeted but their presence is rarely welcome. </t>
  </si>
  <si>
    <t xml:space="preserve">Although a liquid local-currency denominated debt market does not currently exist, infrastructure projects generally are executed and financed by the public sector with funds from multilateral financial institutions or development banks. The Multisectoral Investment Bank (Banco Multisectorial de Inversiones), a legally separate institution, also now offers medium- and long-term credit to commercial banks. The creation of the bank, which was helped along with a US$100m credit from the Inter-American Development Bank, has increased the availability of longer-term financing in conjunction with dollarisation. Although this has allowed El Salvador’s savings-and-loan associations and financieras to upgrade to full-fledged banks, multilateral agencies still play an important role in government and infrastructure financing. CDC Capital Partners (part of Commonwealth Development Corp, the British government’s instrument for investing in the private sector in developing economies) is an important source of medium- and long-term funding for businesses in areas such as energy generation, telecommunications, transport, mining and tourism. </t>
  </si>
  <si>
    <t xml:space="preserve">The government still controls the prices of some goods and services, including liquefied propane gas, public transport and electricity. Government ministries also directly subsidise water services and establish the distribution-service tariff. In 2007, despite some street protests, the Saca administration started pushing for the decentralisation of water services, opening the door for private-sector administrators. However, these subsidies are not properly focused for target populations in the water and sanitation sector and tend to use cross-subsidy or short-term subsidy mechanisms. Tariffs are offered to a greater degree in consolidated urban areas rather than in more impoverished ones. </t>
  </si>
  <si>
    <t xml:space="preserve">Article 130 of Guatemala’s constitution provides that the state should protect the market economy, prohibiting all types of monopolies and privileges that would restrict market freedoms. President Alvaro Colom is generally perceived to be pro-business and a supporter of the market economy. Guatemala does not have a general concessions law or a PPP statute, but the Ley de Contrataciones del Estado of 1992 establishes four articles of a general nature that permit tenders for projects under concession. The Constitution compels each contract, and any modifications of a contract, to be approved by Congress. The Constitution also establishes the mechanism for expropriating land and requires payment prior to taking possession, which makes it difficult to secure land for infrastructure projects. This allows land owners to postpone the transfer of land ownership and use for construction until price negotiations have fully closed, whereas ideally land occupation and price issues are dealt with separately). Each contract defines regulations of the concession, leading to instability; projects are subject to political negotiation that delay approval or elevate costs for the government. Nonetheless, Congress has approved in the first instance a PPP law that could significantly improve the regulatory framework for private participation in transport, water and drainage infrastructure. </t>
  </si>
  <si>
    <t xml:space="preserve">Concession projects are part of a process that is highly political. Generally speaking, there is no system for accounting of government contingent liabilities or comparative analysis of concession projects with public projects. Neither are there rules for accounting for deferred payments associated with investments that are in line with accounting for public investments.  </t>
  </si>
  <si>
    <t xml:space="preserve">Responsibility for the concessions management process is excessively concentrated in the hands of the executive secretariat of the National Concessions Council. However, this secretariat has limited technical capacity, its directors are frequently changed and boasts few qualified personnel. This results in poorly prepared projects that generate multiple conflicts with concessionaires in the long-term. </t>
  </si>
  <si>
    <t xml:space="preserve">The law establishes reasonable criteria for awarding projects. Unlike other legal frameworks in the region, a primary criterion to be used is the project’s present value of revenue which is the best way to handle awards, especially for highway and airport projects. However, a minority of projects have been tendered out using this criterion. Tariffs have also been used as criteria as well as state participation levels, both with fixed duration length.  Although these are not the best variables, they are nonetheless objective ones that generate reasonable levels of transparency during the tender process. </t>
  </si>
  <si>
    <t>According to data from the World Bank, in the past ten years Costa Rica has had a total of 5 projects across the water and transport sectors; however, these were exclusively in the transport sector. Across the four major infrastructure sectors (ie, water, transport, energy and telecoms), transport concessions represented 31% of all projects. (Figures do not include management and lease contracts or divestitures. Please note that numbers do not necessarily match explanations for other indicators in this index due to different counting methods and time frames.)</t>
  </si>
  <si>
    <t>Out of 5 projects in the World Bank PPI database for the transport and water sectors, Costa Rica did not experience any cancellations or distress. (Figures do not include management and lease contracts or divestitures. Please note that numbers do not necessarily match explanations for other indicators in this index due to different counting methods and time frames.)</t>
  </si>
  <si>
    <t>Government effectiveness is moderate, with legislative paralysis a common complaint. The government generally espouses open, liberal and pro-business policies, and has actively encouraged foreign investment. However, there will continue to be some exceptions, such as a general antipathy to privatisation. The slow nature of the passage of legislation is Costa Rica's main weak point. Congress has a great deal of constitutional power, and as in recent years with the Partido Acción Ciudadano (PAC), opposition parties can hold up and delay legislation for long periods. Congressional oversight is very strong, and Congress fragmented, which leads to delays in legislation. Bureaucratic delays will also remain a problem, especially for firms establishing an initial presence in the country. Corruption is low, but became more visible following the brief imprisonment of two former presidents on corruption-related charges.</t>
  </si>
  <si>
    <t xml:space="preserve">Costa Rica does not have a precedent of leaving its obligations to concessionaires unpaid. The Economist Intelligence Unit gives the country a  “B” sovereign debt risk rating. </t>
  </si>
  <si>
    <t>In Costa Rica, the capital market is largely an incipient one and funds accumulated in complementary pensions and investment institutions do not exceed 15% of GDP. The majority of these resources are invested in public instruments, bank debt and foreign securities. The corporate debt market is only just getting off the ground, although there is a vibrant private and public banking sector that takes part in financing medium-term projects (albeit with a limited capacity to invest in infrastructure).</t>
  </si>
  <si>
    <t xml:space="preserve">The limited supply and high cost of medium- and long-term credit for foreign companies has led most firms to seek US-dollar-denominated finance abroad. Medium- and long-term capital is scarce in Costa Rica, largely because of the attractiveness of short-term financial investments and uncertainty regarding inflation. Infrastructure projects are generally executed and financed by the public sector, with funds from multilateral financial institutions or development banks. The authorities have begun to turn some existing infrastructure over to private management, sometimes in partial return for investment commitments. These projects have not used special financing techniques. </t>
  </si>
  <si>
    <t>In the water and sanitation sector there are subsidised tariffs for all population segments, which makes the development of the system difficult from a financing perspective. The government also tends to use cross subsidies (where high charges are set above marginal cost levels for certain users to "subsidise” lower charges for others below the marginal cost of provision) and up-front subsidies (which are used to finance short-term investments meant to expand or improve existing infrastructure).</t>
  </si>
  <si>
    <t>The Dominican Republic does not have any specific concessions laws. All concession contracts must be approved by Congress, giving political considerations much influence over project selection and execution decisions . Once a project has been approved, it is regulated in general terms under the Law for Public Purchases and Acquisitions 360-06. This Act establishes that each principal is responsible for supervising the various stages of a concession project. The legal framework compels regulations to be established for each contract, resulting in the instability of rules governing private participation. The law obliges the contract to explicitly assign the main risks of an infrastructure project to participant parties and requires financial-economic balance for projects, referencing a project’s internal rate of return (IRR). This implicitly transfers commercial risks to the state. Another downside is that no independent project supervision is required from entities other than the principal. A fragmented system of public works supervision has been created, as the head of the agency responsible for public works has a Ministerial title and 50% of its funds come from the Ministry of Public Works. Congress is currently debating a Concessions Law that would reduce fiscal discipline and introduce additional inequities in the competitive environment. Nevertheless, at the beginning of 2009 the government also sent a new bill to Congress that would substantially improve the country’s regulatory framework.</t>
  </si>
  <si>
    <t xml:space="preserve">Recent reforms in the organisation of the state oblige the Secretariat for Economy and Planning to check the social implications of infrastructure projects. However, there is no obligation to compare concessions with public investments. Nevertheless, examinations of project implications on economic and social issues are not followed and the selection process is fundamentally political. A system does not exist for measuring contingent contractual liabilities associated with projects. </t>
  </si>
  <si>
    <t xml:space="preserve">Government regulations for evaluating public investments theoretically apply to concession projects, but in reality such considerations do not have a strong influence over decisions for public-private partnerships. An established system for assessing passive contract contingencies does not exist, and subsidies for the investment component of concession projects are not allowed. </t>
  </si>
  <si>
    <t xml:space="preserve">Official bidding requirements for concessions explicitly require proper publication and transparency. The Defence and Promotion of Competition Law (Ley para la Defensa y Promoción de Competencia, Legislative Decree 357/2005) created a special commission to monitor economic concentration in different sectors and ensure competition. This Commission for the Defence and Promotion of Competition (Comisión para la Defensa y Promoción de la Competencia) was set up in mid-2006 after the law came into force. In 2007 it responded to nine reports of anti-competitive practices and was supposed to help open up both state-dominated markets and private monopolies; in practice, however, Honduras lacks proper transparency in public works tenders and bids and by end-May 2008, the commission had not made significant progress in improving competition levels. As a requirement for entering the Dominican Republic–Central American Free-Trade Agreement (DR-CAFTA), Congress passed legislation to override a previous law that required firms be at least 51% Honduran-owned to participate in government-procurement activities. However, it is common for foreign firms to partner with local companies to bid. In theory, there is independent supervision of contract compliance. Overall, the development and regulation of concessions has been poor, especially for airport projects. </t>
  </si>
  <si>
    <t>The Modernisation Act of 1993 establishes the possibility of commercial arbitration. It also makes courts responsible for handling matters derived from “acts of the Administrative Authority” (i.e. government imposed fines, elimination of toll booths, or early termination of a concession). The constitution establishes that arbitration proceedings between the state and private parties should be confined within the law, with a prior announcement by the Attorney General. In addition, the new constitution prevents international arbitration between the state and private persons and bodies. Ecuador has already rejected the World Bank’s dispute-resolution body, the International Centre for the Settlement of Investment Disputes (ICSID); instead, it proposes to work through the Centre for Arbitration and Mediation in Santiago, Chile. Rafael Correa, the president, has argued that ICSID is biased against the interests of developing countries, and he has proposed the creation of a South American Union (Unasur) arbitration centre.</t>
  </si>
  <si>
    <t xml:space="preserve">Contractors and regulating agencies have moderate planning, preparation, and supervision capacities. They also boast the experience of having developed one of the largest private concessions processes in the developing world (in magnitude of investment and diversity of sectors). </t>
  </si>
  <si>
    <t xml:space="preserve">Regulations require competitive tendering and use of objective economic valuations to select project winners. However, in Argentina it has been common for bidding processes to be uncompetitive and to lack transparency. During the bidding process, non-economic factors are discretionally weighted, greatly influencing project selection. Evidence of this can be found in the fact that over the past ten years, most investments have been renegotiated. </t>
  </si>
  <si>
    <t>0-100, 100=best</t>
  </si>
  <si>
    <t>Indi Full</t>
  </si>
  <si>
    <t>Normalised score / 100</t>
  </si>
  <si>
    <t>FORE05</t>
  </si>
  <si>
    <t>IsZip</t>
  </si>
  <si>
    <t>Revenue per member, US$</t>
  </si>
  <si>
    <t>PEN02</t>
  </si>
  <si>
    <t>SECOND FORECAST</t>
  </si>
  <si>
    <t>LRPM01</t>
  </si>
  <si>
    <t>LMEM01</t>
  </si>
  <si>
    <t>LREV01</t>
  </si>
  <si>
    <t>ECONETRIC FIR</t>
  </si>
  <si>
    <t>YEAR</t>
  </si>
  <si>
    <t>Year 2 (Y2)</t>
  </si>
  <si>
    <t>Year 3 (Y3)</t>
  </si>
  <si>
    <t>Year 4 (Y4)</t>
  </si>
  <si>
    <t>Year 5 (Y5)</t>
  </si>
  <si>
    <t>ASUMMPTIONS</t>
  </si>
  <si>
    <t>BigCity Penalty</t>
  </si>
  <si>
    <t>FLAT PENETRATION</t>
  </si>
  <si>
    <t>RATE</t>
  </si>
  <si>
    <t>-</t>
  </si>
  <si>
    <t>FLAT_RATE PEN (%)</t>
  </si>
  <si>
    <t>Y2</t>
  </si>
  <si>
    <t>Penetration</t>
  </si>
  <si>
    <t>Revenue</t>
  </si>
  <si>
    <t>Y3</t>
  </si>
  <si>
    <t>Y4</t>
  </si>
  <si>
    <t>Y5</t>
  </si>
  <si>
    <t>Gross revenue, US$</t>
  </si>
  <si>
    <t>Revene per member</t>
  </si>
  <si>
    <t>Argentina</t>
  </si>
  <si>
    <t xml:space="preserve">Chile </t>
  </si>
  <si>
    <t>Colombia</t>
  </si>
  <si>
    <t>Costa Rica</t>
  </si>
  <si>
    <t>Ecuador</t>
  </si>
  <si>
    <t>El Salvador</t>
  </si>
  <si>
    <t>Guatemala</t>
  </si>
  <si>
    <t>Honduras</t>
  </si>
  <si>
    <t>Jamaica</t>
  </si>
  <si>
    <t>Nicaragua</t>
  </si>
  <si>
    <t>Panama</t>
  </si>
  <si>
    <t>Paraguay</t>
  </si>
  <si>
    <t>Peru</t>
  </si>
  <si>
    <t>Uruguay</t>
  </si>
  <si>
    <t>Venezuela</t>
  </si>
  <si>
    <t>AR</t>
  </si>
  <si>
    <t>CL</t>
  </si>
  <si>
    <t>CB</t>
  </si>
  <si>
    <t>CO</t>
  </si>
  <si>
    <t>CR</t>
  </si>
  <si>
    <t>DR</t>
  </si>
  <si>
    <t>DO</t>
  </si>
  <si>
    <t>EC</t>
  </si>
  <si>
    <t>SV</t>
  </si>
  <si>
    <t>GU</t>
  </si>
  <si>
    <t>GT</t>
  </si>
  <si>
    <t>HD</t>
  </si>
  <si>
    <t>HN</t>
  </si>
  <si>
    <t>JM</t>
  </si>
  <si>
    <t>NC</t>
  </si>
  <si>
    <t>NI</t>
  </si>
  <si>
    <t>PN</t>
  </si>
  <si>
    <t>PA</t>
  </si>
  <si>
    <t>PG</t>
  </si>
  <si>
    <t>PY</t>
  </si>
  <si>
    <t>PE</t>
  </si>
  <si>
    <t>UR</t>
  </si>
  <si>
    <t>UY</t>
  </si>
  <si>
    <t>VZ</t>
  </si>
  <si>
    <t>VE</t>
  </si>
  <si>
    <t>CountryID</t>
  </si>
  <si>
    <t>COUNTRY_ID_INTER</t>
  </si>
  <si>
    <t>COUNTRY_ID</t>
  </si>
  <si>
    <t>COUNTRY</t>
  </si>
  <si>
    <t>LEGF</t>
  </si>
  <si>
    <t>Legal and regulatory framework</t>
  </si>
  <si>
    <t>LEGF01</t>
  </si>
  <si>
    <t>0-4, where 0= best and 4 = worst</t>
  </si>
  <si>
    <t>0</t>
  </si>
  <si>
    <t>LEGF02</t>
  </si>
  <si>
    <t>LEGF03</t>
  </si>
  <si>
    <t>Speediness of judicial process</t>
  </si>
  <si>
    <t>LEGF04</t>
  </si>
  <si>
    <t>IDEV</t>
  </si>
  <si>
    <t>World Bank</t>
  </si>
  <si>
    <t>PENV</t>
  </si>
  <si>
    <t>MACR</t>
  </si>
  <si>
    <t>Currency devaluation risk</t>
  </si>
  <si>
    <t>Foreign investors' access to local capital markets</t>
  </si>
  <si>
    <t>Marketable debt</t>
  </si>
  <si>
    <t>Dependent variables</t>
  </si>
  <si>
    <t>BACK03</t>
  </si>
  <si>
    <t xml:space="preserve">2007 project investment </t>
  </si>
  <si>
    <t>Country profile, benchmark scores</t>
  </si>
  <si>
    <t>Country profile, key indicators</t>
  </si>
  <si>
    <t>ACTIVE SECTION</t>
  </si>
  <si>
    <t>Default</t>
  </si>
  <si>
    <t>Neutral (each category equal)</t>
  </si>
  <si>
    <t>User defined#2</t>
  </si>
  <si>
    <t>User defined#3</t>
  </si>
  <si>
    <t>User defined#4</t>
  </si>
  <si>
    <t>User defined#5</t>
  </si>
  <si>
    <t>WEIGHT_PROFILE_ID</t>
  </si>
  <si>
    <t>XX_Offset</t>
  </si>
  <si>
    <t>XX_Mult</t>
  </si>
  <si>
    <t>XX</t>
  </si>
  <si>
    <t>EACH OF THE SECTIONS</t>
  </si>
  <si>
    <t>ACTIVE INDICATOR</t>
  </si>
  <si>
    <t>BACK04</t>
  </si>
  <si>
    <t>DEPE</t>
  </si>
  <si>
    <t>DEPE01</t>
  </si>
  <si>
    <t>DEPE02</t>
  </si>
  <si>
    <t>DEPE03</t>
  </si>
  <si>
    <t>DEPE04</t>
  </si>
  <si>
    <t>Background data</t>
  </si>
  <si>
    <t>Investor protection index</t>
  </si>
  <si>
    <t>Time to settle a dispute</t>
  </si>
  <si>
    <t>Hostility to foreigners/private property</t>
  </si>
  <si>
    <t>BACK05</t>
  </si>
  <si>
    <t>BACK06</t>
  </si>
  <si>
    <t>BACK08</t>
  </si>
  <si>
    <t>BACK09</t>
  </si>
  <si>
    <t>BACK10</t>
  </si>
  <si>
    <t>BACK11</t>
  </si>
  <si>
    <t>spare</t>
  </si>
  <si>
    <t>OVERALL</t>
  </si>
  <si>
    <t>Summary</t>
  </si>
  <si>
    <t>Cancelled / distressed projects (percent of projects)</t>
  </si>
  <si>
    <t>Cancelled / distressed projects (percent of investment)</t>
  </si>
  <si>
    <t>Caribbean</t>
  </si>
  <si>
    <t>Central America</t>
  </si>
  <si>
    <t>South America</t>
  </si>
  <si>
    <t>"Do regulations establish efficient planning frameworks and proper accounting of contingent liabilities? Have regulators determined appropriate project planning and cost-benefit analysis techniques to ensure that a PPP is the optimal project financing and service provision option? Does the Budget Office systematically measure contingent contractual liabilities and account for delayed investment payments in a way consistent with public investment accounting?"</t>
  </si>
  <si>
    <t>“Do regulations unfairly favour certain project bidders and operators over others?  Do regulations require and establish competitive bidding (i.e. use of objective criteria during the selection process, requiring the publishing of necessary bidding documents, contracts and changes in contracts)? Do regulations require bidding for any significant, additional work necessary? Is a system established for independent  oversight of such renegotiation procedures and conditions?"</t>
  </si>
  <si>
    <t>Consistency and quality of PPP regulations</t>
  </si>
  <si>
    <t>Effective PPP selection and decision making</t>
  </si>
  <si>
    <t>Public capacity to plan and oversee PPPs</t>
  </si>
  <si>
    <t xml:space="preserve">Methods and criteria for awarding projects </t>
  </si>
  <si>
    <t>Regulators' risk allocation record</t>
  </si>
  <si>
    <t>PPP contract, hold-up and expropriation risk</t>
  </si>
  <si>
    <t>Fairness/openness of bids, contract changes</t>
  </si>
  <si>
    <t>Experience in transport &amp; water concessions</t>
  </si>
  <si>
    <t>Capital market: private infrastructure finance</t>
  </si>
  <si>
    <t>This is the weighted sum of the following indicator scores: 
1) Consistency and quality of PPP regulatory framework; 2) Efficiency of PPP project selection and decision processes;
3) Fairness and transparency of PPP bidding and contract changes; 4) Dispute resolution mechanisms</t>
  </si>
  <si>
    <t>This is the weighted sum of the following indicator scores: 
1) Quality of institutional design; 2) PPP contract enforcement, hold-up and expropriation risk</t>
  </si>
  <si>
    <t>This is the weighted sum of the following indicator scores: 
1) Political distortion; 2) Business environment; 3) Social attitudes towards privatisation</t>
  </si>
  <si>
    <t>Does the government regularly fulfill obligations for PPP contracts or use liquidity guarantee schemes to reduce non-payment risk?</t>
  </si>
  <si>
    <t>Government payment risk</t>
  </si>
  <si>
    <t>This is the weighted sum of the following indicator scores: 
1) Government payment risk; 2) Maturity of capital markets; 3) Marketable debt; 4) Government support for low-income users</t>
  </si>
  <si>
    <t>This is the weighted sum of the following indicator scores: 
1) Public capacity for project preparation and oversight; 2) Efficiency of methods and criteria for awarding PPP project bids; 3) Regulators' risk allocation and financial enhancement record; 4) Experience with transport and water concessions; 5) Quality of transport and water concessions</t>
  </si>
  <si>
    <t>Quality of transport and water concessions</t>
  </si>
  <si>
    <t>highest=best</t>
  </si>
  <si>
    <t>0-100, where 100= worst and 0=best</t>
  </si>
  <si>
    <t>Latinobaromtero survey 2007; LAPOP survey
Trinidad &amp; Tobago figures were estimated using survey data from Transparency International</t>
  </si>
  <si>
    <t xml:space="preserve">This indicator shows the number of transport and water concession and Greenfield projects in the past ten years (1997-2007) </t>
  </si>
  <si>
    <t>This indicator shows the % distress/failure rate of transport and water concessions and Greenfield projects over the past ten years (1997-2007)</t>
  </si>
  <si>
    <t>Double click text cells to read full explanations</t>
  </si>
  <si>
    <t>Country profile w. normalised scores</t>
  </si>
  <si>
    <t xml:space="preserve">Raw data </t>
  </si>
  <si>
    <t>Direction</t>
  </si>
  <si>
    <t>4=best 0=worst</t>
  </si>
  <si>
    <t>lowest=best</t>
  </si>
  <si>
    <t>100=best 0=worst</t>
  </si>
  <si>
    <t>0=best 100=worst</t>
  </si>
  <si>
    <t>0 = no securities market in fixed rate financing over one year;
1= govt securities market with only short maturities
2 = govt is fostering medium term market and it should be in place soon;
3= yes but only for public-sector (govt bond) issuers;
4 = yes for both public and private sector issuers</t>
  </si>
  <si>
    <t>Statement</t>
  </si>
  <si>
    <t>Cents on the dollar claimants recover from an insolvent firm</t>
  </si>
  <si>
    <t>0.000</t>
  </si>
  <si>
    <t>NORMAL BACKGROUND</t>
  </si>
  <si>
    <t>Description</t>
  </si>
  <si>
    <t>Defintion</t>
  </si>
  <si>
    <t>Country data and background</t>
  </si>
  <si>
    <t>Country comparison</t>
  </si>
  <si>
    <t>Rank / 19</t>
  </si>
  <si>
    <t>Cost recovery after bankruptcy</t>
  </si>
  <si>
    <t>Time in years</t>
  </si>
  <si>
    <t>EIU Risk Briefing. Assesses the extent to which the legal process/the courts can be interfered with or distorted to serve particular interests.</t>
  </si>
  <si>
    <t>EIU Risk Briefing. Assesses the extent to which the judicial process is speedy and efficient.</t>
  </si>
  <si>
    <t xml:space="preserve">EIU Risk Briefing. Assesses the risk of exchange rate volatility. </t>
  </si>
  <si>
    <t>EIU Risk Briefing. Assesses the risk of a major currency devaluation.</t>
  </si>
  <si>
    <t>EIU Risk Briefing. Assesses the level of restrictions on foreign companies gaining access to local capital markets.</t>
  </si>
  <si>
    <t>Composite of the individual indicators in this category</t>
  </si>
  <si>
    <t>World Bank Private Participation in Infrastructure database</t>
  </si>
  <si>
    <t>% of projects cancelled from 1990-2007</t>
  </si>
  <si>
    <t>% of investment cancelled from 1990-2007</t>
  </si>
  <si>
    <t>% of total PPPs from 1990-2007</t>
  </si>
  <si>
    <t>World Bank. This indicator measures the strength of minority shareholder protections against misuse of corporate assets by directors for their personal gain.</t>
  </si>
  <si>
    <t>Time in days</t>
  </si>
  <si>
    <t xml:space="preserve">World Bank. This indicator measures the time in days to settle a dispute related to the sale of goods </t>
  </si>
  <si>
    <t xml:space="preserve">Concessions' share of infrastructure PPPs </t>
  </si>
  <si>
    <t>Weighted sum of indicator scores.  0 - 100 where 100 = best and 0 = worst</t>
  </si>
  <si>
    <t>Scoring</t>
  </si>
  <si>
    <t>Average of the World Bank's disclosure, director liability and shareholder suits indices (0-10 where 10=best)</t>
  </si>
  <si>
    <t>TT</t>
  </si>
  <si>
    <t>Trinidad &amp; Tobago</t>
  </si>
  <si>
    <t>Dispute resolution mechanisms</t>
  </si>
  <si>
    <t>INST</t>
  </si>
  <si>
    <t>Institutional framework</t>
  </si>
  <si>
    <t>INST01</t>
  </si>
  <si>
    <t>INST02</t>
  </si>
  <si>
    <t>Operational maturity</t>
  </si>
  <si>
    <t>OPER</t>
  </si>
  <si>
    <t>OPER01</t>
  </si>
  <si>
    <t>OPER02</t>
  </si>
  <si>
    <t>OPER03</t>
  </si>
  <si>
    <t>OPER04</t>
  </si>
  <si>
    <t>OPER05</t>
  </si>
  <si>
    <t>Investment climate</t>
  </si>
  <si>
    <t>INVT</t>
  </si>
  <si>
    <t>INVT01</t>
  </si>
  <si>
    <t>INVT02</t>
  </si>
  <si>
    <t>INVT03</t>
  </si>
  <si>
    <t>??</t>
  </si>
  <si>
    <t>Business environment</t>
  </si>
  <si>
    <t>Social attitudes towards privatisation</t>
  </si>
  <si>
    <t>FINC</t>
  </si>
  <si>
    <t>FINC01</t>
  </si>
  <si>
    <t>FINC02</t>
  </si>
  <si>
    <t>FINC03</t>
  </si>
  <si>
    <t>END</t>
  </si>
  <si>
    <t>ENDX</t>
  </si>
  <si>
    <t>ENDX03</t>
  </si>
  <si>
    <t>Spare</t>
  </si>
  <si>
    <t>0-4, where 4=best and 0=worst</t>
  </si>
  <si>
    <t>0=Agencies do not have any of the necessary expertise or experience;
1=Agencies have very limited project expertise and experience;
2=Agencies have some project planning, design and financing expertise or experience;
3=Agencies  generally have the necessary comprehensive project planning, design and financing expertise and experience;
4=Agencies have the necessary expertise and experience and effectively regulate the sector on a consistent basis</t>
  </si>
  <si>
    <t>0=Risk allocation has been clearly biased;
1=Risk has been allocated fairly in only a few select occasions, and there has been almost not use of hedging or insurance instruments;
2=Risk is usually distributed fairly between state and the operator, but insurance,  guarantees and performance bonds are almost never used to diversify project risk;
3=Risk has been fairly distributed and guarantees and performance bonds are used, though financial enhancement practices do not yet take full advantage of the market available;
4=Risk has been consistently allocated correctly between the state and the private sector, with extensive and effective use of financial instruments</t>
  </si>
  <si>
    <t>0=The government never fulfills project obligations;
1=The government occasionally fulfills obligations, and third parties rely heavily on groups such as MIGA to provide project assurance;
2=The government usually fulfills obligations;
3=The government usually fulfills obligations, and provides some minimal guarantees to investors;
4= The government has an excellent track record of fulfilling obligations, and provides strong guarantees to investors</t>
  </si>
  <si>
    <t>PPP projects are incorporated into the Public Investments Evaluation System only at the end of the decision making process and only if it is necessary to approve any future government commitments. Deferred payments linked to concession investments are generally not accounted for properly. Therefore, there is a high risk that projects will be selected in order to improve the outlook on government budgets rather than for technical, quality-related reasons. Nevertheless, Act 448 of 1998 establishes obligations for state bodies to finance a Contractual Contingencies Fund depending on which government resources are at risk and the likelihood of a contingency occurring. In an attempt to mitigate perverse incentives and encourage concessions, Act 1169 of 2007 was passed requiring each project involving a commitment of future funds to estimate “future fiscal expenditures” and submit them for approval by the CONFIS council (Consejo Superior de Politica Fiscal). This Council establishes maximum allocations for state bodies’ future annual expenditures and is obliged to report the size of fiscal resources committed in the budget for each year. These rules mean that any bias in the investment accountancy with a deferred payment can be corrected.</t>
  </si>
  <si>
    <t xml:space="preserve">Although the law compels projects to be put out to tender, tendering has recently been split into two parts. One part is made up of a “basic component,” which is put out to tender, and a second, “progressive component”, which is negotiated directly once demand justifies the additional investment. Such direct negotiations, combined with the option of enlarging works using the “Private Initiative Scheme” under the new 2008 regulations by the Ministry of Transport, could potentially enable a scenario whereby concessions get expanded significantly for some time without  proper market tests. </t>
  </si>
  <si>
    <t>In Colombia, the Supreme Court is impartial and well respected while the lower levels of the judiciary and civil service are susceptible to corruption and intimidation. The concession mechanism (Act 80) establishes arbitration proceedings to resolve conflicts between concessionaries and the state. This scheme, together with the obligation to keep concessions financially balanced in the event of any unforeseen economic conditions, has created a very favorable and flexible system for contractors. It effectively enables a project’s commercial risks to be passed on to the state, irrespective of what has been explicitly established in contracts. The system lacks any sort of technical dispute resolution system.</t>
  </si>
  <si>
    <t xml:space="preserve">The Ministry of Transport’s concessions unit, Instituto Nacional de Concesiones de Costa de Colombia—INCO), plans, carries out studies and administers and supervises contracts. There are no institutions that provide a counterbalance to this unit; contracts or any modifications to them are not published and there is no independent regulatory body that oversees service quality. On the other hand, municipalities and regional departments may also grant concessions with approvals from their corresponding legislatures; all of the functions of implementation and supervision are concentrated in the same decentralised body. The Treasurer and the Budget Office, as well as the Planning Board, in reality do not play a significant oversight and filtering role in sector initiatives. </t>
  </si>
  <si>
    <t>Tender criteria have evolved in Colombia from a minimum tariff or subsidy to the use of expected revenue (with flexible deadlines) to award concessions. However, for recent projects, flexible deadlines for revenue calculations have forced negotiation of a large proportion of the total work. This ultimately negatively effects the integrity of tender processes.</t>
  </si>
  <si>
    <t xml:space="preserve">Honduran politics are notoriously open to corruption, and legislation is slow to pass through Congress. In recent years legislation has been held up in Congress by factions within the major parties. Governments tend to lack a congressional majority so rely on support from minority parties to pass legislation, which can slow reform. Government attempts to pursue liberal, pro-business policies are sometimes blocked by vested interests in the legislature. The authorities' desire to maintain popular support militates against fiscal reform. Some judicial, financial sector and tax reforms have been passed and there is a general consensus among the main parties of the need to tighten political accountability and transparency further and deepen financial sector reform. The central bank has maintained an independent stance, which has shored up investor confidence. </t>
  </si>
  <si>
    <t xml:space="preserve">The Honduran economy has enjoyed firm growth over the past five years, but this is weakening in the context of recession in the US. Private-sector confidence is underpinned by family remittances from overseas (mostly the US), but undermined by high levels of corporate debt, tight credit conditions and high levels of poverty and unemployment. Recent trade accords and confidence provided by multilateral debt relief offer the possibility of investment-led growth in the long run. High crime rates constrain rapid growth in tourism. Although inflation has been falling since mid-2008, in line with weakening commodity prices, a weakening of the currency could put renewed pressure on prices. There is considerable concern over the sustainability of quasi-fixed currency given the country's wide fiscal and current-account deficits. The volume of government borrowing in the domestic market is likely to rise as credit dries up and government financing requirements rise in 2009-10, crowding out the private sector. </t>
  </si>
  <si>
    <t xml:space="preserve">The government faces stiff challenges in dealing with the economic slowdown in 2009 and its impact on social prospects. IMF-supported economic reforms are unpopular with many voters, and pressure is likely to continue on the government to increase fiscal spending. Unionised workers have taken intermittent industrial action over pay and conditions in recent years. The disparity between public- and private-sector pay has formed a focus of strikes by public-sector workers. Despite new pay deals having been reached, relations with public-sector workers remain strained. The risk that unrest will escalate into a full-blown governability crisis is low but cannot be ruled out. Political stability will also remain threatened by high violent crime rates. </t>
  </si>
  <si>
    <t>Honduras has not been able to develop a capital market that would allow for significant issuance of financing instruments needed for infrastructure projects in local currency. Pension reforms have, however, established a voluntary system complementary to the state’s pension system, providing a potential pool of investment capital. The stock market no longer operates because of a lack of confidence from market participants. The government generally taps funding from multilateral institutions or development banks in order to move forward on infrastructure projects.</t>
  </si>
  <si>
    <t>In Honduras, it is still difficult to obtain longer-term capital and medium-long term loans, which private commercial banks do not offer. The government generally taps funding from multilateral institutions or development banks in order to move forward on infrastructure projects. New lines of credit for private-sector financing no longer are available from correspondent banks or international financial organisations. Options for financing investment projects are limited for companies lacking access to such funds and without their own international financial network. Larger foreign firms tend to rely on parent-company financing for long-term needs.(Country Commerce and Country Finance 2008.)</t>
  </si>
  <si>
    <t>The judiciary is highly politicised and bribery is a major problem. Property rights are protected by legislation but enforcement is weak. There is effectively no competition or anti-trust law enforcement. Regulators are subject to political pressure, a phenomenon that has worsened by the new constitution’s concentration of power in the executive branch. The new constitution also establishes through Article 422 the authority to disregard international court ruling on contractual or commercial controversies between the state and private legal bodies. As a result, foreign companies are taking legal action against the government, claiming that unfair decisions and unilateral contract cancellations have damaged them. The government is now defending itself in seven major arbitration cases. The potential size of claims has led the International Monetary Fund to warn Ecuador that it must consider setting funds aside to cover compensation costs. However, the Ecuadorean authorities are playing down the threat of possible legal defeats in the International Centre for the Settlement of Investment Disputes (ICSID).</t>
  </si>
  <si>
    <t xml:space="preserve">Ministries and Public Services generally lack the technical skills appropriate for developing concession projects. CONAM (Consejo Nacional de Modernización del Estado) does not have executive, advisory or technical capabilities.  Highway projects have been renegotiated or they have failed as a result of project deficiencies. For example, the concession of Quito airport, undertaken by the municipality in consultation with agencies responsible for service, was granted without conducting any environmental studies or permits. Another example is the Pan-American Highway, the contract for which had to be modified several times. This ultimately increased costs and raised the compensation provided by the government to the private sector, exposing the inadequacy of project submissions by the Ministry of Public Works. Planning in the water sector has been carried out more smoothly, but this largely due to a programme financed by the World Bank which has generated the appropriate technical capacity to develop projects and contract operations to municipalities. </t>
  </si>
  <si>
    <t xml:space="preserve">Concession tenders in most infrastructure sectors have been negatively affected by a lack of transparency and the arbitrary choices resulting from the non-economic and non-technical factors which play a key role in decision making. This is especially the case for port projects. It is common for negotiations to be held after the tender in order to determine the conditions of the concession. Generally, there has been little competition in the bidding processes. Furthermore, the selected bidder is usually involved in a long process of negotiation on economic and service conditions. In part, this is due to the insufficiency of the studies presented during the bidding process. </t>
  </si>
  <si>
    <t xml:space="preserve">In general, PPP projects have been granted under a regulatory framework in which the concession’s financial equilibrium must be maintained beyond what is established in the contract. The incentive to renegotiate based in the general principle of keeping the financial equilibrium has caused constant modifications to tariffs and service levels after a project is launched. This has frequently resulted in risks normally undertaken by the private sector to be transferred to the state. This was the case for the Pan-American Highway and Quito airport projects. However, government authorities may be changing their willingness to bear these risks and even comply with terms specified in concession contracts; recently, the international Manta Port operator unilaterally ended the contract as a result of a purported noncompliance by the state. </t>
  </si>
  <si>
    <t>According to data from the World Bank, in the past ten years Ecuador has had a total of 12 projects in the water and transport sectors. Across the four major infrastructure sectors (ie, water, transport, energy and telecoms), transport concessions represented 61% of all projects and water represented 6%. (Figures do not include management and lease contracts or divestitures. Please note that numbers do not necessarily match explanations for other indicators in this index due to different counting methods and time frames.)</t>
  </si>
  <si>
    <t>Out of 12 projects in the World Bank PPI database for the transport and water sectors, Ecuador did not experience any cancellations or distress. (Figures do not include management and lease contracts or divestitures. Please note that numbers do not necessarily match explanations for other indicators in this index due to different counting methods and time frames.)</t>
  </si>
  <si>
    <t xml:space="preserve">Sharp increases in government spending and the extension of subsidies under the Correa administration have compounded economic distortions and increased dependence on oil revenue. Government intervention in the economy has been increasing, reflecting the state-led development model enshrined in the new constitution. The business environment will be further impaired by heavy handed regulation of the private sector. Dollarisation in 2000 had brought inflation down to developed country levels (although high food prices drove annual rates to 10% in 2008), but the failure to advance structural reforms has also exposed an underlying lack of competitiveness. The administration has stated its intention to maintain dollarisation, but the mounting fiscal and financing difficulties following the sovereign default and the expected sharp decline in oil revenue and remittances, markedly increase the risk to its sustainability. </t>
  </si>
  <si>
    <t>Recently, a trend towards noncompliance with contractual agreements between the state and private operators has been observed. The cancellation of Occidental Petroleum Company’s contract in May 2006 marked a new low in investor relations with the Ecuadorean government; the US government regarded the seizure of the company’s assets as an unprecedented confiscation. In October 2008 Rafael Correa, the president, ordered the expulsion of the Brazilian construction company Norberto Odebrecht from Ecuador. Odebrecht did not accept the compensation set by Mr Correa and its managers were expelled within 48 hours, hurting economic relations with Brazil.</t>
  </si>
  <si>
    <t xml:space="preserve">The main source of corporate financing in Ecuador comes mainly from commercial banks. Ecuador has a very small securities market in which the corporate sector can only float short to medium-term issues (of two to three years). The Ecuadorian market is dollarised, reducing exchange rate risk, and banks can give loans up to ten years to the domestic corporate segment. The government regularly intervenes in the credit market with regulations on interest rates and interest rate margins per sector. The number of brokers has declined sharply, by almost half, over the last decade. </t>
  </si>
  <si>
    <t xml:space="preserve">A liquid, medium-term local-currency debt markets does not exist in Ecuador due to weak macroeconomic conditions; in December 2008 the government decided to call a default in on US$3.2bn in global bonds. The Correa administration will struggle to win the co-operation of bondholders for the restructuring it hopes to achieve—a "haircut" of up to 70%—and will have difficulty attracting the funds needed to finance the fiscal deficit, which is expected to rise as oil revenue declines much faster than spending (especially in 2009). </t>
  </si>
  <si>
    <t>Subsidies for basic services are general for all users, serving as an obstacle to cost recovery. This limits the advantages and likelihood of private participation, as tariffs are commonly set lower than the marginal development costs per user. This leads to significant project and government budget deficits, generating adverse macroeconomic outcomes and market distortions.</t>
  </si>
  <si>
    <t>After Mexico, El Salvador has the most developed capital market in Central America, housing an institutional investment market for corporate debt instruments that are normally traded on the local capital markets. The size of the funds accumulated in pension funds, annuities and other investment vehicles is close to 30% of GDP. El Salvador was one of the first countries in the region in developing private pension funds and a linked annuities market for pensions. There is also a market for primary issues of corporate debt; other Central American issuers not located in the country have floated issues in El Salvador thanks to the relative deepness of the market. However, the domestic capital market is not involved in project financing. The main issuer in this market is the state and the banking sector. El Salvador’s public-sector Banco Multisectorial de Inversiones (BMI) provides medium- and long-term credits through commercial and development banks. It tends to target the economy’s strongest sectors. BMI gives preference to projects proposed by the private sector which are to be executed within national territory, preferably to companies whose production is destined for the foreign market and does not involve any adverse environmental impacts. As members of the new individual capitalisation pensions system retire, an annuities market will evolve that will depend on long-term debt issues. The Salvadoran economy is dollarised, so currency risk is low. Still, there are important limitations to the development of project financing of large projects at a local level.</t>
  </si>
  <si>
    <t xml:space="preserve">The country’s first and original concession contract law dates from 1967. It was modified in 1989 to allow states and municipalities to use it and also to regulate private project initiatives; since the early nineties, this framework has enabled over 10,000 kilometers worth of highways to be contracted to private providers as well as railway projects, ports, and sanitary services. However the need to maintain financial equilibrium was often used to re-negotiate contracts and obtain post-contract compensation for private sector operators. In 2000, a new law was passed to facilitate projects where the government finances over 40% of investment through deferred payments and private concessionaires provide services. Regulating entities were also established through sector specific laws for both transport and water sectors to supervise tariff levels and ensure service quality. Additionally, Law 1299 of 2000 and Decree 678 of 2001 established an infrastructure development trust fund to guarantee future fiscal commitments with concessionaires. </t>
  </si>
  <si>
    <t>In Argentina, contract decisions have been highly politicised. During the nineties, when the majority of public services were contracted, the government favored maximising short-term fiscal revenues over other bidding criteria. For example, highway contracts set 12-year project terms, with payments to the government as the main project award criteria. However, the Infrastructure Trust Fund creates reserves for future fiscal contingencies, which is a step in a positive direction. Toll charges were also frozen after the currency devaluation and as a result of the deterioration in Argentina's investment climate, which ultimately led to a general worsening of service levels. This service quality decline also had a spillover effect into other elements of concession projects, negatively affecting contract management decision processes especially.</t>
  </si>
  <si>
    <t xml:space="preserve">Concession renegotiations have been initiated in the past by both the state to reduce tariff and service levels, as well as by the concessionaires in response to adverse economic situations. Changes to project details initiated by either party are anticipated in original contracts. Furthermore, the metrics used to award contracts (lowest tariff offered, without guaranteeing minimum traffic levels), do not create internal mechanisms that allow to cover for risk of demand fluctuations. Financial instability created by long periods with high interest rates has also affected projects and caused renegotiations of investment agreements; this has exposed the potential inadequacy of contract award mechanisms and risk allocation rules. Risks derived from unilateral government contract modifications should also be treated differently from those originating from commercial factors. On the positive side however, a focus on cost recuperation and conservation of infrastructure limited the renegotiation costs and increased projects’ profitability. Currently there is a capital market deep enough to allow the restructuring of financing and cover different types of project risk (though the use of the available instruments has been limited). The economic equilibrium concept should also take less precedence in the new generation of concession projects since the 2004 law was passed, as it encourages a better allocation of risks ex ante and ex post. </t>
  </si>
  <si>
    <t>Brazil’s 2004 PPP law creates a fund to guarantee state obligations, a move which significantly improves the security and liquidity of government payments to concessionaires. However, the country has a modest debt risk rating, a “BB” by Economist Intelligence Unit standards.</t>
  </si>
  <si>
    <t>Brazil has the largest capital market in size and liquidity for the entire Latin America and Carribean region. Overall, Brazil represents the largest insurance market in Latin America and ranks 20th globally (by total premiums in 2005), according to the latest information from the National Federation of Private Insurance Companies (Federação Nacional das Empresas de Seguros Privados e de Capitalização—FENASEG). The pension sector is divided between public and private entities. Reforms passed in recent years are gradually spurring the growth of private pension funds. Mutual funds remain the preferred investment vehicles in Brazil. Interest rate and exchange rate hedging instruments are readily available for foreign investors. The National Bank for Economic and Social Development (Banco Nacional de Desenvolvimento Econômico e Social—BNDES) is the major source of medium- and long-term federal credit for companies operating in Brazil. Both domestic and foreign-owned firms are eligible for BNDES financing, and it has made a particular commitment to financing privatised infrastructure in telecoms, petroleum and electricity. Thus, financing in local currency can be obtained for both project construction and operation needs.</t>
  </si>
  <si>
    <t>Similar to other countries in the region, Brazil offers cross subsidies (where high charges to certain users "subsidise” low charges for others) in drinking water, for which the price depends on consumption levels and user characteristics. However, average tariffs are not set correctly so as to ensure the financial sustainability of the service. In the case of roads and highway prices, the toll charges are insufficient to finance the necessary replacement of road gravel every few years. Maintaining service standards in the long term will require significant subsidies and investment.</t>
  </si>
  <si>
    <t>Out of 27 projects in the World Bank PPI database for the transport and water sectors, Argentina had 3 failed/distressed projects in transport and 4 failed/distressed projects in water and sanitation, for an overall failure/distress rate of 26%. (Figures do not include management and lease contracts or divestitures. Please note that numbers do not necessarily match explanations for other indicators in this index due to different counting methods and time frames.)</t>
  </si>
  <si>
    <t>Out of 105 projects in the World Bank PPI database for the transport and water sectors, Brazil had 4 failed/distressed projects in transport and 0 failed/distressed projects in water and sanitation, for an overall failure/distress rate of 3.8%. (Figures do not include management and lease contracts or divestitures. Please note that numbers do not necessarily match explanations for other indicators in this index due to different counting methods and time frames.)</t>
  </si>
  <si>
    <t xml:space="preserve">Tendering processes use transparent contracting methods and employ efficient economic criteria to award projects. For any additional, important works, construction is tendered separately and the Ministry of the Treasury independently evaluates changes in project contracts. The ministry has also established a council with external board members that recommends contract changes to the Minister of Public Works. </t>
  </si>
  <si>
    <t xml:space="preserve">Institutional frameworks have some deficiencies, as the current system lacks necessary institutional checks and balances and has limited transparency. This is especially true with regards to contract renegotiations and service standards compliance. Excessive power is also concentrated in the Ministry of Public Works’ General Contracting Coordinating Office; this entity promotes projects, co-ordinates their preparation, and supervises project construction and operation. It is even the manager and granting agency for projects from other ministries and municipalities. Nevertheless, the creation of a Contract Council to advise the Ministry of Public Works has generated a certain degree of independence for supervising contract modifications. The Ministry of the Treasury plays an active role in the evaluation of project fiscal impacts, but there is no formal public information system on long-term fiscal commitments resulting from the contractual management of public works. Sector-specific institutions also exist; for example, the Ministry of Transport participates in a National Council (SEP) that supervises port projects. The Superintendence of Sanitary Services establishes rates and controls service quality in the water sector; this institution has some technical competence and increasing autonomy. The Ministry of Economy has regulatory responsibilities in the water sector as well, approving tariff changes of the water concessions. Regional companies in this sector, with government capital, act under the private law framework as they are considered to be corporations. Although permanent expert panels in the electricity sector have been effective in resolving differences between the comptroller and contractors, their use has not been extended to the water sector. </t>
  </si>
  <si>
    <t xml:space="preserve">In recent years, the Contracting General Co-ordinating Office has used the net present value criteria as the single variable for awarding contracts in the transport sector, once experience and technical quality requirements have been met. Despite the limited supervision of contract renegotiations, the selection of higher quality project bids over those with larger economic offers to the government and better political sway prevents later complications to some extent. The contract awarding mechanism is very transparent, and there is adequate publicity of contracts and contract modifications. A similar situation exists in the sanitary and port sectors, where records of project bidding schemes and process transparency are spotless. </t>
  </si>
  <si>
    <t>In the transport sector, a contractual system has been formed in which the state limits demand risk by guaranteeing minimum traffic. The demand risk is undertaken by capital contributors, and then by the State through an explicit guarantee in the contract. Long-term bonds for US$5,000m have been issued with private credit enhancement in order to access the local capital market. Use of the present value of future revenue limits demand risk for capital contributors as well as ex post renegotiation incentives.  Exceptionally, traffic guarantee mechanisms have been used in order to sustain capital profitability for projects that were not profitable; however, this practice was recently eliminated.</t>
  </si>
  <si>
    <t xml:space="preserve">The state generally meets its obligations to contractors; the latter may obtain bank financing with payment commitments issued by the Contracting Co-ordinating Office and ratified by the Ministry of the Treasury. </t>
  </si>
  <si>
    <t>There is a deep and liquid capital market for debt and equity instruments. Hedging instruments are reasonably available and developed, although the international financial crisis has affected monoliners and recovery of the credit enhancement market is uncertain. Chile has developed a real estate investment fund industry that facilitates obtaining capital for infrastructure projects.</t>
  </si>
  <si>
    <t xml:space="preserve">The government has established a demand subsidy scheme focused on low-income families for the first 20 m3 of water consumption. The government has also structured tollbooths in a way that subsidises interurban public transportation. The most important refinement to the subsidy is that it does not apply to the higher-income university student population. Additionally, it has recently structured lease contracts for the development of public transport corridors in which the state makes differed payments  to the concessionaire. Pollution and congestion problems, combined with the fact that these corridors are used by the poorest 40% of the population, means that this new development policy is well-focused. </t>
  </si>
  <si>
    <t xml:space="preserve">Personal security is a concern for business because of a high level of violent crime, with a particularly serious problem of organised crime in Rio de Janeiro, São Paulo and other large cities. Political protests tend to be peaceful, apart from isolated clashes in rural areas, mainly between the landless workers' movement (Movimento dos Trabalhadores Rurais Sem Terra—MST) and local security services loyal to landowners. MST land invasions have tended to increase in frequency since 2003 but have little overall impact on property rights or the conduct of business. </t>
  </si>
  <si>
    <t xml:space="preserve">Brazilian firms usually seek dollar financing when they need to borrow long-term funds, because local credit is limited and generally more expensive. The volume of local bond issues in 2007 amounted to R43.5bn, down substantially from R69.5bn in 2006, according to the Securities Commission (Comissão de Valores Mobiliários). There were a total of 43 issues over the course of the year, slightly below the 47 issues placed in 2006. Large, well-known companies can tap both local and international bond markets, though both remain limited sources of funds and subject to bouts of financial volatility. </t>
  </si>
  <si>
    <t xml:space="preserve">Chile has a well-structured investment evaluation system; however, in recent years some concession projects have acquired a political element which has weakened the evaluation system. No formal system exists for comparing concession-based project options to the public investment alternatives. Nor does the public accounting system consider deferred payments the same way as public investment. Therefore, a bias exists in favor of using concessions and contractual mechanisms to improve the government’s books. </t>
  </si>
  <si>
    <t xml:space="preserve">In Colombia, the legal system is reasonably able to ensure private persons’ rights as well as resolve conflicts. The laws do not permit contracts to be assigned to others, thus making it difficult for international investors to extricate themselves from a project in the event that this becomes necessary. There are no compensation clauses in the event that a contract should expire.  </t>
  </si>
  <si>
    <t xml:space="preserve">Though the Supreme Court is regarded as being reasonably independent, the judiciary is weak and prone to corruption,. The national business lobby has won tax and regulatory concessions and overt discrimination against foreign companies is minor. The entry into force of DR-CAFTA in March 2007 provides increased protection against such discrimination. Yet on a more general level, the risk that a contract will not be enforced remains moderate, making it difficult to enforce PPP contracts with the state. Nevertheless, in the case of the concession of the highway to Samaná, in spite of tolls’ costliness, the contractor was able to charge the tariffs promised. The government has also complied with its contractual obligations despite the fact that the project was fundamentally funded with a minimum traffic guarantee far in excess of real traffic volumes. This guarantee was in reality a hefty ex-post contract subsidy. In other sectors such as electricity, companies have had difficulties recuperating service costs and this has led to what is known as “financial rationing”, because the generators only dispatch what is actually paid by the electricity generating companies. The courts have not endeavored to enforce such contracts, a reflection of the country’s the moderately poor contract enforcement environment. Protection of private property is fairly effective. </t>
  </si>
  <si>
    <t xml:space="preserve">There is limited capacity at the planning offices of the Secretariat for Transport and Public Works when it comes to formulating PPP project plans. Nevertheless, the Viadon programme involves a concession of a network of highways and places great emphasis in recouping and maintaining the standard of the roads, which is always a significant issue in the country. This is a well-designed project and is tailored to actual demand. However, serious restraints exist regarding the financial aspects of the contract. One big bottleneck is that most projects are propelled by a unit called OPRET (Oficina Para el Reordenamiento del Transporte)  that reports to the Presidency. It has recently suggested and called tenders for the concession of a new line of Metro without any prior reasonable technical studies concerning demand. The first line of Metro in Santo Domingo transports one third of the forecasted demand.  This is exemplary of the lack of technical capacity of OPRET and the bodies involved in many of the country’s proposed projects. </t>
  </si>
  <si>
    <t>As part of the DR-CAFTA agreement, the Dominican Republic modified in 2006 the legal framework for public purchases, contracting of public works and concessions. It did this by establishing new transparency and public bidding requirements. Unfortunately these have not been well implemented in the past few years, as the enforcement of this new legislation has been especially weak in the infrastructure sector. Nor are the award criteria established in the Public Purchases Law optimal for highway concessions. For example, the present value of revenue is not included and the award mechanisms are arbitrary and opaque. For the sole highway project in which the government estimated minimum traffic to guarantee a project, subsidy transfers ended up being at least three times the toll revenue.</t>
  </si>
  <si>
    <t xml:space="preserve">The Constitution requires that any disputes resulting from unilateral actions by the government be submitted to the Administrative courts. Technical matters may be addressed through amicable commercial mediation proceedings. The courts generally do not have the capacity, independence or speed to resolve complex technical problems. Commercial mediation proceedings (for example, through the Chamber of Commerce) can be faster, but may pose risks to the public interest. </t>
  </si>
  <si>
    <t xml:space="preserve">Guatemala has a unit in the Secretariat for Communications and Transport that supervises concession contracts. It was created to administer the Palin-Scuintla concession, a railroad project, and the national post office. The unit promotes new concessions, especially for highways. It was involved in both the ring-road project around Guatemala City and the Transversal Strip of the North; neither of these projects were well-conceived or materialised as a concession, as the process was heavily politicised. The Secretariat for the Treasury does not play a significant role in this area, nor is there a well-structured social evaluation process. The Economic Commission of Congress is working to establish a proper institutional balance between all of the parties in these transactions. </t>
  </si>
  <si>
    <t xml:space="preserve">Under the existing highway concession, the contractor is responsible for conservation and operation, and did not assume any significant risks associated with financing the investment. There have been no instances to date of risk hedging for projects. </t>
  </si>
  <si>
    <t>According to data from the World Bank, in the past ten years the Guatemala has had a total of 2 projects across the water and transport sectors; however, these were exclusively in the transport sector. Across the four major infrastructure sectors (ie, water, transport, energy and telecoms), transport concessions represented 17% of all projects. (Figures do not include management and lease contracts or divestitures. Please note that numbers do not necessarily match explanations for other indicators in this index due to different counting methods and time frames.)</t>
  </si>
  <si>
    <t>Out of two projects in the World Bank PPI database for the transport and water sectors, Guatemala had one failed/distressed project in transport, for an overall failure/distress rate of 50%. (Figures do not include management and lease contracts or divestitures. Please note that numbers do not necessarily match explanations for other indicators in this index due to different counting methods and time frames.)</t>
  </si>
  <si>
    <t xml:space="preserve">Government effectiveness has been eroded by the pursuit by successive administrations of their own interests when in power and by endemic corruption. This has complicated policy formulation and the implementation of programmes. Despite a tightening of the mechanisms for appointing qualified personnel to the top posts of key institutions, an improvement in government effectiveness is hampered by the president's limitations in mustering the level of political support in Congress necessary for institutional strengthening. Progress is also slowed by scarce fiscal resources. Financial reforms and international assistance will help improve supervision and regulation in the banking sector, but concerns persist over enforcement capability. Addressing corruption, which remains widespread, and tackling rising crime are formidable challenges. </t>
  </si>
  <si>
    <t>The government pursues broadly orthodox fiscal and monetary policies. Fiscal policy remained tight in 2008; on taking office, the government pledged not to raise taxes in 2008. Monetary policy, which has been tightening since late 2004 to stem inflation, will remain tight. Tax reforms are needed to address structural weaknesses in the public finances, broaden the tax base and increase the tax take. But given the government's weak position in Congress and strong opposition from the private sector, these will fall short of the level of comprehensive tax reform required. Debt levels are relatively low, but failure to strengthen the fiscal position could lead to a long-term deterioration, compounding the country's other imbalances.</t>
  </si>
  <si>
    <t xml:space="preserve">Weak unions and low levels of unionisation mean that labour unrest remains infrequent, although the pressures of low incomes and rising unemployment are increasing the risk of labour unrest. Government effectiveness and the legal and regulatory regime will remain undermined by weak state institutions and scarce fiscal resources, as well as high levels of corruption and cronyism. Organised crime, violence and kidnapping remain serious problems, raising operating costs for businesses. </t>
  </si>
  <si>
    <t>Guatemala has no track record in this area. This score is based on the country's Economist Intelligence Unit sovereign debt payment risk rating, which is a "BB".</t>
  </si>
  <si>
    <t xml:space="preserve">Guatemala has a small banking industry and has limited capacity to finance infrastructure projects in the medium-term. The capital market is only just getting off the ground; it has little depth and few regulations. There is no domestic market for medium-to-long-term corporate debt instruments. Neither is there a currency or interest-rate hedge market for projects. </t>
  </si>
  <si>
    <t xml:space="preserve">Most financing in Guatemala is short-term; medium- and long-term loans are very scarce. Credit from state-owned development banks is unavailable to foreign-owned firms. Commercial banks may set up arrangements whereby short-term loans are repeatedly rolled over and thus amount to medium-term loans, though the roll-over risk remains. Only well-known companies have access to longer-term financing, and only if they have an established relationship with a bank or finance company.  The government generally executes infrastructure projects with funds from multilateral financial institutions or development banks. The authorities have privatised existing infrastructure in energy, telecommunications and the railway services. None of these sales have used special infrastructure-financing techniques. </t>
  </si>
  <si>
    <t>The Honduran constitution mandates that concession projects be approved by Congress. The 1998 Promotion and Development of Public Works Law and a law that created the Superintendency of Concessions and Licenses as an entity dependent upon the Congress both establish regulations that facilitate concessions for transport and water/sanitation infrastructure projects. The regulations are, however, very restrictive in that they only allow the private sector to receive revenue from users. There is no provision for the state to fund part of the investment. The length of concessions is 22 years, generally too short to appeal to investors. With such restrictions in place, Honduras has only been able to pursue modest improvements in infrastructure through concessions. Moreover, the legal framework for acquisitions established the concept of financial equilibrium for PPP contracts, which allows the private sector to transfer risks back to the State. This occurred in the Tegucigalpa Airport concession and served to taint any future deals. It is hoped that a new framework law for transport will be introduced soon; the International Monetary Fund has asked the government to redirect public spending towards this priority area, as part of a new stand-by agreement approved in April 2007. The law would allow the private sector to obtain concessions to operate Puerto Cortes, the country’s main port. It was also hoped that the Defence and Promotion of Competition Law passed in 2006 would help open up both state-dominated markets and private monopolies, but by end-May 2008, however, this had not yet happened. The government continued to exert monopoly control in maritime ports, sanitation services, rail and water provision.</t>
  </si>
  <si>
    <t xml:space="preserve">0=The judiciary does not enforce PPP operator and investor rights or arbitration rulings, and there is no effective appeals process;
1=The judiciary occasionally upholds PPP operator and investor rights and arbitration rulings, but in an inefficient manner;
2=The judiciary usually upholds contracts, PPP operator and investor rights and arbitration rulings but hold-ups are common;
3=The judiciary consistently and effectively upholds contracts and allows for appeals to regulator's ruling, fair compensation for early termination and transfer of contracts are allowed, although delays eventually occurs generating some hold up risk;
4=The judiciary effectively enforces PPP operator and investor rights and  arbitration rulings, allowing for expedited contract transfers and ensuring that early termination only occurs in exceptional public interest circumstances,  with fair compensation to the operator and protection to creditors. </t>
  </si>
  <si>
    <t>How available and reliable are long-term debt  instruments for infrastructure financing? Is there a developed insurance and pension market with useful products for infrastructure risk reduction? Are interest rate, exchange rate hedging instruments available?</t>
  </si>
  <si>
    <t>Is there a liquid, deep local-currency denominated fixed-rate medium-term (5yrs+) bond market in marketable debt (that is debt that is traded freely)?</t>
  </si>
  <si>
    <t>How distortionary is the country's general political environment for the private sector?</t>
  </si>
  <si>
    <t>DEFINITION</t>
  </si>
  <si>
    <t>SCORING</t>
  </si>
  <si>
    <t>Mexico</t>
  </si>
  <si>
    <t>Brazil</t>
  </si>
  <si>
    <t>CityID</t>
  </si>
  <si>
    <t>CityCode</t>
  </si>
  <si>
    <t>City</t>
  </si>
  <si>
    <t>CountryISO</t>
  </si>
  <si>
    <t>Country</t>
  </si>
  <si>
    <t>CountryEIU</t>
  </si>
  <si>
    <t>MX</t>
  </si>
  <si>
    <t>ES</t>
  </si>
  <si>
    <t>CH</t>
  </si>
  <si>
    <t>BR</t>
  </si>
  <si>
    <t>RegionCode</t>
  </si>
  <si>
    <t>Code</t>
  </si>
  <si>
    <t>Parent</t>
  </si>
  <si>
    <t>Process</t>
  </si>
  <si>
    <t>0=High is good,1=High is bad</t>
  </si>
  <si>
    <t>Format</t>
  </si>
  <si>
    <t>Short</t>
  </si>
  <si>
    <t>Source</t>
  </si>
  <si>
    <t>Notes</t>
  </si>
  <si>
    <t>Year</t>
  </si>
  <si>
    <t>Level</t>
  </si>
  <si>
    <t>Unit</t>
  </si>
  <si>
    <t>WS</t>
  </si>
  <si>
    <t>TOTL</t>
  </si>
  <si>
    <t>DEMO</t>
  </si>
  <si>
    <t>CARS</t>
  </si>
  <si>
    <t>RICH</t>
  </si>
  <si>
    <t>BIZC</t>
  </si>
  <si>
    <t>POSH</t>
  </si>
  <si>
    <t>PAIN</t>
  </si>
  <si>
    <t>PUBT</t>
  </si>
  <si>
    <t>DEMO03</t>
  </si>
  <si>
    <t>DEMO05</t>
  </si>
  <si>
    <t>POSH05</t>
  </si>
  <si>
    <t>RICH01</t>
  </si>
  <si>
    <t>RICH02</t>
  </si>
  <si>
    <t>RICH03</t>
  </si>
  <si>
    <t>RICH04</t>
  </si>
  <si>
    <t>RICH05</t>
  </si>
  <si>
    <t>MM</t>
  </si>
  <si>
    <t>High Value</t>
  </si>
  <si>
    <t>GOOD</t>
  </si>
  <si>
    <t>0.0</t>
  </si>
  <si>
    <t>BAD</t>
  </si>
  <si>
    <t>Min</t>
  </si>
  <si>
    <t>Max</t>
  </si>
  <si>
    <t>Range</t>
  </si>
  <si>
    <t>W-row</t>
  </si>
  <si>
    <t>W-nom</t>
  </si>
  <si>
    <t>W-percent</t>
  </si>
  <si>
    <t>Weight %</t>
  </si>
  <si>
    <t>Normalised indicator scores</t>
  </si>
  <si>
    <t>Indicator data</t>
  </si>
  <si>
    <t>DispStatus</t>
  </si>
  <si>
    <t>NUMLIST</t>
  </si>
  <si>
    <t>COL_LU</t>
  </si>
  <si>
    <t>DisplayStatus</t>
  </si>
  <si>
    <t>CODE</t>
  </si>
  <si>
    <t>ROW</t>
  </si>
  <si>
    <t>Score</t>
  </si>
  <si>
    <t>INDI_CODE</t>
  </si>
  <si>
    <t>DATA_FORM</t>
  </si>
  <si>
    <t>INDI_LEVEL</t>
  </si>
  <si>
    <t>Data</t>
  </si>
  <si>
    <t>Rank</t>
  </si>
  <si>
    <t>Row</t>
  </si>
  <si>
    <t>Status</t>
  </si>
  <si>
    <t>Rank#2</t>
  </si>
  <si>
    <t>Weights</t>
  </si>
  <si>
    <t>Indicator</t>
  </si>
  <si>
    <t>Weight</t>
  </si>
  <si>
    <t>Category</t>
  </si>
  <si>
    <t>SECTION_ID</t>
  </si>
  <si>
    <t>SECTION_CODE</t>
  </si>
  <si>
    <t>SECTION</t>
  </si>
  <si>
    <t>SEC_CODE</t>
  </si>
  <si>
    <t>INDI_ID</t>
  </si>
  <si>
    <t>Tidy</t>
  </si>
  <si>
    <t>INDI_FORMAT</t>
  </si>
  <si>
    <t>INDI_NEAT</t>
  </si>
  <si>
    <t>Raw Data</t>
  </si>
  <si>
    <t>OVERALL SCORE</t>
  </si>
  <si>
    <t>Members</t>
  </si>
  <si>
    <t>CORREL_X</t>
  </si>
  <si>
    <t>CORREL_Y</t>
  </si>
  <si>
    <t>SHOW_OUTLIERS</t>
  </si>
  <si>
    <t>Active</t>
  </si>
  <si>
    <t>RegionHighlight</t>
  </si>
  <si>
    <t>X</t>
  </si>
  <si>
    <t>Y</t>
  </si>
  <si>
    <t>slope</t>
  </si>
  <si>
    <t>INTERCEPT</t>
  </si>
  <si>
    <t>CORREL</t>
  </si>
  <si>
    <t>ANTICIPATED (to get outliers)</t>
  </si>
  <si>
    <t>Anti-Y</t>
  </si>
  <si>
    <t>Diff</t>
  </si>
  <si>
    <t>NON_HIGHLIGHT</t>
  </si>
  <si>
    <t>remove if region highlight, or active country</t>
  </si>
  <si>
    <t>HIGHLIGHT REGION</t>
  </si>
  <si>
    <t>INDIVIDUAL COUNTRY</t>
  </si>
  <si>
    <t>MAX</t>
  </si>
  <si>
    <t>MIN</t>
  </si>
  <si>
    <t>OUTLIERS</t>
  </si>
  <si>
    <t>RegionFilter</t>
  </si>
  <si>
    <t>Region_Filter</t>
  </si>
  <si>
    <t>Region_Highlight</t>
  </si>
  <si>
    <t>RegionCount</t>
  </si>
  <si>
    <t>None</t>
  </si>
  <si>
    <t>All</t>
  </si>
  <si>
    <t>CORREL(X,Y)</t>
  </si>
  <si>
    <t>REGION#1</t>
  </si>
  <si>
    <t>REGION#2</t>
  </si>
  <si>
    <t>REGION#3</t>
  </si>
  <si>
    <t>REGION#4</t>
  </si>
  <si>
    <t>REGION#5</t>
  </si>
  <si>
    <t>REGION#6</t>
  </si>
  <si>
    <t>REGION#7</t>
  </si>
  <si>
    <t>REGION#8</t>
  </si>
  <si>
    <t>REGION#9</t>
  </si>
  <si>
    <t>REGION#10</t>
  </si>
  <si>
    <t>REGION#11</t>
  </si>
  <si>
    <t>REGION#12</t>
  </si>
  <si>
    <t>REGION#13</t>
  </si>
  <si>
    <t>REGION#14</t>
  </si>
  <si>
    <t>REGION#15</t>
  </si>
  <si>
    <t>REGION#16</t>
  </si>
  <si>
    <t>REGION#17</t>
  </si>
  <si>
    <t>REGION#18</t>
  </si>
  <si>
    <t>REGION#19</t>
  </si>
  <si>
    <t>REGION_FILTER_DD</t>
  </si>
  <si>
    <t>REGION_FILTER_ID</t>
  </si>
  <si>
    <t>REGION_HIGHLIGHT_ID</t>
  </si>
  <si>
    <t>BACK01</t>
  </si>
  <si>
    <t>BACK</t>
  </si>
  <si>
    <t>BACK02</t>
  </si>
  <si>
    <t>LEVEL</t>
  </si>
  <si>
    <t>Indicator ranking</t>
  </si>
  <si>
    <t>MODEL SCORES</t>
  </si>
  <si>
    <t>BG DATA</t>
  </si>
  <si>
    <t>SCORE_ROW</t>
  </si>
  <si>
    <t>INDI_ROW</t>
  </si>
  <si>
    <t>NEED TO GET RANK</t>
  </si>
  <si>
    <t>INCLUDE MOST HIGHLY CORRELATED INDICATORS</t>
  </si>
  <si>
    <t>POOR</t>
  </si>
  <si>
    <t>MEDIUM</t>
  </si>
  <si>
    <t>ROW_ID</t>
  </si>
  <si>
    <t>RANK_ROW</t>
  </si>
  <si>
    <t>=SMALL(IF(G20:G26="","",ROW()),ROW(INDIRECT("1:"&amp;COUNTA(G20:G26))))-(ROW()-1)</t>
  </si>
  <si>
    <t>POOR (less than 33)</t>
  </si>
  <si>
    <t>MEDIUM (33-66)</t>
  </si>
  <si>
    <t>GOOD (more than 66)</t>
  </si>
  <si>
    <t>INDI_UNIT</t>
  </si>
  <si>
    <t>INDI_SHORT</t>
  </si>
  <si>
    <t>INDI_MEANING</t>
  </si>
  <si>
    <t>INDI_SOURCE</t>
  </si>
  <si>
    <t>Score / 100</t>
  </si>
  <si>
    <t>BACK07</t>
  </si>
  <si>
    <t>ALL INDICATORS</t>
  </si>
  <si>
    <t>FORE01</t>
  </si>
  <si>
    <t>FORE02</t>
  </si>
  <si>
    <t>FORE03</t>
  </si>
  <si>
    <t>FORE04</t>
  </si>
  <si>
    <t>Revenue per member</t>
  </si>
  <si>
    <t>RANK BY</t>
  </si>
  <si>
    <t>Ranker</t>
  </si>
  <si>
    <t>ORDER BY ENT</t>
  </si>
  <si>
    <t>Gross revenue</t>
  </si>
  <si>
    <t>HIGHLIGHT REGION (LABELS)</t>
  </si>
  <si>
    <t>SHOIW_LABELS</t>
  </si>
  <si>
    <t>SHOW LABELS</t>
  </si>
  <si>
    <t>Forecast Penetration</t>
  </si>
  <si>
    <t>Actual Penetration</t>
  </si>
  <si>
    <t>Penetration, %</t>
  </si>
  <si>
    <t>TEXTHELP1</t>
  </si>
  <si>
    <t>TEXTHELP2</t>
  </si>
  <si>
    <t>dfsdfsdf</t>
  </si>
  <si>
    <t>Scatterplot</t>
  </si>
  <si>
    <t>RANKER</t>
  </si>
  <si>
    <t>INDI_GOODBAD</t>
  </si>
  <si>
    <t>DATA</t>
  </si>
  <si>
    <t>RESOLVER</t>
  </si>
  <si>
    <t xml:space="preserve">The myriad of difficulties faced by Argentinean concession projects, including continuous re-negotiations, conflicts, and even crisis, demonstrate the inadequacy of risk distribution efforts in concession contracts to date. Poor contract design allowed ex post opportunism by the contractor and the regulator. In Argentina there exists both: pressure from the concessionaire to renegotiate the contract based on financial equilibrium arguments whenever market conditions change, leading to continuous adjustments in service levels for end-users, and; government compensation to companies and government-imposed contract changes as a reaction based on political considerations. </t>
  </si>
  <si>
    <t>Guatemala’s courts have limited independence, and resolving conflicts is long, drawn out and unpredictable. Nonetheless, the courts upheld the contractor’s right in the case of the only highway concession in operation, despite some political pressure. Ensuring rights-of-way and resolving environmental conflicts are two key areas where the legal system moves at a slow and unpredictable pace. Typically, a contractor must secure the rights-of-way, conduct studies, and obtain whatever environmental permits are necessary. The weak and uncertain legal system poses enormous risks for any concession, especially in the transport, water and drainage sectors. An arbitration mechanism would improve the legal certainties for concessions. Indeed, a government bill, passed by the Economy Commission Of Congress, introduces arbitration proceedings based on law and contract, with the possibility of appealing to international courts and establishing guarantees of political risks with multilateral bodies. When fully implemented, this will represent an important step forward. Still, the jurisdiction of the administrative courts is preserved for cases in which the authorities have acted in accordance with the constitution.</t>
  </si>
  <si>
    <t xml:space="preserve">The government’s capacity for preparing and implementing concession projects is very limited. The concessions unit of the Secretariat for Communications and Transport does not have the staff necessary for establishing a concessions programme in the sector, nor do the finance and planning authorities have the capacity to provide a necessary counterweight. </t>
  </si>
  <si>
    <t xml:space="preserve">Tender processes do not create the conditions for fair competition; they are highly subjective and lack transparency. In the case of tenders for the ring-road project around Guatemala City and the Northern Strip, the deadlines for submitting bids were inadequate to generate proper competition. </t>
  </si>
  <si>
    <t xml:space="preserve">This indicator is a weighted average of the Economist Intelligence Unit's political stability and government policy effectiveness risk scores and the World Bank Public Sector Ethics Index. </t>
  </si>
  <si>
    <t xml:space="preserve">This indicator is a weighted average of the Economist Intelligence Unit's market opportunities and macroeconomic risk scores and the World Bank Corporate Ethics Index. </t>
  </si>
  <si>
    <t>This indicator uses survey data on public attitudes towards using a market economy and private enterprise to develop the country. The figures shown here represent the proportion of respondents who perceive privatisation and the market economy negatively.</t>
  </si>
  <si>
    <t>EIU qualitative assessment</t>
  </si>
  <si>
    <t>World Bank Private Participation in Infrastructure Database</t>
  </si>
  <si>
    <t>EIU Risk Briefing</t>
  </si>
  <si>
    <t>How attractive is the general business environment in the country for infrastructure projects, pay-for service schemes and corporate corruption?</t>
  </si>
  <si>
    <t>0=The government does not subsidise the water or transport sector, or has done so in a distortionary manner;
1=The government has provided subsidies to these services intended for improving access of low-income users but these have been rare and/or too small and/or  poorly focus to make projects more socially viable;
2=The government provides subsidies for improved access but these are infrequent or poorly designed and implemented;
3=The government usually provides satisfactory subsidies for low-income users, but they are subject to change and occasionally not very well focus in low-income users;
4= Subsidies are common, reliable and effectively target  low-income users</t>
  </si>
  <si>
    <t>US$ mn; represents cumulative investment</t>
  </si>
  <si>
    <t>Fairness of judicial process</t>
  </si>
  <si>
    <t>Average time to complete a bankruptcy procedure</t>
  </si>
  <si>
    <t>Exchange rate volatility</t>
  </si>
  <si>
    <t>EIU Risk Briefing. Assesses whether or not there is a liquid, deep local-currency denominated fixed-rate medium-term (5 years of more) bond market in marketable debt (i.e. that is traded freely).</t>
  </si>
  <si>
    <t>EIU Risk Briefing. Assesses the extent to which parties in armed conflict or demonstrations/civil unrest have specifically shown hostility to foreigners or private ownership.</t>
  </si>
  <si>
    <t>0=The granting agency awards projects based on subjective considerations and does not use objective, economic variables;
1=The granting agency has a poor track record, but does consider economic factors with minimal discretion limits;
2=The regulator considers economic criteria to award projects although subjective factors still play an important role;
3=The regulator has a good track record that could be improved (i.e. it uses economic variables but does not prioritise these over other factors);
4=The regulator has an excellent track record and uses economic criteria in a transparent and regular manner</t>
  </si>
  <si>
    <t>Financial facilities</t>
  </si>
  <si>
    <t>Weighted sum of the category scores</t>
  </si>
  <si>
    <t>0-100, where 0= worst and 100= best</t>
  </si>
  <si>
    <t>Calculation</t>
  </si>
  <si>
    <t>This is the weighted sum of the following category scores: 
1) Legal and regulatory framework; 2) Institutional framework;
3) Operational Maturity; 4) Investment climate; and 5) Financial facilities</t>
  </si>
  <si>
    <t>1)</t>
  </si>
  <si>
    <t>2)</t>
  </si>
  <si>
    <t>3)</t>
  </si>
  <si>
    <t>4)</t>
  </si>
  <si>
    <t>5)</t>
  </si>
  <si>
    <t>6)</t>
  </si>
  <si>
    <t>7)</t>
  </si>
  <si>
    <t>8)</t>
  </si>
  <si>
    <t>9)</t>
  </si>
  <si>
    <t>10)</t>
  </si>
  <si>
    <t>11)</t>
  </si>
  <si>
    <t>12)</t>
  </si>
  <si>
    <t>13)</t>
  </si>
  <si>
    <t>14)</t>
  </si>
  <si>
    <t>15)</t>
  </si>
  <si>
    <t>"Are there fair and transparent mechanisms for solving controversies between the state and the operator? Does the law provide technically adequate and efficient conciliation schemes? Must arbitration rulings proceed according to law and to contracts, without lengthy appeals?"</t>
  </si>
  <si>
    <t>Dominican Rep.</t>
  </si>
  <si>
    <t>DEPENDENT_INDI_ID</t>
  </si>
  <si>
    <t>DD_ID</t>
  </si>
  <si>
    <t>All, ex Brazil+Mexico</t>
  </si>
  <si>
    <t xml:space="preserve">“How consistent are PPP laws and regulations at different levels of government and across sectors? Do regulations establish clear requirements and oversight mechanisms for project implementation (project preparation, bidding, contract awards, construction and operation)? Must risk be allocated to different parties according to ability to manage them? Is there a clear system for compensating the private sector for acts of authority that change sector-specific economic conditions not foreseen during bidding?" Also considers if regulations avoid open-ended compensation rights for changes in financial equilibrium so that the state only assumes explicitly written commercial contractual contingent liabilities. </t>
  </si>
  <si>
    <t>Quality of institutional design</t>
  </si>
  <si>
    <t>Government support for low income users</t>
  </si>
  <si>
    <t>Does the government provide subsidies that allow low income users to better access water and transport services?</t>
  </si>
  <si>
    <t>Indicator text</t>
  </si>
  <si>
    <t>Normalised: higher=better</t>
  </si>
  <si>
    <t>Normalised: lower=better</t>
  </si>
  <si>
    <t>Political distortion</t>
  </si>
  <si>
    <t>0.00</t>
  </si>
  <si>
    <t>0=A legal framework does not exist, or it is so cumbersome that  in practice transport or water concessions are not permitted;
1=The legal framework allows for concessions but it is ill defined and risk allocation and compensation is  unclear and inefficient;
2=The legal framework establishes oversight, risk allocation and compensation in an open-ended manner;
3=The legal framework is generally good and coherent, addressing all risk allocation, compensation and oversight aspects of PPP projects;
4=The legal framework is comprehensive and consistent across sectors and layers of government,  addresses risk allocation and compensation issues according to strict economic principles and establishes sophisticated and consistent oversight of project implementation.</t>
  </si>
  <si>
    <t>FINC04</t>
  </si>
  <si>
    <t>INDI_NOTES</t>
  </si>
  <si>
    <t>0=Decision making processes are not defined- they are erratic and subject to change, without any accounting for liabilities;
1=Decision making processes are defined but are rarely followed, and liability accounting is not well established;
2=Decision making processes are defined and upheld but accounting practices are not adequate;
3=Proper decision making and liability accounting are both defined and used for PPP project decisions;
4=PPP project selection is a consistent result of various efficiency, cost-benefit and social evaluation considerations required by law, accompanied by rigorous accounting practices</t>
  </si>
  <si>
    <t>0=Regulations unfairly favour certain bidders over others, and no transparency requirements exist, and contracts are changed in a discretionary manner;
1=Regulations are not explicitly biased towards any particular party, but bidding, transparency and renegotiation schemes and poor;
2=Project bidding is fair and transparent, but renegotiations and expansions are regulated poorly;
3=Regulations generally define a fair playing field, with considerations for contract expansion, renegotiation, and adjustments;
4=Regulations establish fair and transparent bidding, set limits for renegotiations and adjustments, and require independent oversight of post-award procedures</t>
  </si>
  <si>
    <t>0=Dispute resolution systems for PPPs are undefined and insufficient;
1=Dispute resolution mechanisms exist but these are neither transparent nor efficient;
2=Transparent and effective dispute resolution mechanisms exist but arbitration and appeals are lengthy and complex;
3=Comprehensive, effective dispute resolution mechanisms exist, incorporating necessary technical considerations;
4=Effective and efficient dispute resolution mechanisms establish independent arbitration according to law and contracts, without lengthy appeals, and the system also offers viable prejudicial conciliation options.</t>
  </si>
  <si>
    <t>0=No PPP-specific agencies or board exists and relevant institutions in this sector lack accountability and independence from rent seekers; moreover, finance and planning Ministries do not impose discipline;
1=Agencies exist but they are not sufficient and are highly prone to political distortion;
2=Agencies exist and are fairly technical in nature but do not play all necessary roles for comprehensive sectoral oversight;
3=The necessary agencies exist and generally fill all necessary roles for sector oversight, though their structure and roles could be improved;
4=Agencies play the appropriate role in the sector, to effectively plan and regulate PPP activity establishing proper check and balances and accountability.</t>
  </si>
  <si>
    <t>EIU weights</t>
  </si>
  <si>
    <t>0=The markets for finance and risk instruments are underdeveloped or nonexistent, and only foreign sources provide project funding;
1=The market for local finance is slowly developing, though most finance comes from international sources and risk hedging instruments do not exist;
2=Some finance and risk instruments exist, though financing still mainly comes from foreign and multilateral organisations;
3=The domestic market presents a large, reliable financing market but risk instruments are still developing in size and complexity;
4=There is a deep, liquid finance market locally, as well as a reliable and large local market for hedging instruments</t>
  </si>
  <si>
    <t>16)</t>
  </si>
  <si>
    <t>17)</t>
  </si>
  <si>
    <t>18)</t>
  </si>
  <si>
    <t>The government holds significant debt to various concessionaries due to obligations from renegotiation procedures. Private operators have been forced to submit disputes to international arbitration to obtain compensation however. Furthermore, the country's debt rating has deteriorated in the last few months. The Economist Intelligence Unit's Sovereign Debt Risk rating assigned the country a score of CCC in February 2009.</t>
  </si>
  <si>
    <t xml:space="preserve">"Does the judiciary enforce property rights and arbitration rulings? Does the judiciary uphold contracts related to cost recovery?  Can investors: appeal rulings by regulators, expedite contract transfer for project exit, obtain fair compensation for early termination?" Also considers whether the state has an expedite mechanism for replacing failed operators to protect creditors' rights. </t>
  </si>
  <si>
    <t>Evaluates the existence and role of various agencies necessary for proper PPP oversight and planning, such as a PPP board at ministerial level, a State Contracting Agency and a PPP Advisory Agency and a Regulatory Agency for enforcement of project standards.  Also considers the oversight role and involvement of government budget and planning offices.</t>
  </si>
  <si>
    <t>Although contracts have attempted to limit the frequency of commercial risk transfer to the state, in practice contracts have been modified when costs exceed a third of the original cost. This has been done on the basis of amicable arbitration proceedings, as a result of low resistance from the state and leveraging the concept of maintaining a concession’s economic balance. This is the case for airport concessions where, despite the fact that contracts’ tariffs were the sole source of concessionary income, all contractors had to be compensated for their income loss due to the economic crisis.</t>
  </si>
  <si>
    <t>According to data from the World Bank, in the past ten years Colombia has had a total of 45 projects in the water and transport sectors. Across the four major infrastructure sectors (ie, water, transport, energy and telecoms), transport concessions represented 32% of all projects and water represented 47%. (Figures do not include management and lease contracts or divestitures. Please note that numbers do not necessarily match explanations for other indicators in this index due to different counting methods and time frames.)</t>
  </si>
  <si>
    <t>Out of 45 projects in the World Bank PPI database for the transport and water sectors, Colombia had 1 failed/distressed project in transport and 3 failed/distressed projects in water and sanitation, for an overall failure/distress rate of 8.9%. (Figures do not include management and lease contracts or divestitures. Please note that numbers do not necessarily match explanations for other indicators in this index due to different counting methods and time frames.)</t>
  </si>
  <si>
    <t xml:space="preserve">Although political institutions are well established and stable, weak accountability and the illegal drugs trade have contributed to corruption, impunity and cronyism in some regions. Over 30 congressmen allied to the government have been indicted over past links with paramilitaries, undermining governability. The trend in recent years is towards more open government that is less prone to manipulation. But other than those overseeing economic policy, institutions are inefficient. Corruption and spending inefficiencies are a problem in some regions, particularly those receiving oil royalty transfers from central government. </t>
  </si>
  <si>
    <t xml:space="preserve">Fiscal adjustment and security improvements have raised confidence in Colombia's prospects, particularly in the business sector. After growing by over 7% annually in 2006-07, a less favourable external environment, deceleration in private consumption and investment, rising inflation and increasing risk aversion will hit local and foreign investor confidence in emerging markets, including Colombia, dampening GDP growth to 2%. Revenue erosion will lead to a reversal of the advances made in recent years in consolidating the public finances, lifting the public debt/GDP ratio from 43% in 2007 by a couple of percentage points in 2009. Weaker direct and portfolio inflows and a wider current-account deficit will weaken the peso in 2009. Inflation will peak before falling in 2009 allowing the central bank to ease interest rates. </t>
  </si>
  <si>
    <t xml:space="preserve">Surveys of Colombian business indicate that security risk is no longer the overriding concern it was a decade ago, although it still is a worry. Union representation is weak, at less than 10% of the workforce. The most militant unions are in the public sector and the oil industry; high unemployment has traditionally reduced union power in other sectors. </t>
  </si>
  <si>
    <t>The government has complied with its obligation to pay contractors, though in a somewhat delayed manner in certain cases.</t>
  </si>
  <si>
    <t>The 1983 Constitution and the Acquisitions Act  of 2000 allow concessions to be granted for public services and works. However, they do so in general terms, and approval of Congress is required for each individual project. The concessions concept is restrictive inasmuch that projects must be developed at the risk and cost of the contractor without any funds from public entities. Political polarisation makes it virtually impossible to establish ad-hoc legislation or pass contract laws for specific projects. Therefore, in practice, it is difficult to carry out any concession projects in the transport, water and drainage services sectors. For several years, the government has placed priority on concessions for the Ports of Acajutla and Unión; yet, the difficulties in obtaining legal approvals indefinitely delay any success.</t>
  </si>
  <si>
    <t xml:space="preserve">The public works tender system and the Acquisitions Act establish general requirements of non-discrimination and transparency during project tenders. Sector or concession-specific rules governing tender processes do not exist, however. Specifically, a number of basic infrastructure projects are being carried out under the administration’s Red Solidaria programme; projects include potable water systems, electricity installation and road improvement projects. </t>
  </si>
  <si>
    <t xml:space="preserve">Because no legal rules exist regarding concessions (except those of a general nature established in the constitution), the details of the process for resolving state and private sector controversies must be established by each individual project contract. However, the Acquisitions Act does state that any litigation between the state and private bodies and persons must be resolved by direct negotiations in the first instance. Any unresolved issues shall be submitted to an amicable mediation process. This applies to public works and it can be considered as the basis for concession contracts. Reconciliation and arbitration proceedings are beset by high collusion risks that affect public interests.
</t>
  </si>
  <si>
    <t xml:space="preserve">The courts have reasonable independence, in both commercial and civil matters, to ensure the rights of the state and private persons and bodies. Experiences with electricity and telecommunications sectors have been positive in this respect. For transport infrastructure projects, the system of obtaining rights of way and resolving environmental problems in public works functions fairly rapidly; no major legal difficulties have arisen in the past, and public officials have properly dealt with permit issues and access to land. This is an uncommon strength in the region, given that the main obstacle in many Central American countries is securing the right of way for land acquisition in order to construct new works for concessions. Indeed, government personnel are experienced in such matters and, thus, the relevant institutional legal frameworks function fairly well. </t>
  </si>
  <si>
    <t>Government officials exhibit reasonable capacity for preparing the technical aspects of projects and any necessary expropriations. However, skills are inadequate in the areas of handling financial planning and certain contractual matters, such as contract supervision and design. Nevertheless, financial capabilities are slowly developing, as evidenced by the growing size of the Red Solidaria funds which have been financed through international sources and will be used to fund basic infrastructure projects.</t>
  </si>
  <si>
    <t xml:space="preserve">During the ten year period up through 2007, El Salvador has not had any experience in transport or water concessions or with public works more generally. Tender processes and mechanisms have low transparency despite the fact that public purchasing law requires tenders to be conducted in a competitive manner. For example, financing discussions with the Japanese government for a project proposed in September 2007 to renovate El Salvador’s international airport was still underway as of early December 2008, even though the French government had already financed the master plan with US$500m. The bidding process for carrying out the expansion is not expected to be concluded until mid-2009, but as of December 2008, a final date to close the bid was not certain. </t>
  </si>
  <si>
    <t xml:space="preserve">El Salvador does not have any live or concluded projects from which a track record of risk allocation effectiveness can be measured. However, the government has improved the schemes for managing risk in public works. For example, it has eliminated arbitration based on equity because this scheme promoted litigation and ex post contractual opportunism. </t>
  </si>
  <si>
    <t>According to data from the World Bank Private Participation in Infrastructure database, in the past ten years El Salvador has not completed any water or transport concession projects; concessions have been awarded only in the energy and telecom sectors, and most took place before the year 2000. However, attempts to award concessions for managing Acajulta, the country's main seaport, have been ongoing (albeit generally unsuccessful or extremely delayed thus far). (Figures do not include management and lease contracts or divestitures. Please note that numbers do not necessarily match explanations for other indicators in this index due to different counting methods and time frames.)</t>
  </si>
  <si>
    <t>According to the World Bank PPI database, El Salvador has not had any water or transport concession projects in the past ten years. (Figures do not include management and lease contracts or divestitures. Please note that numbers do not necessarily match explanations for other indicators in this index due to different counting methods and time frames.)</t>
  </si>
  <si>
    <t xml:space="preserve">Antonio Saca, the president, has called for greater dialogue and co-operation among El Salvador's political parties. With no party having a simple majority and elections scheduled for January (legislative) and March 2009 (presidential), governability will remain complicated. Although the government is generally competent in formulating policy, corruption and nepotism are widespread in the civil service. Public-sector employees are poorly paid, and politicians exert considerable influence over the justice system. El Salvador has had an uneven human rights record since the end of the civil war in 1992 and the security forces have been accused of contributing to the high murder rate. </t>
  </si>
  <si>
    <t>Largely responsible and market-based economic policies over the past decade have put the economy in a strong structural position. El Salvador's main structural weaknesses include a reliance on the US market (for trade, investment and remittances) and a high level of public-sector indebtedness. The economy will slow sharply in 2009 as a result of the US recession. Private consumption growth will slow, reflecting the lagged impact on wages of high inflation in 2008 and falling remittances, and investment will contract given scarce funding availability. El Salvador's preferential access to the US through the Dominican Republic-Central American Free-Trade Agreement (DR-CAFTA) will cushion the direct impact of shrinking US import demand, but it will be hit by weakening economic conditions in Central America. Although falling commodity prices will put pressure on the external accounts, lower oil prices will help to ease overall import spending. Crowding-out has become a problem owing to financing scarcity and the government's need to finance its fiscal deficit.</t>
  </si>
  <si>
    <t xml:space="preserve">Widespread underemployment has weakened the Salvadoran labour movement, and strikes by workers in private-sector companies are rare. The public sector is still widely unionised, however, and workers, particularly in the transport and health sectors, occasionally stage strikes—as demonstrated by a nine-month public-sector health workers' strike in 2002-03 in protest against the proposed contracting-out of certain health services. Given the polarised political environment in the run-up to the elections in early 2009 combined with a slowing economy, some public demonstrations are likely to occur. Public frustration with high levels of violent crime and public-sector corruption could all generate a rise in social unrest. Rising inflation and frustration with the privatised utilities, which largely reflects a failure of these companies to reduce prices as expected, could do the same. </t>
  </si>
  <si>
    <t xml:space="preserve">Guatemala has virtually no price controls, though it does subsidise three types of economic expenditures: energy for low-income families, public transport in Guatemala City and diesel prices. The Ministry of Energy and Mining (Ministerio de Energía y Minas) and the National Institute for Electrification (Instituto Nacional de Electrificación) set up a subsidy for poorer families who consume up to 300 kwh per month, which benefits around 2.1m households. The subsidy is expected to amount to some Q360m (US$48m) in 2008. As at June 2008 public transport in Guatemala City is also subsidised, with a Q33m (US$6.4m) per month grant, which goes directly to the private bus companies to maintain pricing at a certain level. </t>
  </si>
  <si>
    <t xml:space="preserve">Tariffs in the water and sanitation sector are not high enough to ensure the sustainability of services provided. Therefore, subsidies in this sector are not focused in low income sectors, which aggravate the economic sustainability of water services.  </t>
  </si>
  <si>
    <t>Argentina’s relatively small and fragmented insurance market was nationalised by President Cristina Fernández de Kirchner in December of 2008. This bodes poorly for infrastructure finance, as it introduces political discretion in the administering of long-term finance investments. Moreover, public debt issues collapsed in 2008, effectively losing 90% of their value, reducing the possibility that an efficient infrastructure financing market will be available through domestic capital markets.</t>
  </si>
  <si>
    <t xml:space="preserve">Argentina declared a sovereign-debt default in December 2001; nevertheless, by June 2005 it had restructured 76% of its debt, with bondholders accepting a 70% reduction of principal. Since the default, and thanks to a resurgence in many emerging countries, access to capital for the government and large companies has improved. Yet there is no serious demand in the local market for medium- and long-term credit; moreover, institutional constraints make banks rather conservative, and they hesitate to lend beyond the short term. The pattern of crossborder lending is not very different. In the central bank’s tracking of the foreign debt of the private sector, it recorded an outstanding debt level of US$52bn in December 2007, an increase of 7% from US$48.5bn a year earlier. The non-financial private sector accounted for 90% of the debt stock. Despite the nominal increase in the stock of foreign debt, the trend continues to be downward when measured against GDP, international reserves or exports. The average crossborder loan maturity at end-2007 was 2.5 years. </t>
  </si>
  <si>
    <t xml:space="preserve">Law 11079/04 establishes, for the first time, the possibility of arbitrating disputes according to the arbitration regulations established in Law 9307 of 1996. However laws do not regulate arbitration proceedings, allowing these to follow a free-flowing, consensus-based path which transforms the process into a discretionary and subjective one. Not surprisingly, there is a growing tendency to resolve contract disputes bilaterally, using arbitration rulings merely to validate, rather than oversee, informal agreements.  In addition to significant improvements that could be made regarding the nature of arbitration, other pre-court settlement mechanisms are only in incipient stages. Finally, Judicial Courts do not handle cases in a predictable way, moreover appeals to courts should be limited to extraordinary situations only. Dispute resolution mechanisms do not incorporate technical settlement options. </t>
  </si>
  <si>
    <t>"Are public capabilities for planning, design/engineering, environmental assessment, oversight of project service standards and conflict resolution robust? And do government officials have expertise on project financing, risk evaluation and contract design?  Do financial authorities employ proper accounting practices when considering fiscal and contingent liabilities? Do they have a reputation for designing contracts that reduce post-bid opportunism?"</t>
  </si>
  <si>
    <t>"What is the PPP Agencies ' track record for using competitive bidding and objective economic factors as the primary consideration in final project and contract awards? Are incentive-efficient schemes used for allocating projects (for example, in toll road projects, using net present value of revenue with contract periods of variable length)?"</t>
  </si>
  <si>
    <t>"Has the allocation of risk between the state and private sector been successful in recent years? How effective has the use of guarantees and performance bonds for project risk diversification been?"</t>
  </si>
  <si>
    <t>The judicial system is often biased, slow, inefficient and open to manipulation. The system for selection of high court judges was reformed in 2002 to reduce political influence. Supreme Court judges are now selected from a broad-based panel rather than by political parties, although the judiciary is still open to corruption and political influence. Property rights are not always clearly established, but the national arbitration system, and the possibility of recourse to international arbitration, has helped reduce the risk of expropriation of concessions.</t>
  </si>
  <si>
    <t xml:space="preserve">Laws do not outline the criteria for awarding projects. Awards have been based largely on negotiations that may or may not consider economic or technical project aspects. </t>
  </si>
  <si>
    <t>The private sector in the past has often transferred commercial risks to the state rather than taking responsibility for financial losses. International firms that have undertaken concessions have financed their projects with external funds. Risk hedging instruments have been used in a few cases.</t>
  </si>
  <si>
    <t>The government’s capacity to plan and prepare projects is limited. Indeed, the inability to carry out proper engineering efforts, environmental studies and social evaluations limits the flow of projects and often leads to poorly prepared bids.</t>
  </si>
  <si>
    <t>The Peruvian government has a good track record for paying concessionaires the sums promised to them, and for doing so in a timely manner.</t>
  </si>
  <si>
    <t>The airport concessions project in Tegucigalpa was plagued by conflicts and negative perceptions. In retrospect, it is clear that the contract did not effectively assign risks to the parties involved and that management of these risks was insufficient to protect the public interest.</t>
  </si>
  <si>
    <t>Concession projects in Honduras do not benefit from government subsidies or payment commitments. This indicator, therefore, is difficult to evaluate. In the case of the airport concession, the private sector contractor received a fraction of the revenue collected, with the remainder going to the Civil Aeronautics Service. The airport’s expansion is limited by the state’s inability to expropriate land because it cannot pay land owners for their territory. There have also been cases in which a lack of payment for indemnities related to public works expropriation delayed public-private projects.</t>
  </si>
  <si>
    <t xml:space="preserve">Although Nicaragua has had few concession projects in transport and water sectors from which to judge the government’s payment risk, in other infrastructure sectors where concessions have been developed, public fulfillment of obligations has been low. The Economist Intelligence Unit rates the government’s debt payment risk rating at a CC, on par with Jamaica and Ecuador. </t>
  </si>
  <si>
    <t>Institutional investors with the capacity to invest in medium and long-term debt instruments in local currency exist in the country. There are also some hedging instruments against exchange rate risks, albeit these are of short-term maturity. The hedging market and instruments aimed at reducing the risks of "project completion" are still very limited.</t>
  </si>
  <si>
    <t>In Colombia the demand for medium-term financing has traditionally outstripped supply. Most available credit for corporate clients is limited to maturities of one year or less, though blue-chip companies receive loans for three years and, rarely, for five years. The 2005 through mid-2007 period was an exception to this trend, as abundant liquidity in the local and international markets drove local banks to extend their loan maturities to five years in general, and in the case for a few blue-chip companies to unprecedented tenors of seven and even ten years. However, as liquidity conditions began to tighten from mid-2007, the long-term lending market is gradually returning to the traditional maturities and costs. Longer-term credit remains available from foreign commercial and development banks, multilateral agencies, local development banks and government programmes.</t>
  </si>
  <si>
    <t>Controlled prices exist only in sectors dominated by natural monopolies, including water, electricity and fixed-line telephony. Separate regulatory agencies and regulatory regimes cover each of these services. However, the subsidies in place often lack the necessary focus on low income groups and are either structured as cross subsidies (where high charges to certain users "subsidise” low charges for others) or up-front subsidies for short-term infrastructure improvement or expansion.</t>
  </si>
  <si>
    <t>Costa Rica’s Public Works Concessions Act of 1998 enables the establishment and regulation of private investment in public projects and sectors irrespective of the government agency responsible for contracting out the service or asset. An executive secretariat in the National Concessions Council (Consejo Nacional de Concesiones- CNC, an autonomous agency under the Ministry of Public Works and Transport), bears the responsibility of preparing, tendering and supervising projects. The CNC executive secretariat is also in charge of monitoring project construction and operations. The Regulatory Agency of Public Services has some limited responsibilities regarding tariff modification. However, the bodies responsible for contracted public services which benefit from fiscal resources can vary. The law establishes a contractor’s right to be compensated in the event that a project’s financial situation changes. However laws do not clearly establish creditors’ rights to future concession project cash flows, a problem that generates risk for investors in cases of premature contract termination.</t>
  </si>
  <si>
    <t xml:space="preserve">Costa Rica has an investment planning system that each government undertakes seriously. The National Development Plan defines the strategic objectives of economic, social and sector policies.  In general, cost/benefit analysis is used in decisions concerning investments in public infrastructure sectors. No formal comparison of concessions with public investment options is required. However, there is enough clarity and technical agreement concerning which projects qualify for a concessions scheme. These are high-traffic highways, ports, airports and water and drainage services in high density and urban areas. There is no formal accounting system for contingent liabilities used by the Treasury. However, until now the state has effectively awarded and managed guarantees; a majority of projects are sustained by traffic guarantees that represent 70% of the expected cost of cash flows. Deferred investment payments are not accounted for in a manner consistent with public investment accounting. </t>
  </si>
  <si>
    <t xml:space="preserve">The legal environment in Costa Rica is favorable to business. The judiciary is independent, and it is highly unlikely that future governments will violate this well-established provision of the Constitution. However, the problems of the slowness and complexity of the judicial process are not expected to be solved soon. Arbitration Law 1770  and  alternate dispute resolution  Law 7727, both passed in 1997 , established the framework for dispute resolution arbitration schemes in concession cases. These laws set up dispute resolution mechanisms to be used prior to going to court. Once the arbitration option has been chosen, only extraordinary appeals may be made, although the law also establishes that only matters concerning technical issues may be submitted to arbitration. To challenge unilateral actions by the government, the use of national courts is mandatory. Although arbitration mechanisms are consistent with international proceedings, they follow equity grounds and are flexible in nature, creating the possibility of resolving conflicts through amicable deals between the concessionaire and the state. This method is not appropriate for settling conflicts that originate from a public tender process. </t>
  </si>
  <si>
    <t xml:space="preserve">Powers and attributions of PPP bodies in Costa Rica are not clearly assigned, despite the fact that the institutional setup and design would suggest a satisfactory framework. This generates vacuums, conflicts of interest and co-ordination problems between agencies. For example, the National Highways Council does not take part in formulating road projects, awarding them or controlling construction. However, it is the only principal with the power to expropriate land. Meanwhile, the National Concessions Council controls and supervises contracts. Furthermore, regulatory bodies must ensure that tariffs are correctly applied, but they cannot judge the reasonableness of tariff changes for additional works. On the other hand, the Comptroller, who is responsible for making sure that public acts are abided by, is involved in questioning aspects concerning policies or management. </t>
  </si>
  <si>
    <t xml:space="preserve">The executive secretariat of the National Concessions Council has excessive responsibility for the process of managing concessions. It has limited technical capacity, frequent changes in directors and, in general, a scarcity of qualified personnel that concession management processes require. This leads to poorly prepared projects that generate multiple conflicts with contractors. </t>
  </si>
  <si>
    <t>The existence of a clause establishing financial balance for concessions alters what is established by the tender conditions and in contracts. It induces litigation and a transfer of commercial risks to the state. The experience of the concession of the San José airport is an important case, because ultimately the contractor did not fulfill his promises and the concession was annulled. This generated a poor reputation for an otherwise important project. The state also assumes part of the risks for highway projects by guaranteeing 70% of the expected value of traffic. However, it is unclear whether such high guarantee levels reduce financial risks or merely safeguard financial creditors.</t>
  </si>
  <si>
    <t xml:space="preserve">Macroeconomic risk has increased owing to slowing economic growth and a deteriorating international environment. It remains constrained by the size of the external deficit, internal debt stock and high dollarisation of the banking system, which act as a drag on GDP growth and make the economy vulnerable to changes in investor sentiment. Until 2007 high interest rates led the authorities to maintain a rate of currency depreciation, through a system of crawling-peg adjustments, adding to inflationary pressures and forcing up debt service costs. Progress has been achieved on these fronts recently. A reduction of the fiscal deficit in recent years and the adoption of a regime of exchange-rate bands since 2006 have helped to reduce interest rates. However, the fiscal surplus is projected to turn to deficit again in 2009. Further progress will be dependent on progress in the reform agenda. </t>
  </si>
  <si>
    <t xml:space="preserve">The threat from civil unrest is very low as the country's strong tradition of peaceful protest (stretching back to before the armed forces were abolished in 1949) is expected to endure. Organised crime will continue to be a problem, but less so than in neighbouring countries and it is unlikely to affect legitimate businesses. The labour market is expected to remain free of most restrictions, with remuneration determined mostly by the market. However, guidelines for wages in the private sector will continue to be set centrally via bi-annual adjustments in the minimum wage decided by a government-employer-union commission, the Consejo Nacional de Salarios. Union power will continue to be weak in the private sector, as will the threat from strike action. </t>
  </si>
  <si>
    <t>El Salvador has an investment evaluation system that orients public investment. However, concession decisions are the exception, as these are tied to political gerrymandering; political deadlock has prevented developing water, port and airport concessions.</t>
  </si>
  <si>
    <t xml:space="preserve">Laws establish requirements for tenders and transparency, although exceptions often are the norm. In general, the infrastructure sector has a low level of transparency with regard to contract awards. Foreign investors, however, do not face discrimination. </t>
  </si>
  <si>
    <t xml:space="preserve">The state assumes all project risks, both commercial and financial, for PPP projects formulated and awarded. Projects are structured as a concession so as to avoid accounting for the investment as a deficit, and the higher costs of financing are not offset by transferring the risks to private persons or bodies. In the case of the CORAL fast motorway concession , the government paid the private contractor as the work progressed, similar to the way the government would finance a public project. The revenue from tolls is minor compared with the minimum guarantee from the government, which in practice implies a hidden implicit subsidy.  </t>
  </si>
  <si>
    <t>According to data from the World Bank, in the past ten years the Dominican Republic has had a total of 7 projects across the water and transport sectors; however, these were exclusively in the transport sector. Across the four major infrastructure sectors (ie, water, transport, energy and telecoms), transport concessions represented 58% of all projects. (Figures do not include management and lease contracts or divestitures. Please note that numbers do not necessarily match explanations for other indicators in this index due to different counting methods and time frames.)</t>
  </si>
  <si>
    <t>Out of 7 projects in the World Bank PPI database for the transport and water sectors, the Dominican Republic did not experience any cancellations or distress. (Figures do not include management and lease contracts or divestitures. Please note that numbers do not necessarily match explanations for other indicators in this index due to different counting methods and time frames.)</t>
  </si>
  <si>
    <t xml:space="preserve">The regulatory framework in sectors such as energy is subject to changes, and political interference in regulatory bodies, as evidenced by the handling of the 2003 banking crisis, prevails. The practice of dual accounts in companies for tax evasion purposes is common. Governability has been bolstered by the May 2008 election victory of Leonel Fernández of the Partido de la Liberación Dominicana (PLD), which has a majority in Congress until 2010 elections, and a weakened opposition that is still struggling to refine its message and strategy. Mr Fernández's new cabinet maintains key economic policymakers in their posts. The staggering of congressional and presidential elections at two-year intervals will continue to hinder effectiveness until this is reformed. The level of administrative competence is only adequate at the highest levels. Lower down, the civil service is inefficient and subject to wholesale changes of personnel when there is a change of government. Red tape increases the cost of doing business. Clientelism and a lack of accountability foster corruption at all levels, creating an uneven playing field for business. The police and judiciary lack the resources to tackle crime and corruption, and human rights abuses are becoming more of a concern. </t>
  </si>
  <si>
    <t xml:space="preserve">Since taking office in 2004 the Fernández administration has stabilised the economy and reduced its vulnerability to shocks. After a doubling of the public debt/GDP ratio to 57% under the previous administration, fiscal adjustment, a GDP growth rebound and currency revaluation have reduced this to an estimated 33% of GDP at end-2008. Even so, the government needs to run primary surpluses of around 1.5% of GDP over the medium term in order to reduce the public debt/GDP ratio to more comfortable levels—something that successive governments have failed to do on a sustained basis. After surpassing non-financial public-sector (NFPS) targets in 2007, the government accounts lapsed into a deficit of 3% of GDP in 2008. The country's GDP growth prospects are extremely vulnerable to the sharp economic downturn in the US and global economy, which will hit tourism and export earnings. The poor fiscal management of 2008 will lead to higher deficits in 2009-10. </t>
  </si>
  <si>
    <t xml:space="preserve">Despite widespread poverty, social unrest has receded amidst strong economic growth in 2006-08, but the ensuing economic slowdown could give rise to protests. Rising electricity prices, more frequent blackouts or a removal of fuel and food subsidies have also sparked discontent. There is also potential for social tensions arising from new waves of migration from neighbouring Haiti. </t>
  </si>
  <si>
    <t xml:space="preserve">The state has a bad reputation as a payer and this is a situation that has gotten worse as a result of an increase in the deficit. </t>
  </si>
  <si>
    <t xml:space="preserve">There is no domestic capital market with the wherewithal to provide any significant financing for the medium-term. Private pension funds do exist in the Dominican Republic, but their accumulated resources are still small; moreover, as a result of prudential regulations, the funds have still not delved significantly into the corporate debt and capitals market. The local banking system plays a very limited role in the medium-term financing of projects. No market for project risk hedging instruments for exists. </t>
  </si>
  <si>
    <t>There is only a freely-traded market for short-term, government bonds in local-currency denominations. Although large-scale public investment projects under the Mejía government (2000-04) were financed by an external bond issue in 2001, domestic demand began to weaken by the second half of 2002, as inflation and currency depreciation eroded real incomes. A financial crisis in 2003 brought the peso under severe pressure, damaged confidence and lifted inflation, deterring investment and eroding purchasing power. From 2004-07 GDP growth remained strong, ranging from 8.5% to 10.7% in any given year, but the outlook is dim since end-2008 and into 2009.</t>
  </si>
  <si>
    <t>Subsidy policies are not focused on basic services for lower income brackets. In the electricity sector most subsidies are offered to all. The magnitude of across-the-board subsidies has even created macroeconomic difficulties, increasing significantly fiscal deficits.</t>
  </si>
  <si>
    <t xml:space="preserve">Ecuador passed a State Modernisation Act in 1993 to delegate Public Services to the private sector. This law included the transport, drinking water and drainage sectors. A National Council with ministerial powers was established to supervise PPP processes and additional laws were passed for specific sectors to further facilitate private participation in infrastructure. For example, port authorities were given the powers to tender specific terminals for private sector concessions under the Modernisation Act 1993. Highways, airports and water and drainage systems have also been contracted under this act. Regulations within the law establish that the economic equation of a contract must be maintained; this paves the way for multiple contract renegotiations and excessive transferring of commercial risks to the state. The new 2008 state constitution has made significant changes to the previous frameworks, however. Article 314 states that government is responsible for public “universal” service provision, ensuring “fair” prices. Article 316 of the constitution states that "the state may, as an exception, delegate…exercising these services…out to private initiative". Article 318 points out that "public water and drainage services and the supply of drinking water" will be rendered exclusively by state-owned or community legal bodies. These constitutional rules made existing concession initiatives highly vulnerable to expropriation and obligatory contract changes, also decreasing the likelihood of developing new projects. The central Government has already attempted to annul existing concessions such as the Port of Manta, Quito airport and select drinking water concessions. </t>
  </si>
  <si>
    <t>At present, investment decisions and how they are financed are eminently political. Sector-specific Ministries are responsible for these decisions and associated services undertaken for the projects and services. Only public or mixed enterprises (with a public majority stake) are allowed to provide public services or control strategic sectors. In exceptional cases, legislation allows the state to concede these areas to private enterprises (Article 316).</t>
  </si>
  <si>
    <t>The new constitution establishes that the state will encourage domestic and international investments and it will implement specific regulations for each sector. However, the new constitution gives precedence to domestic investment (Article 339), and direct foreign investment is subject to the National Development Plan. Strategic sectors could receive financing through public-private companies in which the state holds a majority stake (over 50%). In exceptional cases, the state may allow companies to be privatised in strategic sectors such as water and transport, but again foreign bidders will be at a disadvantage relative to domestic ones. Regardless of any changes to the legal framework for concessions, previous efforts to bring in investors or to award contracts for other infrastructure sectors (such as electricity and telecom) have failed repeatedly. Attempts by the last several administrations failed because of political resistance, legal difficulty or simply lack of investor interest.</t>
  </si>
  <si>
    <t>Previously, highway contract bidding was conducted simultaneously (eg, all the toll road concession contracts were assigned at the same time), increasing collusion risk between private sector companies. For the most part bids only included domestic companies. Law 1299 of 2000 required public tendering for projects, but also limited foreign capital participation to 51% of total investment, compelling non-domestic firms to associate with local companies. In 2005, specific conditions in water sector contracts have been established mostly through negotiation of the economic and technical project elements with the municipality and state officials responsible for the process. This introduces real transparency concerns. Decrees 966 and 967 of 2005 established procedures whereby companies submit proposals and the government has 60 days to determine whether the project qualifies as being “in the public interest”. If so, the government may then organise a tender to choose a private-sector partner. If the price difference between bidders is less than 5%, the firm that submitted the initial proposal has priority. If the original firm is not selected as the private-sector partner, the government is required to compensate the firm for the expenses associated with developing the proposal.</t>
  </si>
  <si>
    <t xml:space="preserve">Law 1299 allows the use of arbitration for resolving concession disputes. Argentina is also a member of the International Centre for Settlement of Investment Disputes (ICSID), which allows foreign investors to make claims against arbitrary actions by the government. However, in 2004 an unprecedented ruling by the Argentinean Supreme Court determined that any arbitration related to Argentina’s "public policies" may be appealed at domestic courts, even if the parties have explicitly waived appealing. This damaged the credibility of dispute resolution systems in place to resolve disagreements between the state and contracting companies. It also increases the risk that domestic politicians and judges will be hostile to international arbitration agreements. </t>
  </si>
  <si>
    <t>There is a long history of political interference with the Supreme Court, and the judiciary has issued contradictory rulings in key areas. There is no neutral appeal system for rulings by concession regulators. The need for an effective appeal and arbitration system is high, as the state has repeatedly altered prices and service level in sectors like water, electricity, gas and roads.  Moreover, major currency devaluation at the beginning of the decade and the subsequent rate freezing caused nearly all contracted projects to enter into a crisis. This led to modifications in regulating mechanisms allowing public investment in leased highways and to the cancellation of important potable water and sanitisation contracts. In 2008, Argentina had to face 34 indemnity claims from ICSID, which exemplify the magnitude of potential damage to foreign private investment by recent government policies.</t>
  </si>
  <si>
    <t xml:space="preserve">Colombia does not have any special laws for concessions. However the government did establish the power to contract out public services in the General Public Acquisitions Act (Act 80). At the same time, specific sector laws were passed, such as Law No 105 of 1993, to authorise different levels of government to commit funds for highways to facilitate development through concession projects. In practice, regulations change as a result of resolutions handed down by the Economic Council of Ministers (CONPES) and as a result of the contracts themselves. Act 80 compels the state to re-establish the balance of a project’s economic equation, as defined in a project’s contract, “when unforeseen factors arise that alter it or which cannot be blamed upon the concessionaire”. The silence of Act 80 in key contract renegotiation areas compelled public bodies to establish regulations by decree. This meant that significant changes were made to the regulatory framework over a period of only a few years. For example, Decree 4533 of 2008 issued by the Ministry of Transport allows contractors to submit substantial modifications to concessions granted, allowing them to expand on an existing concession, without any limits on deadlines or costs. Thus, it is possible to indefinitely extend a deadline and exploit state assets by means of a concession, without being subject to a fairly regulated tender. The complexities created by such decrees, along with the different regulatory and contracting powers at different levels of government, have thereby created a system where regulations do not properly oversee concessions. These difficulties are compounded by the fact that the law was originally conceived for public purchases of goods and services and not for infrastructure investments. It also imposes obligations on applicant shareholders which prevent non-recourse contract financing, putting project financing at risk and burdening equity holders. Fiduciary mechanisms key to reducing risks for creditors are also constrained by regulations, further making project financing difficult. </t>
  </si>
  <si>
    <t>Instituto Nacional de Concesiones de Costa de Colombia (INCO) has limited skills and experience in preparing projects, which led the institution to abandon the policy of calling for general bids. Currently the institution proposes projects in which only preliminary engineering and environmental studies are developed prior to bidding, leaving the remainder for the concession stage. This means that environmental studies and land acquisition are the responsibilities of private persons. INCO does not have specialised financial or contracting skills, or any project follow-up capabilities. The Treasury has developed some competencies aimed at evaluating the risks and contingent liabilities of concession projects and establishing reserve funds for such liabilities. On a more decentralised level, municipalities and departments have limited technical skills for project preparation.</t>
  </si>
  <si>
    <t>In the transport sector, public bidding mechanisms to award PPP investment projects are used at the federal level. The variables for awarding a contract are principally economic in nature, although well-regarded measures such as the present value of revenue are not used. Not using the latter measure, which incorporates the possibility of adjusting the length of the concession when demand falls and shortening it when demand rises, increases the need for renegotiation. Fixed terms imply lost profits when demand is lower than expected and excessive profits when demand is higher than expected. In the case of recent bids for toll highways, such as the Farac project, the unusually high prices and profits demonstrate insufficient planning capacity during bidding. In the sanitary and water sector, processes are not competitive and contract award criteria are highly subjective.</t>
  </si>
</sst>
</file>

<file path=xl/styles.xml><?xml version="1.0" encoding="utf-8"?>
<styleSheet xmlns="http://schemas.openxmlformats.org/spreadsheetml/2006/main">
  <numFmts count="7">
    <numFmt numFmtId="43" formatCode="_(* #,##0.00_);_(* \(#,##0.00\);_(* &quot;-&quot;??_);_(@_)"/>
    <numFmt numFmtId="172" formatCode="0.0"/>
    <numFmt numFmtId="173" formatCode="0.0%"/>
    <numFmt numFmtId="175" formatCode="0.000"/>
    <numFmt numFmtId="176" formatCode="_(* #,##0_);_(* \(#,##0\);_(* &quot;-&quot;??_);_(@_)"/>
    <numFmt numFmtId="182" formatCode="0.000000000"/>
    <numFmt numFmtId="186" formatCode="#,##0.0"/>
  </numFmts>
  <fonts count="78">
    <font>
      <sz val="10"/>
      <name val="Arial"/>
    </font>
    <font>
      <sz val="10"/>
      <name val="Arial"/>
    </font>
    <font>
      <sz val="10"/>
      <name val="Arial"/>
      <family val="2"/>
    </font>
    <font>
      <sz val="10"/>
      <name val="Arial"/>
      <family val="2"/>
    </font>
    <font>
      <sz val="8"/>
      <name val="Verdana"/>
      <family val="2"/>
    </font>
    <font>
      <b/>
      <sz val="8"/>
      <name val="Verdana"/>
      <family val="2"/>
    </font>
    <font>
      <sz val="9"/>
      <name val="Verdana"/>
      <family val="2"/>
    </font>
    <font>
      <sz val="9"/>
      <color indexed="23"/>
      <name val="Verdana"/>
      <family val="2"/>
    </font>
    <font>
      <sz val="10"/>
      <color indexed="8"/>
      <name val="MS Sans Serif"/>
      <family val="2"/>
    </font>
    <font>
      <b/>
      <sz val="12"/>
      <color indexed="55"/>
      <name val="Arial"/>
      <family val="2"/>
    </font>
    <font>
      <sz val="10"/>
      <color indexed="23"/>
      <name val="Arial"/>
      <family val="2"/>
    </font>
    <font>
      <sz val="9"/>
      <color indexed="61"/>
      <name val="Verdana"/>
      <family val="2"/>
    </font>
    <font>
      <sz val="10"/>
      <color indexed="17"/>
      <name val="Arial"/>
      <family val="2"/>
    </font>
    <font>
      <sz val="10"/>
      <color indexed="55"/>
      <name val="Arial"/>
      <family val="2"/>
    </font>
    <font>
      <i/>
      <sz val="10"/>
      <color indexed="10"/>
      <name val="Arial"/>
      <family val="2"/>
    </font>
    <font>
      <sz val="10"/>
      <color indexed="10"/>
      <name val="Arial"/>
      <family val="2"/>
    </font>
    <font>
      <sz val="8"/>
      <color indexed="10"/>
      <name val="Verdana"/>
      <family val="2"/>
    </font>
    <font>
      <sz val="9"/>
      <color indexed="10"/>
      <name val="Verdana"/>
      <family val="2"/>
    </font>
    <font>
      <b/>
      <sz val="8"/>
      <color indexed="10"/>
      <name val="Verdana"/>
      <family val="2"/>
    </font>
    <font>
      <sz val="10"/>
      <color indexed="10"/>
      <name val="Arial"/>
      <family val="2"/>
    </font>
    <font>
      <b/>
      <sz val="10"/>
      <color indexed="56"/>
      <name val="Verdana"/>
      <family val="2"/>
    </font>
    <font>
      <b/>
      <sz val="10"/>
      <color indexed="9"/>
      <name val="Verdana"/>
      <family val="2"/>
    </font>
    <font>
      <b/>
      <sz val="12"/>
      <name val="Arial"/>
      <family val="2"/>
    </font>
    <font>
      <sz val="8"/>
      <name val="Tahoma"/>
      <family val="2"/>
    </font>
    <font>
      <sz val="8"/>
      <color indexed="23"/>
      <name val="Verdana"/>
      <family val="2"/>
    </font>
    <font>
      <i/>
      <sz val="10"/>
      <name val="Arial"/>
      <family val="2"/>
    </font>
    <font>
      <sz val="8"/>
      <name val="Arial"/>
      <family val="2"/>
    </font>
    <font>
      <b/>
      <sz val="10"/>
      <name val="Arial"/>
      <family val="2"/>
    </font>
    <font>
      <sz val="10"/>
      <name val="Verdana"/>
      <family val="2"/>
    </font>
    <font>
      <b/>
      <sz val="10"/>
      <name val="Verdana"/>
      <family val="2"/>
    </font>
    <font>
      <sz val="12"/>
      <name val="Times New Roman"/>
      <family val="1"/>
    </font>
    <font>
      <u/>
      <sz val="10"/>
      <color indexed="12"/>
      <name val="Arial"/>
      <family val="2"/>
    </font>
    <font>
      <sz val="10"/>
      <color indexed="10"/>
      <name val="Arial"/>
      <family val="2"/>
    </font>
    <font>
      <sz val="8"/>
      <name val="Arial"/>
      <family val="2"/>
    </font>
    <font>
      <sz val="10"/>
      <color indexed="10"/>
      <name val="Verdana"/>
      <family val="2"/>
    </font>
    <font>
      <sz val="10"/>
      <color indexed="23"/>
      <name val="Verdana"/>
      <family val="2"/>
    </font>
    <font>
      <sz val="10"/>
      <color indexed="17"/>
      <name val="Verdana"/>
      <family val="2"/>
    </font>
    <font>
      <sz val="9"/>
      <color indexed="56"/>
      <name val="Verdana"/>
      <family val="2"/>
    </font>
    <font>
      <sz val="9"/>
      <color indexed="60"/>
      <name val="Verdana"/>
      <family val="2"/>
    </font>
    <font>
      <b/>
      <sz val="12"/>
      <color indexed="9"/>
      <name val="Arial"/>
      <family val="2"/>
    </font>
    <font>
      <sz val="9"/>
      <color indexed="10"/>
      <name val="Calibri"/>
      <family val="2"/>
    </font>
    <font>
      <b/>
      <sz val="18"/>
      <color indexed="8"/>
      <name val="Calibri"/>
      <family val="2"/>
    </font>
    <font>
      <b/>
      <sz val="9"/>
      <color indexed="8"/>
      <name val="Calibri"/>
      <family val="2"/>
    </font>
    <font>
      <sz val="10"/>
      <color indexed="10"/>
      <name val="Arial"/>
      <family val="2"/>
    </font>
    <font>
      <sz val="8"/>
      <name val="Arial"/>
      <family val="2"/>
    </font>
    <font>
      <sz val="10"/>
      <color indexed="13"/>
      <name val="Arial"/>
      <family val="2"/>
    </font>
    <font>
      <b/>
      <sz val="10"/>
      <color indexed="9"/>
      <name val="Calibri"/>
      <family val="2"/>
    </font>
    <font>
      <sz val="10"/>
      <color indexed="23"/>
      <name val="Calibri"/>
      <family val="2"/>
    </font>
    <font>
      <sz val="10"/>
      <name val="Calibri"/>
      <family val="2"/>
    </font>
    <font>
      <sz val="11"/>
      <name val="Calibri"/>
      <family val="2"/>
    </font>
    <font>
      <b/>
      <sz val="14"/>
      <name val="Calibri"/>
      <family val="2"/>
    </font>
    <font>
      <sz val="12"/>
      <name val="Calibri"/>
      <family val="2"/>
    </font>
    <font>
      <b/>
      <sz val="9"/>
      <name val="Verdana"/>
      <family val="2"/>
    </font>
    <font>
      <sz val="10"/>
      <color indexed="10"/>
      <name val="Arial"/>
      <family val="2"/>
    </font>
    <font>
      <sz val="12"/>
      <name val="Calibri"/>
      <family val="2"/>
    </font>
    <font>
      <b/>
      <sz val="12"/>
      <name val="Calibri"/>
      <family val="2"/>
    </font>
    <font>
      <sz val="8"/>
      <name val="Calibri"/>
      <family val="2"/>
    </font>
    <font>
      <sz val="9"/>
      <name val="Arial"/>
      <family val="2"/>
    </font>
    <font>
      <sz val="9"/>
      <color indexed="9"/>
      <name val="Arial"/>
      <family val="2"/>
    </font>
    <font>
      <b/>
      <sz val="9"/>
      <color indexed="9"/>
      <name val="Arial"/>
      <family val="2"/>
    </font>
    <font>
      <sz val="8"/>
      <name val="Arial"/>
      <family val="2"/>
    </font>
    <font>
      <sz val="8"/>
      <name val="Arial"/>
    </font>
    <font>
      <sz val="9"/>
      <name val="Calibri"/>
      <family val="2"/>
    </font>
    <font>
      <b/>
      <sz val="9"/>
      <name val="Calibri"/>
      <family val="2"/>
    </font>
    <font>
      <b/>
      <sz val="10"/>
      <name val="Arial"/>
    </font>
    <font>
      <sz val="9"/>
      <name val="Arial"/>
    </font>
    <font>
      <sz val="11"/>
      <name val="Arial"/>
    </font>
    <font>
      <b/>
      <sz val="10"/>
      <color indexed="20"/>
      <name val="Arial"/>
      <family val="2"/>
    </font>
    <font>
      <b/>
      <sz val="10"/>
      <color indexed="9"/>
      <name val="Arial"/>
      <family val="2"/>
    </font>
    <font>
      <sz val="10.5"/>
      <color indexed="23"/>
      <name val="Calibri"/>
      <family val="2"/>
    </font>
    <font>
      <sz val="10.5"/>
      <name val="Calibri"/>
      <family val="2"/>
    </font>
    <font>
      <sz val="10.5"/>
      <name val="Arial"/>
    </font>
    <font>
      <sz val="10"/>
      <name val="Arial"/>
    </font>
    <font>
      <b/>
      <sz val="8"/>
      <color indexed="20"/>
      <name val="Verdana"/>
      <family val="2"/>
    </font>
    <font>
      <u/>
      <sz val="10"/>
      <name val="Arial"/>
      <family val="2"/>
    </font>
    <font>
      <vertAlign val="superscript"/>
      <sz val="10"/>
      <name val="Arial"/>
      <family val="2"/>
    </font>
    <font>
      <sz val="9"/>
      <color indexed="8"/>
      <name val="Arial"/>
      <family val="2"/>
    </font>
    <font>
      <sz val="11"/>
      <color theme="1"/>
      <name val="Calibri"/>
      <family val="2"/>
      <scheme val="minor"/>
    </font>
  </fonts>
  <fills count="15">
    <fill>
      <patternFill patternType="none"/>
    </fill>
    <fill>
      <patternFill patternType="gray125"/>
    </fill>
    <fill>
      <patternFill patternType="solid">
        <fgColor indexed="45"/>
        <bgColor indexed="64"/>
      </patternFill>
    </fill>
    <fill>
      <patternFill patternType="solid">
        <fgColor indexed="60"/>
        <bgColor indexed="64"/>
      </patternFill>
    </fill>
    <fill>
      <patternFill patternType="solid">
        <fgColor indexed="50"/>
        <bgColor indexed="64"/>
      </patternFill>
    </fill>
    <fill>
      <patternFill patternType="solid">
        <fgColor indexed="16"/>
        <bgColor indexed="64"/>
      </patternFill>
    </fill>
    <fill>
      <patternFill patternType="solid">
        <fgColor indexed="9"/>
        <bgColor indexed="64"/>
      </patternFill>
    </fill>
    <fill>
      <patternFill patternType="solid">
        <fgColor indexed="57"/>
        <bgColor indexed="64"/>
      </patternFill>
    </fill>
    <fill>
      <patternFill patternType="solid">
        <fgColor indexed="13"/>
        <bgColor indexed="64"/>
      </patternFill>
    </fill>
    <fill>
      <patternFill patternType="solid">
        <fgColor indexed="42"/>
        <bgColor indexed="64"/>
      </patternFill>
    </fill>
    <fill>
      <patternFill patternType="solid">
        <fgColor indexed="22"/>
        <bgColor indexed="64"/>
      </patternFill>
    </fill>
    <fill>
      <patternFill patternType="solid">
        <fgColor indexed="44"/>
        <bgColor indexed="64"/>
      </patternFill>
    </fill>
    <fill>
      <patternFill patternType="solid">
        <fgColor indexed="51"/>
        <bgColor indexed="64"/>
      </patternFill>
    </fill>
    <fill>
      <patternFill patternType="solid">
        <fgColor indexed="14"/>
        <bgColor indexed="64"/>
      </patternFill>
    </fill>
    <fill>
      <patternFill patternType="solid">
        <fgColor indexed="52"/>
        <bgColor indexed="64"/>
      </patternFill>
    </fill>
  </fills>
  <borders count="12">
    <border>
      <left/>
      <right/>
      <top/>
      <bottom/>
      <diagonal/>
    </border>
    <border>
      <left/>
      <right/>
      <top/>
      <bottom style="thin">
        <color indexed="55"/>
      </bottom>
      <diagonal/>
    </border>
    <border>
      <left/>
      <right/>
      <top style="thin">
        <color indexed="22"/>
      </top>
      <bottom style="thin">
        <color indexed="22"/>
      </bottom>
      <diagonal/>
    </border>
    <border>
      <left/>
      <right/>
      <top/>
      <bottom style="thin">
        <color indexed="22"/>
      </bottom>
      <diagonal/>
    </border>
    <border>
      <left/>
      <right/>
      <top/>
      <bottom style="thin">
        <color indexed="9"/>
      </bottom>
      <diagonal/>
    </border>
    <border>
      <left/>
      <right/>
      <top style="thin">
        <color indexed="11"/>
      </top>
      <bottom style="thin">
        <color indexed="11"/>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s>
  <cellStyleXfs count="10">
    <xf numFmtId="0" fontId="0" fillId="0" borderId="0"/>
    <xf numFmtId="0" fontId="3" fillId="0" borderId="0"/>
    <xf numFmtId="0" fontId="30" fillId="0" borderId="0" applyNumberFormat="0" applyFill="0" applyBorder="0" applyAlignment="0" applyProtection="0"/>
    <xf numFmtId="43" fontId="1" fillId="0" borderId="0" applyFont="0" applyFill="0" applyBorder="0" applyAlignment="0" applyProtection="0"/>
    <xf numFmtId="0" fontId="31" fillId="0" borderId="0" applyNumberFormat="0" applyFill="0" applyBorder="0" applyAlignment="0" applyProtection="0">
      <alignment vertical="top"/>
      <protection locked="0"/>
    </xf>
    <xf numFmtId="0" fontId="3" fillId="0" borderId="0">
      <alignment horizontal="left" wrapText="1"/>
    </xf>
    <xf numFmtId="0" fontId="77" fillId="0" borderId="0"/>
    <xf numFmtId="0" fontId="8" fillId="0" borderId="0"/>
    <xf numFmtId="9" fontId="1" fillId="0" borderId="0" applyFont="0" applyFill="0" applyBorder="0" applyAlignment="0" applyProtection="0"/>
    <xf numFmtId="0" fontId="30" fillId="0" borderId="0" applyNumberFormat="0" applyFill="0" applyBorder="0" applyAlignment="0" applyProtection="0"/>
  </cellStyleXfs>
  <cellXfs count="246">
    <xf numFmtId="0" fontId="0" fillId="0" borderId="0" xfId="0"/>
    <xf numFmtId="0" fontId="15" fillId="0" borderId="0" xfId="0" applyFont="1"/>
    <xf numFmtId="0" fontId="3" fillId="0" borderId="0" xfId="0" applyFont="1"/>
    <xf numFmtId="0" fontId="16" fillId="0" borderId="0" xfId="0" applyFont="1"/>
    <xf numFmtId="0" fontId="4" fillId="0" borderId="0" xfId="0" applyFont="1"/>
    <xf numFmtId="0" fontId="4" fillId="0" borderId="0" xfId="1" applyFont="1" applyFill="1" applyAlignment="1"/>
    <xf numFmtId="0" fontId="5" fillId="0" borderId="0" xfId="0" applyFont="1"/>
    <xf numFmtId="0" fontId="5" fillId="0" borderId="0" xfId="1" applyFont="1" applyFill="1" applyAlignment="1"/>
    <xf numFmtId="0" fontId="17" fillId="0" borderId="0" xfId="0" applyFont="1"/>
    <xf numFmtId="0" fontId="6" fillId="0" borderId="0" xfId="0" applyFont="1"/>
    <xf numFmtId="0" fontId="16" fillId="0" borderId="0" xfId="0" applyFont="1" applyAlignment="1">
      <alignment horizontal="left"/>
    </xf>
    <xf numFmtId="0" fontId="4" fillId="0" borderId="0" xfId="0" applyFont="1" applyAlignment="1">
      <alignment horizontal="left"/>
    </xf>
    <xf numFmtId="0" fontId="5" fillId="0" borderId="0" xfId="0" applyFont="1" applyAlignment="1">
      <alignment horizontal="left"/>
    </xf>
    <xf numFmtId="0" fontId="0" fillId="0" borderId="0" xfId="0" applyAlignment="1">
      <alignment horizontal="right"/>
    </xf>
    <xf numFmtId="172" fontId="0" fillId="0" borderId="0" xfId="0" applyNumberFormat="1"/>
    <xf numFmtId="0" fontId="6" fillId="0" borderId="0" xfId="0" applyFont="1" applyAlignment="1">
      <alignment horizontal="right"/>
    </xf>
    <xf numFmtId="172" fontId="6" fillId="0" borderId="0" xfId="0" applyNumberFormat="1" applyFont="1"/>
    <xf numFmtId="173" fontId="7" fillId="0" borderId="0" xfId="1" applyNumberFormat="1" applyFont="1" applyAlignment="1">
      <alignment horizontal="right"/>
    </xf>
    <xf numFmtId="0" fontId="9" fillId="2" borderId="0" xfId="7" applyFont="1" applyFill="1" applyBorder="1" applyAlignment="1" applyProtection="1">
      <alignment horizontal="left" vertical="center" indent="2"/>
      <protection locked="0"/>
    </xf>
    <xf numFmtId="0" fontId="7" fillId="0" borderId="0" xfId="1" applyFont="1" applyAlignment="1">
      <alignment horizontal="left" indent="1"/>
    </xf>
    <xf numFmtId="0" fontId="10" fillId="0" borderId="0" xfId="0" applyFont="1" applyAlignment="1"/>
    <xf numFmtId="0" fontId="6" fillId="0" borderId="1" xfId="0" applyFont="1" applyBorder="1" applyAlignment="1">
      <alignment vertical="center"/>
    </xf>
    <xf numFmtId="173" fontId="6" fillId="0" borderId="1" xfId="0" applyNumberFormat="1" applyFont="1" applyBorder="1" applyAlignment="1">
      <alignment vertical="center"/>
    </xf>
    <xf numFmtId="0" fontId="11" fillId="0" borderId="0" xfId="0" applyFont="1" applyBorder="1" applyAlignment="1">
      <alignment vertical="center"/>
    </xf>
    <xf numFmtId="0" fontId="12" fillId="0" borderId="0" xfId="1" applyFont="1" applyAlignment="1"/>
    <xf numFmtId="0" fontId="13" fillId="0" borderId="0" xfId="1" applyFont="1" applyAlignment="1"/>
    <xf numFmtId="0" fontId="3" fillId="0" borderId="0" xfId="1" applyFont="1" applyAlignment="1"/>
    <xf numFmtId="0" fontId="0" fillId="0" borderId="0" xfId="0" applyAlignment="1"/>
    <xf numFmtId="0" fontId="3" fillId="0" borderId="0" xfId="0" applyFont="1" applyAlignment="1"/>
    <xf numFmtId="0" fontId="14" fillId="0" borderId="0" xfId="1" applyFont="1" applyFill="1" applyAlignment="1">
      <alignment horizontal="right"/>
    </xf>
    <xf numFmtId="1" fontId="0" fillId="0" borderId="0" xfId="0" applyNumberFormat="1" applyAlignment="1"/>
    <xf numFmtId="0" fontId="0" fillId="3" borderId="2" xfId="0" applyFill="1" applyBorder="1" applyAlignment="1" applyProtection="1">
      <protection locked="0"/>
    </xf>
    <xf numFmtId="173" fontId="0" fillId="0" borderId="2" xfId="0" applyNumberFormat="1" applyBorder="1" applyAlignment="1"/>
    <xf numFmtId="0" fontId="18" fillId="0" borderId="0" xfId="0" applyFont="1"/>
    <xf numFmtId="0" fontId="19" fillId="0" borderId="0" xfId="0" applyFont="1"/>
    <xf numFmtId="0" fontId="0" fillId="0" borderId="3" xfId="0" applyBorder="1" applyAlignment="1"/>
    <xf numFmtId="0" fontId="20" fillId="0" borderId="0" xfId="0" applyFont="1" applyFill="1" applyBorder="1" applyAlignment="1"/>
    <xf numFmtId="173" fontId="0" fillId="0" borderId="3" xfId="0" applyNumberFormat="1" applyBorder="1" applyAlignment="1"/>
    <xf numFmtId="0" fontId="0" fillId="0" borderId="2" xfId="0" applyBorder="1" applyAlignment="1"/>
    <xf numFmtId="173" fontId="6" fillId="0" borderId="1" xfId="8" applyNumberFormat="1" applyFont="1" applyBorder="1" applyAlignment="1">
      <alignment vertical="center"/>
    </xf>
    <xf numFmtId="0" fontId="21" fillId="4" borderId="0" xfId="7" applyFont="1" applyFill="1" applyAlignment="1">
      <alignment horizontal="left" vertical="top"/>
    </xf>
    <xf numFmtId="0" fontId="21" fillId="4" borderId="0" xfId="7" applyFont="1" applyFill="1" applyAlignment="1">
      <alignment horizontal="right" vertical="top"/>
    </xf>
    <xf numFmtId="0" fontId="21" fillId="4" borderId="0" xfId="7" applyFont="1" applyFill="1" applyBorder="1" applyAlignment="1">
      <alignment horizontal="left" vertical="top"/>
    </xf>
    <xf numFmtId="0" fontId="21" fillId="4" borderId="0" xfId="7" applyFont="1" applyFill="1" applyBorder="1" applyAlignment="1">
      <alignment horizontal="right" vertical="top"/>
    </xf>
    <xf numFmtId="0" fontId="22" fillId="2" borderId="0" xfId="7" applyFont="1" applyFill="1" applyBorder="1" applyAlignment="1" applyProtection="1">
      <alignment horizontal="left" vertical="center" indent="2"/>
      <protection locked="0"/>
    </xf>
    <xf numFmtId="0" fontId="24" fillId="2" borderId="4" xfId="7" applyFont="1" applyFill="1" applyBorder="1" applyAlignment="1" applyProtection="1">
      <alignment horizontal="right" vertical="center"/>
      <protection locked="0"/>
    </xf>
    <xf numFmtId="0" fontId="3" fillId="0" borderId="0" xfId="1" applyFont="1" applyFill="1" applyAlignment="1"/>
    <xf numFmtId="0" fontId="19" fillId="0" borderId="0" xfId="0" quotePrefix="1" applyFont="1"/>
    <xf numFmtId="176" fontId="0" fillId="0" borderId="0" xfId="3" applyNumberFormat="1" applyFont="1"/>
    <xf numFmtId="0" fontId="3" fillId="0" borderId="0" xfId="5" applyAlignment="1"/>
    <xf numFmtId="0" fontId="3" fillId="0" borderId="0" xfId="5" applyFont="1" applyAlignment="1"/>
    <xf numFmtId="0" fontId="27" fillId="0" borderId="0" xfId="5" applyFont="1" applyAlignment="1"/>
    <xf numFmtId="0" fontId="3" fillId="0" borderId="0" xfId="1" applyFont="1" applyAlignment="1">
      <alignment horizontal="left"/>
    </xf>
    <xf numFmtId="0" fontId="3" fillId="5" borderId="0" xfId="5" applyFill="1" applyAlignment="1"/>
    <xf numFmtId="0" fontId="25" fillId="0" borderId="0" xfId="5" applyFont="1" applyAlignment="1"/>
    <xf numFmtId="0" fontId="28" fillId="5" borderId="0" xfId="5" applyFont="1" applyFill="1" applyAlignment="1">
      <alignment horizontal="left" indent="2"/>
    </xf>
    <xf numFmtId="2" fontId="29" fillId="5" borderId="0" xfId="5" applyNumberFormat="1" applyFont="1" applyFill="1" applyAlignment="1"/>
    <xf numFmtId="0" fontId="2" fillId="0" borderId="0" xfId="0" applyFont="1"/>
    <xf numFmtId="0" fontId="2" fillId="0" borderId="0" xfId="1" applyFont="1" applyAlignment="1"/>
    <xf numFmtId="0" fontId="15" fillId="0" borderId="0" xfId="1" applyFont="1" applyAlignment="1"/>
    <xf numFmtId="0" fontId="32" fillId="0" borderId="0" xfId="0" applyFont="1"/>
    <xf numFmtId="0" fontId="2" fillId="0" borderId="0" xfId="0" applyFont="1" applyAlignment="1"/>
    <xf numFmtId="0" fontId="0" fillId="0" borderId="0" xfId="0" applyFill="1" applyAlignment="1"/>
    <xf numFmtId="0" fontId="8" fillId="0" borderId="0" xfId="0" applyFont="1" applyAlignment="1"/>
    <xf numFmtId="0" fontId="8" fillId="0" borderId="0" xfId="0" applyFont="1" applyFill="1" applyAlignment="1"/>
    <xf numFmtId="0" fontId="0" fillId="0" borderId="0" xfId="0" applyFill="1"/>
    <xf numFmtId="0" fontId="2" fillId="0" borderId="0" xfId="0" quotePrefix="1" applyFont="1" applyAlignment="1"/>
    <xf numFmtId="0" fontId="4" fillId="0" borderId="0" xfId="0" applyFont="1" applyAlignment="1"/>
    <xf numFmtId="0" fontId="27" fillId="0" borderId="0" xfId="0" applyFont="1"/>
    <xf numFmtId="0" fontId="34" fillId="3" borderId="5" xfId="0" applyFont="1" applyFill="1" applyBorder="1" applyAlignment="1">
      <alignment horizontal="left"/>
    </xf>
    <xf numFmtId="0" fontId="35" fillId="3" borderId="5" xfId="0" applyFont="1" applyFill="1" applyBorder="1" applyAlignment="1">
      <alignment horizontal="left"/>
    </xf>
    <xf numFmtId="0" fontId="36" fillId="3" borderId="5" xfId="0" applyFont="1" applyFill="1" applyBorder="1" applyAlignment="1">
      <alignment horizontal="left"/>
    </xf>
    <xf numFmtId="0" fontId="38" fillId="0" borderId="0" xfId="0" applyFont="1" applyBorder="1" applyAlignment="1">
      <alignment vertical="center"/>
    </xf>
    <xf numFmtId="0" fontId="0" fillId="6" borderId="0" xfId="0" applyFill="1"/>
    <xf numFmtId="0" fontId="39" fillId="7" borderId="0" xfId="7" applyFont="1" applyFill="1" applyBorder="1" applyAlignment="1" applyProtection="1">
      <alignment horizontal="left" vertical="center" indent="2"/>
      <protection locked="0"/>
    </xf>
    <xf numFmtId="0" fontId="2" fillId="6" borderId="0" xfId="0" applyFont="1" applyFill="1"/>
    <xf numFmtId="0" fontId="40" fillId="0" borderId="0" xfId="0" applyFont="1"/>
    <xf numFmtId="0" fontId="41" fillId="0" borderId="0" xfId="0" applyFont="1" applyAlignment="1">
      <alignment horizontal="left"/>
    </xf>
    <xf numFmtId="0" fontId="42" fillId="0" borderId="0" xfId="0" applyFont="1" applyAlignment="1">
      <alignment horizontal="right"/>
    </xf>
    <xf numFmtId="0" fontId="39" fillId="6" borderId="0" xfId="7" applyFont="1" applyFill="1" applyBorder="1" applyAlignment="1" applyProtection="1">
      <alignment horizontal="left" vertical="center" indent="2"/>
      <protection locked="0"/>
    </xf>
    <xf numFmtId="0" fontId="43" fillId="0" borderId="0" xfId="0" applyFont="1"/>
    <xf numFmtId="175" fontId="0" fillId="0" borderId="0" xfId="0" applyNumberFormat="1"/>
    <xf numFmtId="0" fontId="2" fillId="0" borderId="0" xfId="5" applyFont="1" applyAlignment="1"/>
    <xf numFmtId="0" fontId="6" fillId="2" borderId="4" xfId="7" applyFont="1" applyFill="1" applyBorder="1" applyAlignment="1" applyProtection="1">
      <alignment horizontal="left" vertical="center"/>
      <protection locked="0"/>
    </xf>
    <xf numFmtId="172" fontId="6" fillId="2" borderId="4" xfId="7" applyNumberFormat="1" applyFont="1" applyFill="1" applyBorder="1" applyAlignment="1" applyProtection="1">
      <alignment horizontal="right" vertical="center"/>
      <protection locked="0"/>
    </xf>
    <xf numFmtId="0" fontId="0" fillId="5" borderId="0" xfId="0" applyFill="1"/>
    <xf numFmtId="0" fontId="2" fillId="5" borderId="0" xfId="0" applyFont="1" applyFill="1"/>
    <xf numFmtId="0" fontId="39" fillId="5" borderId="0" xfId="7" applyFont="1" applyFill="1" applyBorder="1" applyAlignment="1" applyProtection="1">
      <alignment horizontal="left" vertical="center" indent="2"/>
      <protection locked="0"/>
    </xf>
    <xf numFmtId="0" fontId="0" fillId="8" borderId="0" xfId="0" applyFill="1"/>
    <xf numFmtId="0" fontId="45" fillId="0" borderId="0" xfId="0" applyFont="1"/>
    <xf numFmtId="0" fontId="46" fillId="8" borderId="0" xfId="0" applyFont="1" applyFill="1"/>
    <xf numFmtId="0" fontId="46" fillId="8" borderId="0" xfId="0" applyFont="1" applyFill="1" applyAlignment="1">
      <alignment horizontal="right"/>
    </xf>
    <xf numFmtId="0" fontId="47" fillId="9" borderId="4" xfId="7" applyFont="1" applyFill="1" applyBorder="1" applyAlignment="1" applyProtection="1">
      <alignment horizontal="right" vertical="center"/>
      <protection locked="0"/>
    </xf>
    <xf numFmtId="0" fontId="48" fillId="9" borderId="4" xfId="7" applyFont="1" applyFill="1" applyBorder="1" applyAlignment="1" applyProtection="1">
      <alignment horizontal="right" vertical="center"/>
      <protection locked="0"/>
    </xf>
    <xf numFmtId="172" fontId="4" fillId="9" borderId="4" xfId="7" applyNumberFormat="1" applyFont="1" applyFill="1" applyBorder="1" applyAlignment="1" applyProtection="1">
      <alignment horizontal="right" vertical="center"/>
      <protection locked="0"/>
    </xf>
    <xf numFmtId="0" fontId="48" fillId="9" borderId="4" xfId="7" applyFont="1" applyFill="1" applyBorder="1" applyAlignment="1" applyProtection="1">
      <alignment horizontal="left" vertical="center"/>
      <protection locked="0"/>
    </xf>
    <xf numFmtId="0" fontId="46" fillId="8" borderId="0" xfId="0" applyFont="1" applyFill="1" applyAlignment="1">
      <alignment horizontal="left"/>
    </xf>
    <xf numFmtId="176" fontId="48" fillId="9" borderId="4" xfId="3" applyNumberFormat="1" applyFont="1" applyFill="1" applyBorder="1" applyAlignment="1" applyProtection="1">
      <alignment horizontal="right" vertical="center"/>
      <protection locked="0"/>
    </xf>
    <xf numFmtId="172" fontId="48" fillId="9" borderId="4" xfId="3" applyNumberFormat="1" applyFont="1" applyFill="1" applyBorder="1" applyAlignment="1" applyProtection="1">
      <alignment horizontal="right" vertical="center"/>
      <protection locked="0"/>
    </xf>
    <xf numFmtId="3" fontId="24" fillId="0" borderId="0" xfId="3" applyNumberFormat="1" applyFont="1" applyAlignment="1">
      <alignment horizontal="right"/>
    </xf>
    <xf numFmtId="0" fontId="50" fillId="0" borderId="0" xfId="5" applyFont="1" applyAlignment="1"/>
    <xf numFmtId="0" fontId="49" fillId="0" borderId="0" xfId="0" applyFont="1"/>
    <xf numFmtId="172" fontId="26" fillId="9" borderId="4" xfId="7" applyNumberFormat="1" applyFont="1" applyFill="1" applyBorder="1" applyAlignment="1" applyProtection="1">
      <alignment horizontal="left" vertical="center"/>
      <protection locked="0"/>
    </xf>
    <xf numFmtId="0" fontId="4" fillId="0" borderId="0" xfId="1" applyFont="1" applyAlignment="1">
      <alignment horizontal="right"/>
    </xf>
    <xf numFmtId="0" fontId="51" fillId="0" borderId="0" xfId="0" applyFont="1"/>
    <xf numFmtId="182" fontId="0" fillId="0" borderId="0" xfId="0" applyNumberFormat="1"/>
    <xf numFmtId="0" fontId="46" fillId="8" borderId="0" xfId="0" applyFont="1" applyFill="1" applyAlignment="1">
      <alignment horizontal="right" wrapText="1"/>
    </xf>
    <xf numFmtId="0" fontId="53" fillId="0" borderId="0" xfId="0" applyFont="1"/>
    <xf numFmtId="0" fontId="5" fillId="0" borderId="0" xfId="1" quotePrefix="1" applyFont="1" applyFill="1" applyAlignment="1"/>
    <xf numFmtId="0" fontId="53" fillId="0" borderId="0" xfId="0" quotePrefix="1" applyFont="1"/>
    <xf numFmtId="0" fontId="0" fillId="0" borderId="0" xfId="0" quotePrefix="1" applyAlignment="1"/>
    <xf numFmtId="1" fontId="54" fillId="0" borderId="0" xfId="0" applyNumberFormat="1" applyFont="1"/>
    <xf numFmtId="3" fontId="54" fillId="0" borderId="0" xfId="0" applyNumberFormat="1" applyFont="1"/>
    <xf numFmtId="2" fontId="54" fillId="0" borderId="0" xfId="0" applyNumberFormat="1" applyFont="1"/>
    <xf numFmtId="0" fontId="55" fillId="0" borderId="0" xfId="0" applyFont="1" applyAlignment="1">
      <alignment horizontal="right"/>
    </xf>
    <xf numFmtId="0" fontId="27" fillId="5" borderId="0" xfId="0" applyFont="1" applyFill="1"/>
    <xf numFmtId="0" fontId="56" fillId="5" borderId="0" xfId="0" applyFont="1" applyFill="1"/>
    <xf numFmtId="3" fontId="0" fillId="5" borderId="0" xfId="0" applyNumberFormat="1" applyFill="1"/>
    <xf numFmtId="172" fontId="56" fillId="5" borderId="0" xfId="0" applyNumberFormat="1" applyFont="1" applyFill="1"/>
    <xf numFmtId="3" fontId="0" fillId="5" borderId="0" xfId="0" applyNumberFormat="1" applyFill="1" applyAlignment="1">
      <alignment horizontal="right"/>
    </xf>
    <xf numFmtId="1" fontId="0" fillId="5" borderId="0" xfId="0" applyNumberFormat="1" applyFill="1"/>
    <xf numFmtId="0" fontId="2" fillId="0" borderId="0" xfId="1" applyFont="1" applyAlignment="1">
      <alignment horizontal="left"/>
    </xf>
    <xf numFmtId="0" fontId="52" fillId="6" borderId="0" xfId="0" applyFont="1" applyFill="1"/>
    <xf numFmtId="0" fontId="17" fillId="0" borderId="0" xfId="0" applyFont="1" applyAlignment="1">
      <alignment horizontal="right"/>
    </xf>
    <xf numFmtId="0" fontId="8" fillId="0" borderId="0" xfId="0" applyFont="1"/>
    <xf numFmtId="0" fontId="9" fillId="2" borderId="0" xfId="7" applyFont="1" applyFill="1" applyBorder="1" applyAlignment="1" applyProtection="1">
      <alignment horizontal="right" vertical="center" indent="2"/>
      <protection locked="0"/>
    </xf>
    <xf numFmtId="172" fontId="11" fillId="0" borderId="0" xfId="0" applyNumberFormat="1" applyFont="1" applyBorder="1" applyAlignment="1">
      <alignment horizontal="right" vertical="center"/>
    </xf>
    <xf numFmtId="172" fontId="6" fillId="0" borderId="1" xfId="0" applyNumberFormat="1" applyFont="1" applyBorder="1" applyAlignment="1">
      <alignment horizontal="right" vertical="center"/>
    </xf>
    <xf numFmtId="172" fontId="7" fillId="0" borderId="0" xfId="1" applyNumberFormat="1" applyFont="1" applyAlignment="1">
      <alignment horizontal="right"/>
    </xf>
    <xf numFmtId="172" fontId="24" fillId="0" borderId="0" xfId="1" applyNumberFormat="1" applyFont="1" applyAlignment="1">
      <alignment horizontal="right"/>
    </xf>
    <xf numFmtId="17" fontId="4" fillId="0" borderId="0" xfId="0" applyNumberFormat="1" applyFont="1"/>
    <xf numFmtId="17" fontId="5" fillId="0" borderId="0" xfId="0" applyNumberFormat="1" applyFont="1"/>
    <xf numFmtId="0" fontId="0" fillId="10" borderId="0" xfId="0" applyFill="1" applyAlignment="1"/>
    <xf numFmtId="0" fontId="8" fillId="10" borderId="0" xfId="0" applyFont="1" applyFill="1" applyAlignment="1"/>
    <xf numFmtId="0" fontId="0" fillId="10" borderId="0" xfId="0" applyFill="1"/>
    <xf numFmtId="0" fontId="46" fillId="8" borderId="0" xfId="0" applyFont="1" applyFill="1" applyAlignment="1">
      <alignment horizontal="right" vertical="top" wrapText="1"/>
    </xf>
    <xf numFmtId="186" fontId="0" fillId="0" borderId="0" xfId="0" applyNumberFormat="1"/>
    <xf numFmtId="0" fontId="0" fillId="0" borderId="0" xfId="0" applyProtection="1">
      <protection locked="0"/>
    </xf>
    <xf numFmtId="0" fontId="21" fillId="4" borderId="0" xfId="7" applyFont="1" applyFill="1" applyAlignment="1" applyProtection="1">
      <alignment horizontal="right" vertical="top"/>
      <protection locked="0"/>
    </xf>
    <xf numFmtId="0" fontId="0" fillId="0" borderId="3" xfId="0" applyBorder="1" applyAlignment="1" applyProtection="1">
      <protection locked="0"/>
    </xf>
    <xf numFmtId="0" fontId="4" fillId="0" borderId="0" xfId="1" quotePrefix="1" applyFont="1" applyFill="1" applyAlignment="1"/>
    <xf numFmtId="0" fontId="57" fillId="0" borderId="0" xfId="0" applyFont="1"/>
    <xf numFmtId="0" fontId="58" fillId="8" borderId="0" xfId="0" applyFont="1" applyFill="1"/>
    <xf numFmtId="0" fontId="58" fillId="4" borderId="0" xfId="0" applyFont="1" applyFill="1"/>
    <xf numFmtId="2" fontId="4" fillId="0" borderId="0" xfId="0" applyNumberFormat="1" applyFont="1" applyAlignment="1"/>
    <xf numFmtId="0" fontId="1" fillId="0" borderId="0" xfId="0" applyFont="1"/>
    <xf numFmtId="0" fontId="4" fillId="0" borderId="0" xfId="0" applyFont="1" applyAlignment="1">
      <alignment wrapText="1"/>
    </xf>
    <xf numFmtId="0" fontId="4" fillId="0" borderId="0" xfId="0" applyFont="1" applyAlignment="1">
      <alignment horizontal="right"/>
    </xf>
    <xf numFmtId="0" fontId="65" fillId="0" borderId="0" xfId="0" applyFont="1"/>
    <xf numFmtId="0" fontId="39" fillId="11" borderId="0" xfId="7" applyFont="1" applyFill="1" applyBorder="1" applyAlignment="1" applyProtection="1">
      <alignment horizontal="left" vertical="center" indent="2"/>
      <protection locked="0"/>
    </xf>
    <xf numFmtId="0" fontId="22" fillId="11" borderId="0" xfId="7" applyFont="1" applyFill="1" applyBorder="1" applyAlignment="1" applyProtection="1">
      <alignment horizontal="left" vertical="center" indent="2"/>
      <protection locked="0"/>
    </xf>
    <xf numFmtId="0" fontId="69" fillId="9" borderId="4" xfId="7" applyFont="1" applyFill="1" applyBorder="1" applyAlignment="1" applyProtection="1">
      <alignment horizontal="right" vertical="center"/>
      <protection locked="0"/>
    </xf>
    <xf numFmtId="0" fontId="70" fillId="9" borderId="4" xfId="7" applyFont="1" applyFill="1" applyBorder="1" applyAlignment="1" applyProtection="1">
      <alignment horizontal="right" vertical="center"/>
      <protection locked="0"/>
    </xf>
    <xf numFmtId="172" fontId="70" fillId="9" borderId="4" xfId="7" applyNumberFormat="1" applyFont="1" applyFill="1" applyBorder="1" applyAlignment="1" applyProtection="1">
      <alignment horizontal="right" vertical="center"/>
      <protection locked="0"/>
    </xf>
    <xf numFmtId="0" fontId="71" fillId="0" borderId="0" xfId="0" applyFont="1"/>
    <xf numFmtId="0" fontId="59" fillId="4" borderId="0" xfId="0" applyFont="1" applyFill="1" applyAlignment="1">
      <alignment vertical="top"/>
    </xf>
    <xf numFmtId="0" fontId="68" fillId="8" borderId="0" xfId="0" applyFont="1" applyFill="1" applyAlignment="1">
      <alignment vertical="top"/>
    </xf>
    <xf numFmtId="0" fontId="5" fillId="0" borderId="0" xfId="0" applyFont="1" applyAlignment="1"/>
    <xf numFmtId="0" fontId="41" fillId="0" borderId="0" xfId="0" applyFont="1" applyBorder="1" applyAlignment="1">
      <alignment horizontal="left"/>
    </xf>
    <xf numFmtId="0" fontId="6" fillId="0" borderId="0" xfId="0" applyFont="1" applyBorder="1"/>
    <xf numFmtId="0" fontId="4" fillId="0" borderId="0" xfId="0" applyFont="1" applyBorder="1"/>
    <xf numFmtId="0" fontId="0" fillId="0" borderId="0" xfId="0" applyBorder="1"/>
    <xf numFmtId="0" fontId="0" fillId="0" borderId="6" xfId="0" applyBorder="1"/>
    <xf numFmtId="0" fontId="40" fillId="0" borderId="0" xfId="0" applyFont="1" applyBorder="1"/>
    <xf numFmtId="0" fontId="67" fillId="0" borderId="0" xfId="0" applyFont="1" applyBorder="1"/>
    <xf numFmtId="0" fontId="0" fillId="0" borderId="7" xfId="0" applyBorder="1"/>
    <xf numFmtId="0" fontId="0" fillId="0" borderId="8" xfId="0" applyBorder="1"/>
    <xf numFmtId="1" fontId="11" fillId="0" borderId="0" xfId="0" applyNumberFormat="1" applyFont="1" applyBorder="1" applyAlignment="1">
      <alignment vertical="center"/>
    </xf>
    <xf numFmtId="172" fontId="11" fillId="0" borderId="0" xfId="0" applyNumberFormat="1" applyFont="1" applyBorder="1" applyAlignment="1">
      <alignment vertical="center"/>
    </xf>
    <xf numFmtId="172" fontId="6" fillId="0" borderId="0" xfId="0" applyNumberFormat="1" applyFont="1" applyBorder="1" applyAlignment="1">
      <alignment vertical="center"/>
    </xf>
    <xf numFmtId="0" fontId="6" fillId="0" borderId="0" xfId="0" applyFont="1" applyBorder="1" applyAlignment="1">
      <alignment vertical="center"/>
    </xf>
    <xf numFmtId="1" fontId="37" fillId="0" borderId="0" xfId="0" applyNumberFormat="1" applyFont="1" applyBorder="1" applyAlignment="1">
      <alignment vertical="center"/>
    </xf>
    <xf numFmtId="172" fontId="37" fillId="0" borderId="0" xfId="0" applyNumberFormat="1" applyFont="1" applyBorder="1" applyAlignment="1">
      <alignment vertical="center"/>
    </xf>
    <xf numFmtId="0" fontId="63" fillId="12" borderId="0" xfId="0" applyFont="1" applyFill="1" applyBorder="1"/>
    <xf numFmtId="0" fontId="64" fillId="12" borderId="0" xfId="0" applyFont="1" applyFill="1" applyBorder="1"/>
    <xf numFmtId="172" fontId="63" fillId="12" borderId="0" xfId="0" applyNumberFormat="1" applyFont="1" applyFill="1" applyBorder="1"/>
    <xf numFmtId="0" fontId="0" fillId="12" borderId="0" xfId="0" applyFill="1" applyBorder="1"/>
    <xf numFmtId="0" fontId="62" fillId="2" borderId="0" xfId="0" applyFont="1" applyFill="1" applyBorder="1" applyAlignment="1">
      <alignment vertical="top"/>
    </xf>
    <xf numFmtId="0" fontId="0" fillId="2" borderId="0" xfId="0" applyFill="1" applyBorder="1" applyAlignment="1">
      <alignment vertical="top"/>
    </xf>
    <xf numFmtId="172" fontId="62" fillId="2" borderId="0" xfId="0" applyNumberFormat="1" applyFont="1" applyFill="1" applyBorder="1" applyAlignment="1">
      <alignment vertical="top"/>
    </xf>
    <xf numFmtId="0" fontId="62" fillId="6" borderId="0" xfId="0" applyFont="1" applyFill="1" applyBorder="1" applyAlignment="1">
      <alignment vertical="top"/>
    </xf>
    <xf numFmtId="0" fontId="72" fillId="6" borderId="0" xfId="0" applyFont="1" applyFill="1" applyBorder="1" applyAlignment="1">
      <alignment vertical="top"/>
    </xf>
    <xf numFmtId="172" fontId="62" fillId="6" borderId="0" xfId="0" applyNumberFormat="1" applyFont="1" applyFill="1" applyBorder="1" applyAlignment="1">
      <alignment vertical="top"/>
    </xf>
    <xf numFmtId="0" fontId="0" fillId="6" borderId="0" xfId="0" applyFill="1" applyBorder="1" applyAlignment="1">
      <alignment vertical="top"/>
    </xf>
    <xf numFmtId="0" fontId="62" fillId="0" borderId="0" xfId="0" applyFont="1" applyBorder="1" applyAlignment="1">
      <alignment vertical="top"/>
    </xf>
    <xf numFmtId="0" fontId="0" fillId="0" borderId="0" xfId="0" applyBorder="1" applyAlignment="1">
      <alignment vertical="top"/>
    </xf>
    <xf numFmtId="172" fontId="62" fillId="0" borderId="0" xfId="0" applyNumberFormat="1" applyFont="1" applyBorder="1" applyAlignment="1">
      <alignment vertical="top"/>
    </xf>
    <xf numFmtId="0" fontId="65" fillId="0" borderId="0" xfId="0" applyFont="1" applyBorder="1"/>
    <xf numFmtId="0" fontId="0" fillId="0" borderId="7" xfId="0" applyBorder="1" applyAlignment="1">
      <alignment vertical="top"/>
    </xf>
    <xf numFmtId="172" fontId="62" fillId="0" borderId="7" xfId="0" applyNumberFormat="1" applyFont="1" applyBorder="1" applyAlignment="1">
      <alignment vertical="top"/>
    </xf>
    <xf numFmtId="0" fontId="62" fillId="0" borderId="7" xfId="0" applyFont="1" applyBorder="1" applyAlignment="1">
      <alignment vertical="top"/>
    </xf>
    <xf numFmtId="0" fontId="40" fillId="0" borderId="7" xfId="0" applyFont="1" applyBorder="1"/>
    <xf numFmtId="0" fontId="0" fillId="12" borderId="9" xfId="0" applyFill="1" applyBorder="1"/>
    <xf numFmtId="0" fontId="0" fillId="12" borderId="6" xfId="0" applyFill="1" applyBorder="1"/>
    <xf numFmtId="0" fontId="0" fillId="2" borderId="6" xfId="0" applyFill="1" applyBorder="1"/>
    <xf numFmtId="0" fontId="0" fillId="6" borderId="6" xfId="0" applyFill="1" applyBorder="1"/>
    <xf numFmtId="0" fontId="39" fillId="11" borderId="0" xfId="7" applyFont="1" applyFill="1" applyBorder="1" applyAlignment="1" applyProtection="1">
      <alignment vertical="center"/>
      <protection locked="0"/>
    </xf>
    <xf numFmtId="0" fontId="4" fillId="6" borderId="0" xfId="0" applyFont="1" applyFill="1" applyAlignment="1"/>
    <xf numFmtId="0" fontId="5" fillId="0" borderId="0" xfId="0" applyFont="1" applyAlignment="1">
      <alignment horizontal="center"/>
    </xf>
    <xf numFmtId="0" fontId="4" fillId="6" borderId="0" xfId="0" applyFont="1" applyFill="1" applyAlignment="1">
      <alignment horizontal="center"/>
    </xf>
    <xf numFmtId="172" fontId="4" fillId="6" borderId="0" xfId="0" applyNumberFormat="1" applyFont="1" applyFill="1" applyAlignment="1">
      <alignment horizontal="center"/>
    </xf>
    <xf numFmtId="0" fontId="27" fillId="2" borderId="9" xfId="0" applyFont="1" applyFill="1" applyBorder="1" applyAlignment="1">
      <alignment vertical="top"/>
    </xf>
    <xf numFmtId="0" fontId="27" fillId="0" borderId="9" xfId="0" applyFont="1" applyBorder="1" applyAlignment="1">
      <alignment vertical="top"/>
    </xf>
    <xf numFmtId="0" fontId="0" fillId="12" borderId="9" xfId="0" applyFill="1" applyBorder="1" applyAlignment="1">
      <alignment vertical="top"/>
    </xf>
    <xf numFmtId="0" fontId="27" fillId="12" borderId="9" xfId="0" applyFont="1" applyFill="1" applyBorder="1" applyAlignment="1">
      <alignment vertical="top"/>
    </xf>
    <xf numFmtId="0" fontId="27" fillId="0" borderId="10" xfId="0" applyFont="1" applyBorder="1" applyAlignment="1">
      <alignment vertical="top"/>
    </xf>
    <xf numFmtId="0" fontId="2" fillId="0" borderId="0" xfId="0" applyFont="1" applyFill="1"/>
    <xf numFmtId="0" fontId="4" fillId="13" borderId="0" xfId="0" applyFont="1" applyFill="1" applyAlignment="1"/>
    <xf numFmtId="0" fontId="73" fillId="0" borderId="0" xfId="0" applyFont="1" applyAlignment="1"/>
    <xf numFmtId="0" fontId="73" fillId="0" borderId="0" xfId="0" applyFont="1" applyAlignment="1">
      <alignment horizontal="center"/>
    </xf>
    <xf numFmtId="0" fontId="4" fillId="0" borderId="7" xfId="0" applyFont="1" applyBorder="1"/>
    <xf numFmtId="172" fontId="4" fillId="13" borderId="0" xfId="0" applyNumberFormat="1" applyFont="1" applyFill="1" applyAlignment="1">
      <alignment horizontal="center"/>
    </xf>
    <xf numFmtId="172" fontId="5" fillId="0" borderId="0" xfId="0" applyNumberFormat="1" applyFont="1" applyAlignment="1">
      <alignment horizontal="center"/>
    </xf>
    <xf numFmtId="0" fontId="0" fillId="6" borderId="0" xfId="0" applyFill="1" applyAlignment="1">
      <alignment horizontal="right"/>
    </xf>
    <xf numFmtId="0" fontId="1" fillId="6" borderId="0" xfId="0" applyFont="1" applyFill="1" applyAlignment="1">
      <alignment horizontal="right"/>
    </xf>
    <xf numFmtId="0" fontId="2" fillId="6" borderId="0" xfId="0" applyFont="1" applyFill="1" applyAlignment="1">
      <alignment horizontal="right"/>
    </xf>
    <xf numFmtId="0" fontId="27" fillId="6" borderId="0" xfId="0" applyFont="1" applyFill="1"/>
    <xf numFmtId="0" fontId="2" fillId="12" borderId="0" xfId="0" applyFont="1" applyFill="1"/>
    <xf numFmtId="0" fontId="2" fillId="0" borderId="0" xfId="0" applyFont="1" applyFill="1" applyAlignment="1"/>
    <xf numFmtId="0" fontId="27" fillId="0" borderId="0" xfId="0" applyFont="1" applyFill="1"/>
    <xf numFmtId="0" fontId="0" fillId="0" borderId="0" xfId="0" applyFill="1" applyAlignment="1">
      <alignment horizontal="right"/>
    </xf>
    <xf numFmtId="186" fontId="0" fillId="0" borderId="0" xfId="0" applyNumberFormat="1" applyFill="1"/>
    <xf numFmtId="172" fontId="0" fillId="0" borderId="0" xfId="0" applyNumberFormat="1" applyFill="1"/>
    <xf numFmtId="0" fontId="0" fillId="0" borderId="0" xfId="0" applyFill="1" applyBorder="1" applyAlignment="1"/>
    <xf numFmtId="0" fontId="27" fillId="0" borderId="0" xfId="0" applyFont="1" applyBorder="1"/>
    <xf numFmtId="0" fontId="2" fillId="0" borderId="0" xfId="0" applyFont="1" applyFill="1" applyBorder="1" applyAlignment="1"/>
    <xf numFmtId="0" fontId="2" fillId="0" borderId="0" xfId="0" applyFont="1" applyFill="1" applyBorder="1"/>
    <xf numFmtId="0" fontId="0" fillId="0" borderId="0" xfId="0" applyFill="1" applyBorder="1"/>
    <xf numFmtId="0" fontId="2" fillId="0" borderId="0" xfId="0" applyFont="1" applyBorder="1"/>
    <xf numFmtId="0" fontId="0" fillId="7" borderId="0" xfId="0" applyFill="1" applyAlignment="1">
      <alignment horizontal="right"/>
    </xf>
    <xf numFmtId="0" fontId="0" fillId="7" borderId="0" xfId="0" applyFill="1"/>
    <xf numFmtId="0" fontId="0" fillId="0" borderId="11" xfId="0" applyFill="1" applyBorder="1" applyAlignment="1"/>
    <xf numFmtId="0" fontId="2" fillId="7" borderId="0" xfId="0" applyFont="1" applyFill="1" applyAlignment="1">
      <alignment horizontal="right"/>
    </xf>
    <xf numFmtId="0" fontId="2" fillId="14" borderId="0" xfId="0" applyFont="1" applyFill="1"/>
    <xf numFmtId="0" fontId="49" fillId="0" borderId="0" xfId="0" applyFont="1" applyAlignment="1">
      <alignment vertical="top" wrapText="1"/>
    </xf>
    <xf numFmtId="0" fontId="66" fillId="0" borderId="0" xfId="0" applyFont="1" applyAlignment="1">
      <alignment vertical="top" wrapText="1"/>
    </xf>
    <xf numFmtId="0" fontId="66" fillId="0" borderId="0" xfId="0" applyFont="1" applyAlignment="1"/>
    <xf numFmtId="0" fontId="56" fillId="0" borderId="0" xfId="0" applyFont="1" applyAlignment="1">
      <alignment vertical="top" wrapText="1"/>
    </xf>
    <xf numFmtId="0" fontId="61" fillId="0" borderId="0" xfId="0" applyFont="1" applyAlignment="1">
      <alignment vertical="top" wrapText="1"/>
    </xf>
    <xf numFmtId="0" fontId="0" fillId="0" borderId="0" xfId="0" applyAlignment="1"/>
    <xf numFmtId="0" fontId="0" fillId="12" borderId="0" xfId="0" applyFill="1" applyBorder="1" applyAlignment="1">
      <alignment horizontal="left"/>
    </xf>
    <xf numFmtId="0" fontId="65" fillId="2" borderId="0" xfId="0" applyFont="1" applyFill="1" applyBorder="1" applyAlignment="1">
      <alignment horizontal="left" vertical="top" wrapText="1"/>
    </xf>
    <xf numFmtId="0" fontId="65" fillId="6" borderId="0" xfId="0" applyFont="1" applyFill="1" applyBorder="1" applyAlignment="1">
      <alignment horizontal="left" vertical="top" wrapText="1"/>
    </xf>
    <xf numFmtId="0" fontId="65" fillId="12" borderId="0" xfId="0" applyFont="1" applyFill="1" applyBorder="1" applyAlignment="1">
      <alignment horizontal="left"/>
    </xf>
    <xf numFmtId="0" fontId="65" fillId="0" borderId="0" xfId="0" applyFont="1" applyBorder="1" applyAlignment="1">
      <alignment horizontal="left" vertical="top" wrapText="1"/>
    </xf>
    <xf numFmtId="0" fontId="65" fillId="0" borderId="7" xfId="0" applyFont="1" applyBorder="1" applyAlignment="1">
      <alignment horizontal="left" vertical="top" wrapText="1"/>
    </xf>
  </cellXfs>
  <cellStyles count="10">
    <cellStyle name="_x000d__x000a_JournalTemplate=C:\COMFO\CTALK\JOURSTD.TPL_x000d__x000a_LbStateAddress=3 3 0 251 1 89 2 311_x000d__x000a_LbStateJou" xfId="1"/>
    <cellStyle name="=C:\WINNT\SYSTEM32\COMMAND.COM" xfId="2"/>
    <cellStyle name="Comma" xfId="3" builtinId="3"/>
    <cellStyle name="Hyperlink 2" xfId="4"/>
    <cellStyle name="Normal" xfId="0" builtinId="0"/>
    <cellStyle name="Normal 2" xfId="5"/>
    <cellStyle name="Normal 3" xfId="6"/>
    <cellStyle name="Normal_DOW_CHEMICAL_INTERNAL_0.93 2" xfId="7"/>
    <cellStyle name="Percent" xfId="8" builtinId="5"/>
    <cellStyle name="Style 1" xfId="9"/>
  </cellStyles>
  <dxfs count="30">
    <dxf>
      <font>
        <b/>
        <i val="0"/>
        <condense val="0"/>
        <extend val="0"/>
        <color indexed="10"/>
      </font>
    </dxf>
    <dxf>
      <font>
        <b/>
        <i val="0"/>
        <condense val="0"/>
        <extend val="0"/>
        <color indexed="10"/>
      </font>
    </dxf>
    <dxf>
      <font>
        <b/>
        <i val="0"/>
      </font>
      <border>
        <left/>
        <right/>
        <top/>
        <bottom style="thin">
          <color indexed="60"/>
        </bottom>
      </border>
    </dxf>
    <dxf>
      <font>
        <b/>
        <i val="0"/>
      </font>
      <border>
        <left/>
        <right/>
        <top/>
        <bottom style="thin">
          <color theme="0" tint="-0.14996795556505021"/>
        </bottom>
      </border>
    </dxf>
    <dxf>
      <font>
        <b/>
        <i val="0"/>
      </font>
      <border>
        <left/>
        <right/>
        <top/>
        <bottom style="thin">
          <color theme="0" tint="-0.14996795556505021"/>
        </bottom>
      </border>
    </dxf>
    <dxf>
      <font>
        <b/>
        <i val="0"/>
      </font>
      <border>
        <left/>
        <right/>
        <top/>
        <bottom style="thin">
          <color indexed="60"/>
        </bottom>
      </border>
    </dxf>
    <dxf>
      <fill>
        <patternFill>
          <bgColor indexed="47"/>
        </patternFill>
      </fill>
    </dxf>
    <dxf>
      <fill>
        <patternFill>
          <bgColor indexed="51"/>
        </patternFill>
      </fill>
    </dxf>
    <dxf>
      <font>
        <condense val="0"/>
        <extend val="0"/>
        <color indexed="9"/>
      </font>
      <fill>
        <patternFill>
          <bgColor indexed="9"/>
        </patternFill>
      </fill>
    </dxf>
    <dxf>
      <fill>
        <patternFill>
          <bgColor indexed="47"/>
        </patternFill>
      </fill>
    </dxf>
    <dxf>
      <fill>
        <patternFill>
          <bgColor indexed="51"/>
        </patternFill>
      </fill>
    </dxf>
    <dxf>
      <font>
        <condense val="0"/>
        <extend val="0"/>
        <color indexed="9"/>
      </font>
      <fill>
        <patternFill>
          <bgColor indexed="9"/>
        </patternFill>
      </fill>
    </dxf>
    <dxf>
      <fill>
        <patternFill>
          <bgColor indexed="47"/>
        </patternFill>
      </fill>
    </dxf>
    <dxf>
      <fill>
        <patternFill>
          <bgColor indexed="51"/>
        </patternFill>
      </fill>
    </dxf>
    <dxf>
      <font>
        <condense val="0"/>
        <extend val="0"/>
        <color indexed="9"/>
      </font>
      <fill>
        <patternFill>
          <bgColor indexed="9"/>
        </patternFill>
      </fill>
    </dxf>
    <dxf>
      <fill>
        <patternFill>
          <bgColor indexed="47"/>
        </patternFill>
      </fill>
    </dxf>
    <dxf>
      <fill>
        <patternFill>
          <bgColor indexed="51"/>
        </patternFill>
      </fill>
    </dxf>
    <dxf>
      <font>
        <condense val="0"/>
        <extend val="0"/>
        <color indexed="9"/>
      </font>
      <fill>
        <patternFill>
          <bgColor indexed="9"/>
        </patternFill>
      </fill>
    </dxf>
    <dxf>
      <fill>
        <patternFill>
          <bgColor indexed="47"/>
        </patternFill>
      </fill>
    </dxf>
    <dxf>
      <fill>
        <patternFill>
          <bgColor indexed="51"/>
        </patternFill>
      </fill>
    </dxf>
    <dxf>
      <font>
        <condense val="0"/>
        <extend val="0"/>
        <color indexed="9"/>
      </font>
      <fill>
        <patternFill>
          <bgColor indexed="9"/>
        </patternFill>
      </fill>
    </dxf>
    <dxf>
      <fill>
        <patternFill>
          <bgColor indexed="47"/>
        </patternFill>
      </fill>
    </dxf>
    <dxf>
      <fill>
        <patternFill>
          <bgColor indexed="51"/>
        </patternFill>
      </fill>
    </dxf>
    <dxf>
      <font>
        <condense val="0"/>
        <extend val="0"/>
        <color indexed="9"/>
      </font>
      <fill>
        <patternFill>
          <bgColor indexed="9"/>
        </patternFill>
      </fill>
    </dxf>
    <dxf>
      <fill>
        <patternFill>
          <bgColor indexed="47"/>
        </patternFill>
      </fill>
    </dxf>
    <dxf>
      <fill>
        <patternFill>
          <bgColor indexed="51"/>
        </patternFill>
      </fill>
    </dxf>
    <dxf>
      <font>
        <condense val="0"/>
        <extend val="0"/>
        <color indexed="9"/>
      </font>
      <fill>
        <patternFill>
          <bgColor indexed="9"/>
        </patternFill>
      </fill>
    </dxf>
    <dxf>
      <fill>
        <patternFill>
          <bgColor indexed="47"/>
        </patternFill>
      </fill>
    </dxf>
    <dxf>
      <fill>
        <patternFill>
          <bgColor indexed="51"/>
        </patternFill>
      </fill>
    </dxf>
    <dxf>
      <font>
        <condense val="0"/>
        <extend val="0"/>
        <color indexed="9"/>
      </font>
      <fill>
        <patternFill>
          <bgColor indexed="9"/>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CBD4D9"/>
      <rgbColor rgb="00001EA4"/>
      <rgbColor rgb="00E96B10"/>
      <rgbColor rgb="00CCE0F9"/>
      <rgbColor rgb="0000FFFF"/>
      <rgbColor rgb="00F3F4EE"/>
      <rgbColor rgb="00008000"/>
      <rgbColor rgb="00000080"/>
      <rgbColor rgb="00808000"/>
      <rgbColor rgb="00800080"/>
      <rgbColor rgb="00008080"/>
      <rgbColor rgb="00C0C0C0"/>
      <rgbColor rgb="00808080"/>
      <rgbColor rgb="009999FF"/>
      <rgbColor rgb="00993366"/>
      <rgbColor rgb="00EFEFD6"/>
      <rgbColor rgb="00CCFFFF"/>
      <rgbColor rgb="00660066"/>
      <rgbColor rgb="00FF8080"/>
      <rgbColor rgb="00DDDDDD"/>
      <rgbColor rgb="00FFFBF7"/>
      <rgbColor rgb="00000080"/>
      <rgbColor rgb="00FF00FF"/>
      <rgbColor rgb="00FFFF00"/>
      <rgbColor rgb="0000FFFF"/>
      <rgbColor rgb="00800080"/>
      <rgbColor rgb="0000CC66"/>
      <rgbColor rgb="00FF0000"/>
      <rgbColor rgb="0031659C"/>
      <rgbColor rgb="0000CCFF"/>
      <rgbColor rgb="00CCFFFF"/>
      <rgbColor rgb="00EAE9DF"/>
      <rgbColor rgb="00FFFF99"/>
      <rgbColor rgb="0099CCFF"/>
      <rgbColor rgb="00E5EEF3"/>
      <rgbColor rgb="00FFFBF7"/>
      <rgbColor rgb="00D3D3D3"/>
      <rgbColor rgb="003366FF"/>
      <rgbColor rgb="0033CCCC"/>
      <rgbColor rgb="008ABBD1"/>
      <rgbColor rgb="00FFCC33"/>
      <rgbColor rgb="00FF9900"/>
      <rgbColor rgb="00FF6600"/>
      <rgbColor rgb="00666699"/>
      <rgbColor rgb="00969696"/>
      <rgbColor rgb="00003366"/>
      <rgbColor rgb="004FA600"/>
      <rgbColor rgb="00003300"/>
      <rgbColor rgb="00333300"/>
      <rgbColor rgb="00D4DDD4"/>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lang val="en-US"/>
  <c:chart>
    <c:plotArea>
      <c:layout>
        <c:manualLayout>
          <c:layoutTarget val="inner"/>
          <c:xMode val="edge"/>
          <c:yMode val="edge"/>
          <c:x val="5.1365098134064299E-2"/>
          <c:y val="1.5342556479505482E-2"/>
          <c:w val="0.92588177331075938"/>
          <c:h val="0.90856722348958718"/>
        </c:manualLayout>
      </c:layout>
      <c:scatterChart>
        <c:scatterStyle val="lineMarker"/>
        <c:ser>
          <c:idx val="0"/>
          <c:order val="0"/>
          <c:tx>
            <c:v>Non highlight</c:v>
          </c:tx>
          <c:spPr>
            <a:ln w="28575">
              <a:noFill/>
            </a:ln>
          </c:spPr>
          <c:marker>
            <c:symbol val="diamond"/>
            <c:size val="6"/>
            <c:spPr>
              <a:solidFill>
                <a:schemeClr val="bg1">
                  <a:lumMod val="50000"/>
                </a:schemeClr>
              </a:solidFill>
              <a:ln>
                <a:noFill/>
              </a:ln>
            </c:spPr>
          </c:marker>
          <c:dLbls>
            <c:delete val="1"/>
          </c:dLbls>
          <c:xVal>
            <c:numRef>
              <c:f>uxb_scatter!$C$28:$U$28</c:f>
              <c:numCache>
                <c:formatCode>General</c:formatCode>
                <c:ptCount val="19"/>
                <c:pt idx="0">
                  <c:v>1</c:v>
                </c:pt>
                <c:pt idx="1">
                  <c:v>3</c:v>
                </c:pt>
                <c:pt idx="2">
                  <c:v>4</c:v>
                </c:pt>
                <c:pt idx="3">
                  <c:v>2</c:v>
                </c:pt>
                <c:pt idx="4">
                  <c:v>2</c:v>
                </c:pt>
                <c:pt idx="5">
                  <c:v>1</c:v>
                </c:pt>
                <c:pt idx="6">
                  <c:v>1</c:v>
                </c:pt>
                <c:pt idx="7">
                  <c:v>2</c:v>
                </c:pt>
                <c:pt idx="8">
                  <c:v>0</c:v>
                </c:pt>
                <c:pt idx="9">
                  <c:v>0</c:v>
                </c:pt>
                <c:pt idx="10">
                  <c:v>0</c:v>
                </c:pt>
                <c:pt idx="11">
                  <c:v>3</c:v>
                </c:pt>
                <c:pt idx="12">
                  <c:v>0</c:v>
                </c:pt>
                <c:pt idx="13">
                  <c:v>2</c:v>
                </c:pt>
                <c:pt idx="14">
                  <c:v>1</c:v>
                </c:pt>
                <c:pt idx="15">
                  <c:v>2</c:v>
                </c:pt>
                <c:pt idx="16">
                  <c:v>2</c:v>
                </c:pt>
                <c:pt idx="17">
                  <c:v>1</c:v>
                </c:pt>
                <c:pt idx="18">
                  <c:v>1</c:v>
                </c:pt>
              </c:numCache>
            </c:numRef>
          </c:xVal>
          <c:yVal>
            <c:numRef>
              <c:f>uxb_scatter!$C$29:$U$29</c:f>
              <c:numCache>
                <c:formatCode>General</c:formatCode>
                <c:ptCount val="19"/>
                <c:pt idx="0">
                  <c:v>23.455088272248759</c:v>
                </c:pt>
                <c:pt idx="1">
                  <c:v>60.711712388149238</c:v>
                </c:pt>
                <c:pt idx="2">
                  <c:v>65.286693679205769</c:v>
                </c:pt>
                <c:pt idx="3">
                  <c:v>42.374181974144157</c:v>
                </c:pt>
                <c:pt idx="4">
                  <c:v>41.907021450570397</c:v>
                </c:pt>
                <c:pt idx="5">
                  <c:v>23.61710989503726</c:v>
                </c:pt>
                <c:pt idx="6">
                  <c:v>14.722524435083418</c:v>
                </c:pt>
                <c:pt idx="7">
                  <c:v>21.818213729763158</c:v>
                </c:pt>
                <c:pt idx="8">
                  <c:v>21.955832845790781</c:v>
                </c:pt>
                <c:pt idx="9">
                  <c:v>33.290060562547922</c:v>
                </c:pt>
                <c:pt idx="10">
                  <c:v>31.627618019215326</c:v>
                </c:pt>
                <c:pt idx="11">
                  <c:v>44.586262953078325</c:v>
                </c:pt>
                <c:pt idx="12">
                  <c:v>16.487210844906201</c:v>
                </c:pt>
                <c:pt idx="13">
                  <c:v>26.959196461509244</c:v>
                </c:pt>
                <c:pt idx="14">
                  <c:v>27.836228889814965</c:v>
                </c:pt>
                <c:pt idx="15">
                  <c:v>53.758155655948975</c:v>
                </c:pt>
                <c:pt idx="16">
                  <c:v>19.38398843957053</c:v>
                </c:pt>
                <c:pt idx="17">
                  <c:v>35.630984519760609</c:v>
                </c:pt>
                <c:pt idx="18">
                  <c:v>13.682865936218722</c:v>
                </c:pt>
              </c:numCache>
            </c:numRef>
          </c:yVal>
        </c:ser>
        <c:ser>
          <c:idx val="1"/>
          <c:order val="1"/>
          <c:tx>
            <c:v>Highlight</c:v>
          </c:tx>
          <c:spPr>
            <a:ln w="28575">
              <a:noFill/>
            </a:ln>
          </c:spPr>
          <c:marker>
            <c:symbol val="diamond"/>
            <c:size val="6"/>
            <c:spPr>
              <a:solidFill>
                <a:srgbClr val="FFA611"/>
              </a:solidFill>
              <a:ln w="9525">
                <a:noFill/>
              </a:ln>
            </c:spPr>
          </c:marker>
          <c:dLbls>
            <c:delete val="1"/>
          </c:dLbls>
          <c:xVal>
            <c:numRef>
              <c:f>uxb_scatter!$C$32:$U$32</c:f>
              <c:numCache>
                <c:formatCode>General</c:formatCode>
                <c:ptCount val="1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numCache>
            </c:numRef>
          </c:xVal>
          <c:yVal>
            <c:numRef>
              <c:f>uxb_scatter!$C$33:$U$33</c:f>
              <c:numCache>
                <c:formatCode>General</c:formatCode>
                <c:ptCount val="1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numCache>
            </c:numRef>
          </c:yVal>
        </c:ser>
        <c:ser>
          <c:idx val="2"/>
          <c:order val="2"/>
          <c:tx>
            <c:v>All (no display)</c:v>
          </c:tx>
          <c:spPr>
            <a:ln w="28575">
              <a:noFill/>
            </a:ln>
          </c:spPr>
          <c:marker>
            <c:symbol val="none"/>
          </c:marker>
          <c:dLbls>
            <c:delete val="1"/>
          </c:dLbls>
          <c:trendline>
            <c:spPr>
              <a:ln>
                <a:solidFill>
                  <a:srgbClr val="FF0000"/>
                </a:solidFill>
              </a:ln>
            </c:spPr>
            <c:trendlineType val="linear"/>
          </c:trendline>
          <c:xVal>
            <c:numRef>
              <c:f>uxb_scatter!$C$13:$U$13</c:f>
              <c:numCache>
                <c:formatCode>General</c:formatCode>
                <c:ptCount val="19"/>
                <c:pt idx="0">
                  <c:v>1</c:v>
                </c:pt>
                <c:pt idx="1">
                  <c:v>3</c:v>
                </c:pt>
                <c:pt idx="2">
                  <c:v>4</c:v>
                </c:pt>
                <c:pt idx="3">
                  <c:v>2</c:v>
                </c:pt>
                <c:pt idx="4">
                  <c:v>2</c:v>
                </c:pt>
                <c:pt idx="5">
                  <c:v>1</c:v>
                </c:pt>
                <c:pt idx="6">
                  <c:v>1</c:v>
                </c:pt>
                <c:pt idx="7">
                  <c:v>2</c:v>
                </c:pt>
                <c:pt idx="8">
                  <c:v>0</c:v>
                </c:pt>
                <c:pt idx="9">
                  <c:v>0</c:v>
                </c:pt>
                <c:pt idx="10">
                  <c:v>0</c:v>
                </c:pt>
                <c:pt idx="11">
                  <c:v>3</c:v>
                </c:pt>
                <c:pt idx="12">
                  <c:v>0</c:v>
                </c:pt>
                <c:pt idx="13">
                  <c:v>2</c:v>
                </c:pt>
                <c:pt idx="14">
                  <c:v>1</c:v>
                </c:pt>
                <c:pt idx="15">
                  <c:v>2</c:v>
                </c:pt>
                <c:pt idx="16">
                  <c:v>2</c:v>
                </c:pt>
                <c:pt idx="17">
                  <c:v>1</c:v>
                </c:pt>
                <c:pt idx="18">
                  <c:v>1</c:v>
                </c:pt>
              </c:numCache>
            </c:numRef>
          </c:xVal>
          <c:yVal>
            <c:numRef>
              <c:f>uxb_scatter!$C$14:$U$14</c:f>
              <c:numCache>
                <c:formatCode>General</c:formatCode>
                <c:ptCount val="19"/>
                <c:pt idx="0">
                  <c:v>23.455088272248759</c:v>
                </c:pt>
                <c:pt idx="1">
                  <c:v>60.711712388149238</c:v>
                </c:pt>
                <c:pt idx="2">
                  <c:v>65.286693679205769</c:v>
                </c:pt>
                <c:pt idx="3">
                  <c:v>42.374181974144157</c:v>
                </c:pt>
                <c:pt idx="4">
                  <c:v>41.907021450570397</c:v>
                </c:pt>
                <c:pt idx="5">
                  <c:v>23.61710989503726</c:v>
                </c:pt>
                <c:pt idx="6">
                  <c:v>14.722524435083418</c:v>
                </c:pt>
                <c:pt idx="7">
                  <c:v>21.818213729763158</c:v>
                </c:pt>
                <c:pt idx="8">
                  <c:v>21.955832845790781</c:v>
                </c:pt>
                <c:pt idx="9">
                  <c:v>33.290060562547922</c:v>
                </c:pt>
                <c:pt idx="10">
                  <c:v>31.627618019215326</c:v>
                </c:pt>
                <c:pt idx="11">
                  <c:v>44.586262953078325</c:v>
                </c:pt>
                <c:pt idx="12">
                  <c:v>16.487210844906201</c:v>
                </c:pt>
                <c:pt idx="13">
                  <c:v>26.959196461509244</c:v>
                </c:pt>
                <c:pt idx="14">
                  <c:v>27.836228889814965</c:v>
                </c:pt>
                <c:pt idx="15">
                  <c:v>53.758155655948975</c:v>
                </c:pt>
                <c:pt idx="16">
                  <c:v>19.38398843957053</c:v>
                </c:pt>
                <c:pt idx="17">
                  <c:v>35.630984519760609</c:v>
                </c:pt>
                <c:pt idx="18">
                  <c:v>13.682865936218722</c:v>
                </c:pt>
              </c:numCache>
            </c:numRef>
          </c:yVal>
        </c:ser>
        <c:ser>
          <c:idx val="5"/>
          <c:order val="3"/>
          <c:tx>
            <c:strRef>
              <c:f>uxb_scatter!$C$46</c:f>
              <c:strCache>
                <c:ptCount val="1"/>
              </c:strCache>
            </c:strRef>
          </c:tx>
          <c:spPr>
            <a:ln w="28575">
              <a:noFill/>
            </a:ln>
          </c:spPr>
          <c:marker>
            <c:symbol val="circle"/>
            <c:size val="6"/>
            <c:spPr>
              <a:solidFill>
                <a:srgbClr val="00CCFF"/>
              </a:solidFill>
              <a:ln w="9525">
                <a:noFill/>
              </a:ln>
            </c:spPr>
          </c:marker>
          <c:dLbls>
            <c:spPr>
              <a:noFill/>
              <a:ln w="25400">
                <a:noFill/>
              </a:ln>
            </c:spPr>
            <c:txPr>
              <a:bodyPr/>
              <a:lstStyle/>
              <a:p>
                <a:pPr>
                  <a:defRPr sz="800" b="0" i="0" u="none" strike="noStrike" baseline="0">
                    <a:solidFill>
                      <a:srgbClr val="000000"/>
                    </a:solidFill>
                    <a:latin typeface="Arial"/>
                    <a:ea typeface="Arial"/>
                    <a:cs typeface="Arial"/>
                  </a:defRPr>
                </a:pPr>
                <a:endParaRPr lang="en-US"/>
              </a:p>
            </c:txPr>
            <c:showSerName val="1"/>
          </c:dLbls>
          <c:xVal>
            <c:numRef>
              <c:f>uxb_scatter!$C$47</c:f>
              <c:numCache>
                <c:formatCode>General</c:formatCode>
                <c:ptCount val="1"/>
                <c:pt idx="0">
                  <c:v>#N/A</c:v>
                </c:pt>
              </c:numCache>
            </c:numRef>
          </c:xVal>
          <c:yVal>
            <c:numRef>
              <c:f>uxb_scatter!$C$48</c:f>
              <c:numCache>
                <c:formatCode>General</c:formatCode>
                <c:ptCount val="1"/>
                <c:pt idx="0">
                  <c:v>#N/A</c:v>
                </c:pt>
              </c:numCache>
            </c:numRef>
          </c:yVal>
        </c:ser>
        <c:ser>
          <c:idx val="4"/>
          <c:order val="4"/>
          <c:tx>
            <c:strRef>
              <c:f>uxb_scatter!$D$46</c:f>
              <c:strCache>
                <c:ptCount val="1"/>
              </c:strCache>
            </c:strRef>
          </c:tx>
          <c:spPr>
            <a:ln w="28575">
              <a:noFill/>
            </a:ln>
          </c:spPr>
          <c:marker>
            <c:symbol val="circle"/>
            <c:size val="6"/>
            <c:spPr>
              <a:solidFill>
                <a:srgbClr val="00CCFF"/>
              </a:solidFill>
              <a:ln w="9525">
                <a:noFill/>
              </a:ln>
            </c:spPr>
          </c:marker>
          <c:dLbls>
            <c:spPr>
              <a:noFill/>
              <a:ln w="25400">
                <a:noFill/>
              </a:ln>
            </c:spPr>
            <c:txPr>
              <a:bodyPr/>
              <a:lstStyle/>
              <a:p>
                <a:pPr>
                  <a:defRPr sz="800" b="0" i="0" u="none" strike="noStrike" baseline="0">
                    <a:solidFill>
                      <a:srgbClr val="000000"/>
                    </a:solidFill>
                    <a:latin typeface="Arial"/>
                    <a:ea typeface="Arial"/>
                    <a:cs typeface="Arial"/>
                  </a:defRPr>
                </a:pPr>
                <a:endParaRPr lang="en-US"/>
              </a:p>
            </c:txPr>
            <c:showSerName val="1"/>
          </c:dLbls>
          <c:xVal>
            <c:numRef>
              <c:f>uxb_scatter!$D$47</c:f>
              <c:numCache>
                <c:formatCode>General</c:formatCode>
                <c:ptCount val="1"/>
                <c:pt idx="0">
                  <c:v>#N/A</c:v>
                </c:pt>
              </c:numCache>
            </c:numRef>
          </c:xVal>
          <c:yVal>
            <c:numRef>
              <c:f>uxb_scatter!$D$48</c:f>
              <c:numCache>
                <c:formatCode>General</c:formatCode>
                <c:ptCount val="1"/>
                <c:pt idx="0">
                  <c:v>#N/A</c:v>
                </c:pt>
              </c:numCache>
            </c:numRef>
          </c:yVal>
        </c:ser>
        <c:ser>
          <c:idx val="3"/>
          <c:order val="5"/>
          <c:tx>
            <c:strRef>
              <c:f>uxb_scatter!$C$39</c:f>
              <c:strCache>
                <c:ptCount val="1"/>
                <c:pt idx="0">
                  <c:v>Mexico</c:v>
                </c:pt>
              </c:strCache>
            </c:strRef>
          </c:tx>
          <c:spPr>
            <a:ln w="28575">
              <a:noFill/>
            </a:ln>
          </c:spPr>
          <c:marker>
            <c:symbol val="circle"/>
            <c:size val="6"/>
            <c:spPr>
              <a:solidFill>
                <a:srgbClr val="FF0000"/>
              </a:solidFill>
              <a:ln>
                <a:noFill/>
              </a:ln>
            </c:spPr>
          </c:marker>
          <c:dLbls>
            <c:spPr>
              <a:noFill/>
              <a:ln w="25400">
                <a:noFill/>
              </a:ln>
            </c:spPr>
            <c:txPr>
              <a:bodyPr/>
              <a:lstStyle/>
              <a:p>
                <a:pPr>
                  <a:defRPr sz="1050">
                    <a:latin typeface="+mn-lt"/>
                  </a:defRPr>
                </a:pPr>
                <a:endParaRPr lang="en-US"/>
              </a:p>
            </c:txPr>
            <c:showSerName val="1"/>
          </c:dLbls>
          <c:xVal>
            <c:numRef>
              <c:f>uxb_scatter!$C$40</c:f>
              <c:numCache>
                <c:formatCode>General</c:formatCode>
                <c:ptCount val="1"/>
                <c:pt idx="0">
                  <c:v>3</c:v>
                </c:pt>
              </c:numCache>
            </c:numRef>
          </c:xVal>
          <c:yVal>
            <c:numRef>
              <c:f>uxb_scatter!$C$41</c:f>
              <c:numCache>
                <c:formatCode>General</c:formatCode>
                <c:ptCount val="1"/>
                <c:pt idx="0">
                  <c:v>44.586262953078325</c:v>
                </c:pt>
              </c:numCache>
            </c:numRef>
          </c:yVal>
        </c:ser>
        <c:ser>
          <c:idx val="6"/>
          <c:order val="6"/>
          <c:tx>
            <c:v>Highlight (labels)</c:v>
          </c:tx>
          <c:spPr>
            <a:ln w="28575">
              <a:noFill/>
            </a:ln>
          </c:spPr>
          <c:marker>
            <c:symbol val="none"/>
          </c:marker>
          <c:dLbls>
            <c:dLbl>
              <c:idx val="0"/>
              <c:tx>
                <c:rich>
                  <a:bodyPr/>
                  <a:lstStyle/>
                  <a:p>
                    <a:r>
                      <a:rPr lang="en-US" sz="800">
                        <a:latin typeface="+mn-lt"/>
                      </a:rPr>
                      <a:t>Argentina</a:t>
                    </a:r>
                  </a:p>
                </c:rich>
              </c:tx>
            </c:dLbl>
            <c:dLbl>
              <c:idx val="1"/>
              <c:tx>
                <c:rich>
                  <a:bodyPr/>
                  <a:lstStyle/>
                  <a:p>
                    <a:r>
                      <a:rPr lang="en-US" sz="800">
                        <a:latin typeface="+mn-lt"/>
                      </a:rPr>
                      <a:t>Bolivia</a:t>
                    </a:r>
                  </a:p>
                </c:rich>
              </c:tx>
            </c:dLbl>
            <c:dLbl>
              <c:idx val="2"/>
              <c:tx>
                <c:rich>
                  <a:bodyPr/>
                  <a:lstStyle/>
                  <a:p>
                    <a:r>
                      <a:rPr lang="en-US" sz="800">
                        <a:latin typeface="+mn-lt"/>
                      </a:rPr>
                      <a:t>Brazil</a:t>
                    </a:r>
                  </a:p>
                </c:rich>
              </c:tx>
            </c:dLbl>
            <c:dLbl>
              <c:idx val="3"/>
              <c:tx>
                <c:rich>
                  <a:bodyPr/>
                  <a:lstStyle/>
                  <a:p>
                    <a:r>
                      <a:rPr lang="en-US" sz="800">
                        <a:latin typeface="+mn-lt"/>
                      </a:rPr>
                      <a:t>Chile </a:t>
                    </a:r>
                  </a:p>
                </c:rich>
              </c:tx>
            </c:dLbl>
            <c:dLbl>
              <c:idx val="4"/>
              <c:tx>
                <c:rich>
                  <a:bodyPr/>
                  <a:lstStyle/>
                  <a:p>
                    <a:r>
                      <a:rPr lang="en-US" sz="800">
                        <a:latin typeface="+mn-lt"/>
                      </a:rPr>
                      <a:t>Colombia</a:t>
                    </a:r>
                  </a:p>
                </c:rich>
              </c:tx>
            </c:dLbl>
            <c:dLbl>
              <c:idx val="5"/>
              <c:tx>
                <c:rich>
                  <a:bodyPr/>
                  <a:lstStyle/>
                  <a:p>
                    <a:r>
                      <a:rPr lang="en-US" sz="800">
                        <a:latin typeface="+mn-lt"/>
                      </a:rPr>
                      <a:t>Costa Rica</a:t>
                    </a:r>
                  </a:p>
                </c:rich>
              </c:tx>
            </c:dLbl>
            <c:dLbl>
              <c:idx val="6"/>
              <c:tx>
                <c:rich>
                  <a:bodyPr/>
                  <a:lstStyle/>
                  <a:p>
                    <a:r>
                      <a:rPr lang="en-US" sz="800">
                        <a:latin typeface="+mn-lt"/>
                      </a:rPr>
                      <a:t>Dominican Rep.</a:t>
                    </a:r>
                  </a:p>
                </c:rich>
              </c:tx>
            </c:dLbl>
            <c:dLbl>
              <c:idx val="7"/>
              <c:tx>
                <c:rich>
                  <a:bodyPr/>
                  <a:lstStyle/>
                  <a:p>
                    <a:r>
                      <a:rPr lang="en-US" sz="800">
                        <a:latin typeface="+mn-lt"/>
                      </a:rPr>
                      <a:t>Ecuador</a:t>
                    </a:r>
                  </a:p>
                </c:rich>
              </c:tx>
            </c:dLbl>
            <c:dLbl>
              <c:idx val="8"/>
              <c:tx>
                <c:rich>
                  <a:bodyPr/>
                  <a:lstStyle/>
                  <a:p>
                    <a:r>
                      <a:rPr lang="en-US" sz="800">
                        <a:latin typeface="+mn-lt"/>
                      </a:rPr>
                      <a:t>El Salvador</a:t>
                    </a:r>
                  </a:p>
                </c:rich>
              </c:tx>
            </c:dLbl>
            <c:dLbl>
              <c:idx val="9"/>
              <c:tx>
                <c:rich>
                  <a:bodyPr/>
                  <a:lstStyle/>
                  <a:p>
                    <a:r>
                      <a:rPr lang="en-US" sz="800">
                        <a:latin typeface="+mn-lt"/>
                      </a:rPr>
                      <a:t>Guatemala</a:t>
                    </a:r>
                  </a:p>
                </c:rich>
              </c:tx>
            </c:dLbl>
            <c:dLbl>
              <c:idx val="10"/>
              <c:tx>
                <c:rich>
                  <a:bodyPr/>
                  <a:lstStyle/>
                  <a:p>
                    <a:r>
                      <a:rPr lang="en-US" sz="800">
                        <a:latin typeface="+mn-lt"/>
                      </a:rPr>
                      <a:t>Honduras</a:t>
                    </a:r>
                  </a:p>
                </c:rich>
              </c:tx>
            </c:dLbl>
            <c:dLbl>
              <c:idx val="11"/>
              <c:tx>
                <c:rich>
                  <a:bodyPr/>
                  <a:lstStyle/>
                  <a:p>
                    <a:r>
                      <a:rPr lang="en-US" sz="800">
                        <a:latin typeface="+mn-lt"/>
                      </a:rPr>
                      <a:t>Jamaica</a:t>
                    </a:r>
                  </a:p>
                </c:rich>
              </c:tx>
            </c:dLbl>
            <c:dLbl>
              <c:idx val="12"/>
              <c:tx>
                <c:rich>
                  <a:bodyPr/>
                  <a:lstStyle/>
                  <a:p>
                    <a:r>
                      <a:rPr lang="en-US" sz="800">
                        <a:latin typeface="+mn-lt"/>
                      </a:rPr>
                      <a:t>Mexico</a:t>
                    </a:r>
                  </a:p>
                </c:rich>
              </c:tx>
            </c:dLbl>
            <c:dLbl>
              <c:idx val="13"/>
              <c:tx>
                <c:rich>
                  <a:bodyPr/>
                  <a:lstStyle/>
                  <a:p>
                    <a:r>
                      <a:rPr lang="en-US" sz="800">
                        <a:latin typeface="+mn-lt"/>
                      </a:rPr>
                      <a:t>Nicaragua</a:t>
                    </a:r>
                  </a:p>
                </c:rich>
              </c:tx>
            </c:dLbl>
            <c:dLbl>
              <c:idx val="14"/>
              <c:tx>
                <c:rich>
                  <a:bodyPr/>
                  <a:lstStyle/>
                  <a:p>
                    <a:r>
                      <a:rPr lang="en-US" sz="800">
                        <a:latin typeface="+mn-lt"/>
                      </a:rPr>
                      <a:t>Panama</a:t>
                    </a:r>
                  </a:p>
                </c:rich>
              </c:tx>
            </c:dLbl>
            <c:dLbl>
              <c:idx val="15"/>
              <c:tx>
                <c:rich>
                  <a:bodyPr/>
                  <a:lstStyle/>
                  <a:p>
                    <a:r>
                      <a:rPr lang="en-US" sz="800">
                        <a:latin typeface="+mn-lt"/>
                      </a:rPr>
                      <a:t>Paraguay</a:t>
                    </a:r>
                  </a:p>
                </c:rich>
              </c:tx>
            </c:dLbl>
            <c:dLbl>
              <c:idx val="16"/>
              <c:tx>
                <c:rich>
                  <a:bodyPr/>
                  <a:lstStyle/>
                  <a:p>
                    <a:r>
                      <a:rPr lang="en-US" sz="800">
                        <a:latin typeface="+mn-lt"/>
                      </a:rPr>
                      <a:t>Peru</a:t>
                    </a:r>
                  </a:p>
                </c:rich>
              </c:tx>
            </c:dLbl>
            <c:dLbl>
              <c:idx val="17"/>
              <c:tx>
                <c:rich>
                  <a:bodyPr/>
                  <a:lstStyle/>
                  <a:p>
                    <a:r>
                      <a:rPr lang="en-US" sz="800">
                        <a:latin typeface="+mn-lt"/>
                      </a:rPr>
                      <a:t>Uruguay</a:t>
                    </a:r>
                  </a:p>
                </c:rich>
              </c:tx>
            </c:dLbl>
            <c:dLbl>
              <c:idx val="18"/>
              <c:tx>
                <c:rich>
                  <a:bodyPr/>
                  <a:lstStyle/>
                  <a:p>
                    <a:r>
                      <a:rPr lang="en-US" sz="800">
                        <a:latin typeface="+mn-lt"/>
                      </a:rPr>
                      <a:t>Venezuela</a:t>
                    </a:r>
                  </a:p>
                </c:rich>
              </c:tx>
            </c:dLbl>
            <c:dLbl>
              <c:idx val="19"/>
              <c:tx>
                <c:rich>
                  <a:bodyPr/>
                  <a:lstStyle/>
                  <a:p>
                    <a:r>
                      <a:rPr lang="en-US" sz="800">
                        <a:latin typeface="+mn-lt"/>
                      </a:rPr>
                      <a:t>Venezuela</a:t>
                    </a:r>
                  </a:p>
                </c:rich>
              </c:tx>
            </c:dLbl>
            <c:dLbl>
              <c:idx val="20"/>
              <c:tx>
                <c:rich>
                  <a:bodyPr/>
                  <a:lstStyle/>
                  <a:p>
                    <a:r>
                      <a:rPr lang="en-US" sz="800">
                        <a:latin typeface="+mn-lt"/>
                      </a:rPr>
                      <a:t>Rome</a:t>
                    </a:r>
                  </a:p>
                </c:rich>
              </c:tx>
            </c:dLbl>
            <c:dLbl>
              <c:idx val="21"/>
              <c:tx>
                <c:rich>
                  <a:bodyPr/>
                  <a:lstStyle/>
                  <a:p>
                    <a:r>
                      <a:rPr lang="en-US" sz="800">
                        <a:latin typeface="+mn-lt"/>
                      </a:rPr>
                      <a:t>Osaka</a:t>
                    </a:r>
                  </a:p>
                </c:rich>
              </c:tx>
            </c:dLbl>
            <c:dLbl>
              <c:idx val="22"/>
              <c:tx>
                <c:rich>
                  <a:bodyPr/>
                  <a:lstStyle/>
                  <a:p>
                    <a:r>
                      <a:rPr lang="en-US" sz="800">
                        <a:latin typeface="+mn-lt"/>
                      </a:rPr>
                      <a:t>Tokyo</a:t>
                    </a:r>
                  </a:p>
                </c:rich>
              </c:tx>
            </c:dLbl>
            <c:dLbl>
              <c:idx val="23"/>
              <c:tx>
                <c:rich>
                  <a:bodyPr/>
                  <a:lstStyle/>
                  <a:p>
                    <a:r>
                      <a:rPr lang="en-US" sz="800">
                        <a:latin typeface="+mn-lt"/>
                      </a:rPr>
                      <a:t>Seoul</a:t>
                    </a:r>
                  </a:p>
                </c:rich>
              </c:tx>
            </c:dLbl>
            <c:dLbl>
              <c:idx val="24"/>
              <c:tx>
                <c:rich>
                  <a:bodyPr/>
                  <a:lstStyle/>
                  <a:p>
                    <a:r>
                      <a:rPr lang="en-US" sz="800">
                        <a:latin typeface="+mn-lt"/>
                      </a:rPr>
                      <a:t>Mexico City</a:t>
                    </a:r>
                  </a:p>
                </c:rich>
              </c:tx>
            </c:dLbl>
            <c:dLbl>
              <c:idx val="25"/>
              <c:tx>
                <c:rich>
                  <a:bodyPr/>
                  <a:lstStyle/>
                  <a:p>
                    <a:r>
                      <a:rPr lang="en-US" sz="800">
                        <a:latin typeface="+mn-lt"/>
                      </a:rPr>
                      <a:t>Amsterdam</a:t>
                    </a:r>
                  </a:p>
                </c:rich>
              </c:tx>
            </c:dLbl>
            <c:dLbl>
              <c:idx val="26"/>
              <c:tx>
                <c:rich>
                  <a:bodyPr/>
                  <a:lstStyle/>
                  <a:p>
                    <a:r>
                      <a:rPr lang="en-US" sz="800">
                        <a:latin typeface="+mn-lt"/>
                      </a:rPr>
                      <a:t>Auckland</a:t>
                    </a:r>
                  </a:p>
                </c:rich>
              </c:tx>
            </c:dLbl>
            <c:dLbl>
              <c:idx val="27"/>
              <c:tx>
                <c:rich>
                  <a:bodyPr/>
                  <a:lstStyle/>
                  <a:p>
                    <a:r>
                      <a:rPr lang="en-US" sz="800">
                        <a:latin typeface="+mn-lt"/>
                      </a:rPr>
                      <a:t>Oslo</a:t>
                    </a:r>
                  </a:p>
                </c:rich>
              </c:tx>
            </c:dLbl>
            <c:dLbl>
              <c:idx val="28"/>
              <c:tx>
                <c:rich>
                  <a:bodyPr/>
                  <a:lstStyle/>
                  <a:p>
                    <a:r>
                      <a:rPr lang="en-US" sz="800">
                        <a:latin typeface="+mn-lt"/>
                      </a:rPr>
                      <a:t>Warsaw</a:t>
                    </a:r>
                  </a:p>
                </c:rich>
              </c:tx>
            </c:dLbl>
            <c:dLbl>
              <c:idx val="29"/>
              <c:tx>
                <c:rich>
                  <a:bodyPr/>
                  <a:lstStyle/>
                  <a:p>
                    <a:r>
                      <a:rPr lang="en-US" sz="800">
                        <a:latin typeface="+mn-lt"/>
                      </a:rPr>
                      <a:t>Lisbon</a:t>
                    </a:r>
                  </a:p>
                </c:rich>
              </c:tx>
            </c:dLbl>
            <c:dLbl>
              <c:idx val="30"/>
              <c:tx>
                <c:rich>
                  <a:bodyPr/>
                  <a:lstStyle/>
                  <a:p>
                    <a:r>
                      <a:rPr lang="en-US" sz="800">
                        <a:latin typeface="+mn-lt"/>
                      </a:rPr>
                      <a:t>Barcelona</a:t>
                    </a:r>
                  </a:p>
                </c:rich>
              </c:tx>
            </c:dLbl>
            <c:dLbl>
              <c:idx val="31"/>
              <c:tx>
                <c:rich>
                  <a:bodyPr/>
                  <a:lstStyle/>
                  <a:p>
                    <a:r>
                      <a:rPr lang="en-US" sz="800">
                        <a:latin typeface="+mn-lt"/>
                      </a:rPr>
                      <a:t>Madrid</a:t>
                    </a:r>
                  </a:p>
                </c:rich>
              </c:tx>
            </c:dLbl>
            <c:dLbl>
              <c:idx val="32"/>
              <c:tx>
                <c:rich>
                  <a:bodyPr/>
                  <a:lstStyle/>
                  <a:p>
                    <a:r>
                      <a:rPr lang="en-US" sz="800">
                        <a:latin typeface="+mn-lt"/>
                      </a:rPr>
                      <a:t>Valencia</a:t>
                    </a:r>
                  </a:p>
                </c:rich>
              </c:tx>
            </c:dLbl>
            <c:dLbl>
              <c:idx val="33"/>
              <c:tx>
                <c:rich>
                  <a:bodyPr/>
                  <a:lstStyle/>
                  <a:p>
                    <a:r>
                      <a:rPr lang="en-US" sz="800">
                        <a:latin typeface="+mn-lt"/>
                      </a:rPr>
                      <a:t>Stockholm</a:t>
                    </a:r>
                  </a:p>
                </c:rich>
              </c:tx>
            </c:dLbl>
            <c:dLbl>
              <c:idx val="34"/>
              <c:tx>
                <c:rich>
                  <a:bodyPr/>
                  <a:lstStyle/>
                  <a:p>
                    <a:r>
                      <a:rPr lang="en-US" sz="800">
                        <a:latin typeface="+mn-lt"/>
                      </a:rPr>
                      <a:t>Zurich</a:t>
                    </a:r>
                  </a:p>
                </c:rich>
              </c:tx>
            </c:dLbl>
            <c:dLbl>
              <c:idx val="35"/>
              <c:tx>
                <c:rich>
                  <a:bodyPr/>
                  <a:lstStyle/>
                  <a:p>
                    <a:r>
                      <a:rPr lang="en-US" sz="800">
                        <a:latin typeface="+mn-lt"/>
                      </a:rPr>
                      <a:t>Istanbul</a:t>
                    </a:r>
                  </a:p>
                </c:rich>
              </c:tx>
            </c:dLbl>
            <c:dLbl>
              <c:idx val="36"/>
              <c:tx>
                <c:rich>
                  <a:bodyPr/>
                  <a:lstStyle/>
                  <a:p>
                    <a:r>
                      <a:rPr lang="en-US" sz="800">
                        <a:latin typeface="+mn-lt"/>
                      </a:rPr>
                      <a:t>London</a:t>
                    </a:r>
                  </a:p>
                </c:rich>
              </c:tx>
            </c:dLbl>
            <c:dLbl>
              <c:idx val="37"/>
              <c:tx>
                <c:rich>
                  <a:bodyPr/>
                  <a:lstStyle/>
                  <a:p>
                    <a:r>
                      <a:rPr lang="en-US" sz="800">
                        <a:latin typeface="+mn-lt"/>
                      </a:rPr>
                      <a:t>Birmingham</a:t>
                    </a:r>
                  </a:p>
                </c:rich>
              </c:tx>
            </c:dLbl>
            <c:dLbl>
              <c:idx val="38"/>
              <c:tx>
                <c:rich>
                  <a:bodyPr/>
                  <a:lstStyle/>
                  <a:p>
                    <a:r>
                      <a:rPr lang="en-US" sz="800">
                        <a:latin typeface="+mn-lt"/>
                      </a:rPr>
                      <a:t>Leeds</a:t>
                    </a:r>
                  </a:p>
                </c:rich>
              </c:tx>
            </c:dLbl>
            <c:dLbl>
              <c:idx val="39"/>
              <c:tx>
                <c:rich>
                  <a:bodyPr/>
                  <a:lstStyle/>
                  <a:p>
                    <a:r>
                      <a:rPr lang="en-US" sz="800">
                        <a:latin typeface="+mn-lt"/>
                      </a:rPr>
                      <a:t>Glasgow</a:t>
                    </a:r>
                  </a:p>
                </c:rich>
              </c:tx>
            </c:dLbl>
            <c:dLbl>
              <c:idx val="40"/>
              <c:tx>
                <c:rich>
                  <a:bodyPr/>
                  <a:lstStyle/>
                  <a:p>
                    <a:r>
                      <a:rPr lang="en-US" sz="800">
                        <a:latin typeface="+mn-lt"/>
                      </a:rPr>
                      <a:t>Houston</a:t>
                    </a:r>
                  </a:p>
                </c:rich>
              </c:tx>
            </c:dLbl>
            <c:dLbl>
              <c:idx val="41"/>
              <c:tx>
                <c:rich>
                  <a:bodyPr/>
                  <a:lstStyle/>
                  <a:p>
                    <a:r>
                      <a:rPr lang="en-US" sz="800">
                        <a:latin typeface="+mn-lt"/>
                      </a:rPr>
                      <a:t>San Jose</a:t>
                    </a:r>
                  </a:p>
                </c:rich>
              </c:tx>
            </c:dLbl>
            <c:dLbl>
              <c:idx val="42"/>
              <c:tx>
                <c:rich>
                  <a:bodyPr/>
                  <a:lstStyle/>
                  <a:p>
                    <a:r>
                      <a:rPr lang="en-US" sz="800">
                        <a:latin typeface="+mn-lt"/>
                      </a:rPr>
                      <a:t>Moscow</a:t>
                    </a:r>
                  </a:p>
                </c:rich>
              </c:tx>
            </c:dLbl>
            <c:dLbl>
              <c:idx val="43"/>
              <c:tx>
                <c:rich>
                  <a:bodyPr/>
                  <a:lstStyle/>
                  <a:p>
                    <a:r>
                      <a:rPr lang="en-US" sz="800">
                        <a:latin typeface="+mn-lt"/>
                      </a:rPr>
                      <a:t>Curitiba</a:t>
                    </a:r>
                  </a:p>
                </c:rich>
              </c:tx>
            </c:dLbl>
            <c:dLbl>
              <c:idx val="44"/>
              <c:tx>
                <c:rich>
                  <a:bodyPr/>
                  <a:lstStyle/>
                  <a:p>
                    <a:r>
                      <a:rPr lang="en-US" sz="800">
                        <a:latin typeface="+mn-lt"/>
                      </a:rPr>
                      <a:t>Delhi</a:t>
                    </a:r>
                  </a:p>
                </c:rich>
              </c:tx>
            </c:dLbl>
            <c:dLbl>
              <c:idx val="45"/>
              <c:tx>
                <c:rich>
                  <a:bodyPr/>
                  <a:lstStyle/>
                  <a:p>
                    <a:r>
                      <a:rPr lang="en-US" sz="800">
                        <a:latin typeface="+mn-lt"/>
                      </a:rPr>
                      <a:t>Singapore</a:t>
                    </a:r>
                  </a:p>
                </c:rich>
              </c:tx>
            </c:dLbl>
            <c:dLbl>
              <c:idx val="46"/>
              <c:tx>
                <c:rich>
                  <a:bodyPr/>
                  <a:lstStyle/>
                  <a:p>
                    <a:r>
                      <a:rPr lang="en-US" sz="800">
                        <a:latin typeface="+mn-lt"/>
                      </a:rPr>
                      <a:t>New York</a:t>
                    </a:r>
                  </a:p>
                </c:rich>
              </c:tx>
            </c:dLbl>
            <c:dLbl>
              <c:idx val="47"/>
              <c:tx>
                <c:rich>
                  <a:bodyPr/>
                  <a:lstStyle/>
                  <a:p>
                    <a:r>
                      <a:rPr lang="en-US" sz="800">
                        <a:latin typeface="+mn-lt"/>
                      </a:rPr>
                      <a:t>San Francisco</a:t>
                    </a:r>
                  </a:p>
                </c:rich>
              </c:tx>
            </c:dLbl>
            <c:dLbl>
              <c:idx val="48"/>
              <c:tx>
                <c:rich>
                  <a:bodyPr/>
                  <a:lstStyle/>
                  <a:p>
                    <a:r>
                      <a:rPr lang="en-US" sz="800">
                        <a:latin typeface="+mn-lt"/>
                      </a:rPr>
                      <a:t>Boston</a:t>
                    </a:r>
                  </a:p>
                </c:rich>
              </c:tx>
            </c:dLbl>
            <c:dLbl>
              <c:idx val="49"/>
              <c:tx>
                <c:rich>
                  <a:bodyPr/>
                  <a:lstStyle/>
                  <a:p>
                    <a:r>
                      <a:rPr lang="en-US" sz="800">
                        <a:latin typeface="+mn-lt"/>
                      </a:rPr>
                      <a:t>Washington DC</a:t>
                    </a:r>
                  </a:p>
                </c:rich>
              </c:tx>
            </c:dLbl>
            <c:dLbl>
              <c:idx val="50"/>
              <c:tx>
                <c:rich>
                  <a:bodyPr/>
                  <a:lstStyle/>
                  <a:p>
                    <a:r>
                      <a:rPr lang="en-GB" sz="800">
                        <a:latin typeface="+mn-lt"/>
                      </a:rPr>
                      <a:t>Chicago</a:t>
                    </a:r>
                  </a:p>
                </c:rich>
              </c:tx>
            </c:dLbl>
            <c:spPr>
              <a:noFill/>
              <a:ln w="25400">
                <a:noFill/>
              </a:ln>
            </c:spPr>
            <c:txPr>
              <a:bodyPr/>
              <a:lstStyle/>
              <a:p>
                <a:pPr>
                  <a:defRPr sz="800">
                    <a:latin typeface="+mn-lt"/>
                  </a:defRPr>
                </a:pPr>
                <a:endParaRPr lang="en-US"/>
              </a:p>
            </c:txPr>
            <c:showSerName val="1"/>
          </c:dLbls>
          <c:xVal>
            <c:numRef>
              <c:f>uxb_scatter!$C$36:$U$36</c:f>
              <c:numCache>
                <c:formatCode>General</c:formatCode>
                <c:ptCount val="1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numCache>
            </c:numRef>
          </c:xVal>
          <c:yVal>
            <c:numRef>
              <c:f>uxb_scatter!$C$37:$U$37</c:f>
              <c:numCache>
                <c:formatCode>General</c:formatCode>
                <c:ptCount val="1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numCache>
            </c:numRef>
          </c:yVal>
        </c:ser>
        <c:dLbls>
          <c:showSerName val="1"/>
        </c:dLbls>
        <c:axId val="68283008"/>
        <c:axId val="68305280"/>
      </c:scatterChart>
      <c:valAx>
        <c:axId val="68283008"/>
        <c:scaling>
          <c:orientation val="minMax"/>
        </c:scaling>
        <c:axPos val="b"/>
        <c:numFmt formatCode="0" sourceLinked="0"/>
        <c:tickLblPos val="nextTo"/>
        <c:spPr>
          <a:ln w="3175">
            <a:solidFill>
              <a:srgbClr val="808080"/>
            </a:solidFill>
            <a:prstDash val="solid"/>
          </a:ln>
        </c:spPr>
        <c:txPr>
          <a:bodyPr rot="0" vert="horz"/>
          <a:lstStyle/>
          <a:p>
            <a:pPr>
              <a:defRPr sz="800" b="0" i="0" u="none" strike="noStrike" baseline="0">
                <a:solidFill>
                  <a:srgbClr val="000000"/>
                </a:solidFill>
                <a:latin typeface="Officina Sans ITC Book"/>
                <a:ea typeface="Officina Sans ITC Book"/>
                <a:cs typeface="Officina Sans ITC Book"/>
              </a:defRPr>
            </a:pPr>
            <a:endParaRPr lang="en-US"/>
          </a:p>
        </c:txPr>
        <c:crossAx val="68305280"/>
        <c:crosses val="autoZero"/>
        <c:crossBetween val="midCat"/>
      </c:valAx>
      <c:valAx>
        <c:axId val="68305280"/>
        <c:scaling>
          <c:orientation val="minMax"/>
          <c:min val="0"/>
        </c:scaling>
        <c:axPos val="l"/>
        <c:majorGridlines>
          <c:spPr>
            <a:ln w="3175">
              <a:solidFill>
                <a:srgbClr val="C0C0C0"/>
              </a:solidFill>
              <a:prstDash val="sysDash"/>
            </a:ln>
          </c:spPr>
        </c:majorGridlines>
        <c:numFmt formatCode="General" sourceLinked="1"/>
        <c:tickLblPos val="nextTo"/>
        <c:spPr>
          <a:ln w="3175">
            <a:solidFill>
              <a:srgbClr val="808080"/>
            </a:solidFill>
            <a:prstDash val="solid"/>
          </a:ln>
        </c:spPr>
        <c:txPr>
          <a:bodyPr rot="0" vert="horz"/>
          <a:lstStyle/>
          <a:p>
            <a:pPr>
              <a:defRPr sz="800" b="0" i="0" u="none" strike="noStrike" baseline="0">
                <a:solidFill>
                  <a:srgbClr val="000000"/>
                </a:solidFill>
                <a:latin typeface="Officina Sans ITC Book"/>
                <a:ea typeface="Officina Sans ITC Book"/>
                <a:cs typeface="Officina Sans ITC Book"/>
              </a:defRPr>
            </a:pPr>
            <a:endParaRPr lang="en-US"/>
          </a:p>
        </c:txPr>
        <c:crossAx val="68283008"/>
        <c:crosses val="autoZero"/>
        <c:crossBetween val="midCat"/>
      </c:valAx>
      <c:spPr>
        <a:solidFill>
          <a:srgbClr val="EFEFD6"/>
        </a:solidFill>
        <a:ln w="25400">
          <a:noFill/>
        </a:ln>
      </c:spPr>
    </c:plotArea>
    <c:plotVisOnly val="1"/>
    <c:dispBlanksAs val="gap"/>
  </c:chart>
  <c:spPr>
    <a:noFill/>
    <a:ln w="9525">
      <a:noFill/>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1" l="0.75000000000000122" r="0.75000000000000122" t="1" header="0.5" footer="0.5"/>
    <c:pageSetup orientation="portrait"/>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www.f1research.com/?id=zipcar" TargetMode="External"/><Relationship Id="rId1" Type="http://schemas.openxmlformats.org/officeDocument/2006/relationships/image" Target="../media/image1.jpeg"/><Relationship Id="rId4"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1.xml"/></Relationships>
</file>

<file path=xl/drawings/_rels/vmlDrawing10.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xdr:from>
      <xdr:col>1</xdr:col>
      <xdr:colOff>257175</xdr:colOff>
      <xdr:row>0</xdr:row>
      <xdr:rowOff>38100</xdr:rowOff>
    </xdr:from>
    <xdr:to>
      <xdr:col>11</xdr:col>
      <xdr:colOff>285750</xdr:colOff>
      <xdr:row>2</xdr:row>
      <xdr:rowOff>19050</xdr:rowOff>
    </xdr:to>
    <xdr:pic>
      <xdr:nvPicPr>
        <xdr:cNvPr id="771319" name="Picture 1" descr="EIU_MPMS"/>
        <xdr:cNvPicPr>
          <a:picLocks noChangeAspect="1" noChangeArrowheads="1"/>
        </xdr:cNvPicPr>
      </xdr:nvPicPr>
      <xdr:blipFill>
        <a:blip xmlns:r="http://schemas.openxmlformats.org/officeDocument/2006/relationships" r:embed="rId1" cstate="print"/>
        <a:srcRect/>
        <a:stretch>
          <a:fillRect/>
        </a:stretch>
      </xdr:blipFill>
      <xdr:spPr bwMode="auto">
        <a:xfrm>
          <a:off x="457200" y="38100"/>
          <a:ext cx="6124575" cy="304800"/>
        </a:xfrm>
        <a:prstGeom prst="rect">
          <a:avLst/>
        </a:prstGeom>
        <a:noFill/>
        <a:ln w="9525">
          <a:noFill/>
          <a:miter lim="800000"/>
          <a:headEnd/>
          <a:tailEnd/>
        </a:ln>
      </xdr:spPr>
    </xdr:pic>
    <xdr:clientData/>
  </xdr:twoCellAnchor>
  <xdr:twoCellAnchor>
    <xdr:from>
      <xdr:col>1</xdr:col>
      <xdr:colOff>238125</xdr:colOff>
      <xdr:row>3</xdr:row>
      <xdr:rowOff>28575</xdr:rowOff>
    </xdr:from>
    <xdr:to>
      <xdr:col>11</xdr:col>
      <xdr:colOff>228600</xdr:colOff>
      <xdr:row>35</xdr:row>
      <xdr:rowOff>152400</xdr:rowOff>
    </xdr:to>
    <xdr:sp macro="" textlink="">
      <xdr:nvSpPr>
        <xdr:cNvPr id="771321" name="Text Box 27"/>
        <xdr:cNvSpPr txBox="1">
          <a:spLocks noChangeArrowheads="1"/>
        </xdr:cNvSpPr>
      </xdr:nvSpPr>
      <xdr:spPr bwMode="auto">
        <a:xfrm>
          <a:off x="438150" y="514350"/>
          <a:ext cx="6086475" cy="53054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100" b="0" i="0" u="none" strike="noStrike" baseline="0">
              <a:solidFill>
                <a:srgbClr val="000000"/>
              </a:solidFill>
              <a:latin typeface="Calibri"/>
            </a:rPr>
            <a:t>This benchmarking index evaluates the legal, regulatory and operating environments for public-private partnerships in transport and water infrastructure for 19 Latin American and Caribbean countries. The analysis and scores in the model provide a comparable assesssment of  individual countries' readiness and facility for PPP project design and implementation. They also provide a regional ranking for each country, allowing investors and policy advocates to focus on strengths and weaknesses.</a:t>
          </a:r>
        </a:p>
        <a:p>
          <a:pPr algn="l" rtl="0">
            <a:defRPr sz="1000"/>
          </a:pPr>
          <a:endParaRPr lang="en-US" sz="1100" b="0" i="0" u="none" strike="noStrike" baseline="0">
            <a:solidFill>
              <a:srgbClr val="000000"/>
            </a:solidFill>
            <a:latin typeface="Calibri"/>
          </a:endParaRPr>
        </a:p>
        <a:p>
          <a:pPr algn="l" rtl="0">
            <a:defRPr sz="1000"/>
          </a:pPr>
          <a:r>
            <a:rPr lang="en-US" sz="1100" b="0" i="0" u="none" strike="noStrike" baseline="0">
              <a:solidFill>
                <a:srgbClr val="000000"/>
              </a:solidFill>
              <a:latin typeface="Calibri"/>
            </a:rPr>
            <a:t>Evaluations were conducted and data was collected on a national level for all countries. For the purpose of this model, public-private partnerships are defined as concessions and include greenfield projects. Management and lease contracts, as well as privatisation through divestiture, have been excluded from the model and were not considered in qualitative analysis of each country.</a:t>
          </a:r>
        </a:p>
        <a:p>
          <a:pPr algn="l" rtl="0">
            <a:defRPr sz="1000"/>
          </a:pPr>
          <a:endParaRPr lang="en-US" sz="1100" b="0" i="0" u="none" strike="noStrike" baseline="0">
            <a:solidFill>
              <a:srgbClr val="000000"/>
            </a:solidFill>
            <a:latin typeface="Calibri"/>
          </a:endParaRPr>
        </a:p>
        <a:p>
          <a:pPr algn="l" rtl="0">
            <a:defRPr sz="1000"/>
          </a:pPr>
          <a:r>
            <a:rPr lang="en-US" sz="1100" b="0" i="0" u="none" strike="noStrike" baseline="0">
              <a:solidFill>
                <a:srgbClr val="000000"/>
              </a:solidFill>
              <a:latin typeface="Calibri"/>
            </a:rPr>
            <a:t>This model is constructed from 18 indicators, 13 of which are qualitative and were scored from 0-4, where 4=best. The remaining indicators were based on quantitative variables. Five category scores -  Legal and regulatory framework, Institutional framework, Operational maturity, Investment climate, and Financial facilities - are calculated from the weighted mean of the underlying indicators.</a:t>
          </a:r>
        </a:p>
        <a:p>
          <a:pPr algn="l" rtl="0">
            <a:defRPr sz="1000"/>
          </a:pPr>
          <a:endParaRPr lang="en-US" sz="1100" b="0" i="0" u="none" strike="noStrike" baseline="0">
            <a:solidFill>
              <a:srgbClr val="000000"/>
            </a:solidFill>
            <a:latin typeface="Calibri"/>
          </a:endParaRPr>
        </a:p>
        <a:p>
          <a:pPr algn="l" rtl="0">
            <a:defRPr sz="1000"/>
          </a:pPr>
          <a:r>
            <a:rPr lang="en-US" sz="1100" b="0" i="0" u="none" strike="noStrike" baseline="0">
              <a:solidFill>
                <a:srgbClr val="000000"/>
              </a:solidFill>
              <a:latin typeface="Calibri"/>
            </a:rPr>
            <a:t>Each indicator is normalised from 0-100 where 100=best. From the underlying quantitative indicator data, the score is calculated using the following normalisation formula:</a:t>
          </a:r>
        </a:p>
        <a:p>
          <a:pPr algn="l" rtl="0">
            <a:defRPr sz="1000"/>
          </a:pPr>
          <a:r>
            <a:rPr lang="en-US" sz="1100" b="0" i="0" u="none" strike="noStrike" baseline="0">
              <a:solidFill>
                <a:srgbClr val="000000"/>
              </a:solidFill>
              <a:latin typeface="Calibri"/>
            </a:rPr>
            <a:t> x = (x - Min(x)) / (Max (x) - Min (x)).</a:t>
          </a:r>
        </a:p>
        <a:p>
          <a:pPr algn="l" rtl="0">
            <a:defRPr sz="1000"/>
          </a:pPr>
          <a:endParaRPr lang="en-US" sz="1100" b="0" i="0" u="none" strike="noStrike" baseline="0">
            <a:solidFill>
              <a:srgbClr val="000000"/>
            </a:solidFill>
            <a:latin typeface="Calibri"/>
          </a:endParaRPr>
        </a:p>
        <a:p>
          <a:pPr algn="l" rtl="0">
            <a:defRPr sz="1000"/>
          </a:pPr>
          <a:r>
            <a:rPr lang="en-US" sz="1100" b="0" i="0" u="none" strike="noStrike" baseline="0">
              <a:solidFill>
                <a:srgbClr val="000000"/>
              </a:solidFill>
              <a:latin typeface="Calibri"/>
            </a:rPr>
            <a:t>The weighting for each indicator and category can be adjusted by editing the "Weights" worksheet; please note that the current category weights are as follows: Legal and regulatory framework, 42%; Institutional framework, 25%; Operational maturity, 25%; Investment climate, 4%; and Financial facilities, 4%.</a:t>
          </a:r>
        </a:p>
      </xdr:txBody>
    </xdr:sp>
    <xdr:clientData/>
  </xdr:twoCellAnchor>
  <xdr:twoCellAnchor editAs="oneCell">
    <xdr:from>
      <xdr:col>8</xdr:col>
      <xdr:colOff>552450</xdr:colOff>
      <xdr:row>38</xdr:row>
      <xdr:rowOff>28575</xdr:rowOff>
    </xdr:from>
    <xdr:to>
      <xdr:col>10</xdr:col>
      <xdr:colOff>600075</xdr:colOff>
      <xdr:row>40</xdr:row>
      <xdr:rowOff>85725</xdr:rowOff>
    </xdr:to>
    <xdr:pic>
      <xdr:nvPicPr>
        <xdr:cNvPr id="771323" name="Picture 2" descr="F1_LOGO_TRANS.gif">
          <a:hlinkClick xmlns:r="http://schemas.openxmlformats.org/officeDocument/2006/relationships" r:id="rId2" tooltip="Excel workbook by F1 Research - click for website"/>
        </xdr:cNvPr>
        <xdr:cNvPicPr>
          <a:picLocks noChangeAspect="1"/>
        </xdr:cNvPicPr>
      </xdr:nvPicPr>
      <xdr:blipFill>
        <a:blip xmlns:r="http://schemas.openxmlformats.org/officeDocument/2006/relationships" r:embed="rId3" cstate="print"/>
        <a:srcRect/>
        <a:stretch>
          <a:fillRect/>
        </a:stretch>
      </xdr:blipFill>
      <xdr:spPr bwMode="auto">
        <a:xfrm>
          <a:off x="5019675" y="6181725"/>
          <a:ext cx="1266825" cy="381000"/>
        </a:xfrm>
        <a:prstGeom prst="rect">
          <a:avLst/>
        </a:prstGeom>
        <a:noFill/>
        <a:ln w="9525">
          <a:noFill/>
          <a:miter lim="800000"/>
          <a:headEnd/>
          <a:tailEnd/>
        </a:ln>
      </xdr:spPr>
    </xdr:pic>
    <xdr:clientData/>
  </xdr:twoCellAnchor>
  <xdr:twoCellAnchor editAs="oneCell">
    <xdr:from>
      <xdr:col>5</xdr:col>
      <xdr:colOff>323850</xdr:colOff>
      <xdr:row>35</xdr:row>
      <xdr:rowOff>133350</xdr:rowOff>
    </xdr:from>
    <xdr:to>
      <xdr:col>6</xdr:col>
      <xdr:colOff>533400</xdr:colOff>
      <xdr:row>41</xdr:row>
      <xdr:rowOff>142875</xdr:rowOff>
    </xdr:to>
    <xdr:pic>
      <xdr:nvPicPr>
        <xdr:cNvPr id="771327" name="Picture 1279"/>
        <xdr:cNvPicPr>
          <a:picLocks noChangeAspect="1" noChangeArrowheads="1"/>
        </xdr:cNvPicPr>
      </xdr:nvPicPr>
      <xdr:blipFill>
        <a:blip xmlns:r="http://schemas.openxmlformats.org/officeDocument/2006/relationships" r:embed="rId4" cstate="print"/>
        <a:srcRect/>
        <a:stretch>
          <a:fillRect/>
        </a:stretch>
      </xdr:blipFill>
      <xdr:spPr bwMode="auto">
        <a:xfrm>
          <a:off x="2962275" y="5800725"/>
          <a:ext cx="819150" cy="98107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857250</xdr:colOff>
      <xdr:row>6</xdr:row>
      <xdr:rowOff>47625</xdr:rowOff>
    </xdr:to>
    <xdr:sp macro="" textlink="">
      <xdr:nvSpPr>
        <xdr:cNvPr id="2" name="Text Box 10"/>
        <xdr:cNvSpPr txBox="1">
          <a:spLocks noChangeArrowheads="1"/>
        </xdr:cNvSpPr>
      </xdr:nvSpPr>
      <xdr:spPr bwMode="auto">
        <a:xfrm>
          <a:off x="257175" y="857250"/>
          <a:ext cx="857250" cy="209550"/>
        </a:xfrm>
        <a:prstGeom prst="rect">
          <a:avLst/>
        </a:prstGeom>
        <a:noFill/>
        <a:ln w="9525">
          <a:noFill/>
          <a:miter lim="800000"/>
          <a:headEnd/>
          <a:tailEnd/>
        </a:ln>
      </xdr:spPr>
      <xdr:txBody>
        <a:bodyPr vertOverflow="clip" wrap="square" lIns="0" tIns="18288" rIns="27432" bIns="0" anchor="t" upright="1"/>
        <a:lstStyle/>
        <a:p>
          <a:pPr algn="l" rtl="0">
            <a:defRPr sz="1000"/>
          </a:pPr>
          <a:r>
            <a:rPr lang="en-GB" sz="900" b="1" i="0" strike="noStrike">
              <a:solidFill>
                <a:srgbClr val="000000"/>
              </a:solidFill>
              <a:latin typeface="Calibri"/>
            </a:rPr>
            <a:t>REGION FILTER</a:t>
          </a:r>
        </a:p>
      </xdr:txBody>
    </xdr:sp>
    <xdr:clientData/>
  </xdr:twoCellAnchor>
  <xdr:twoCellAnchor>
    <xdr:from>
      <xdr:col>1</xdr:col>
      <xdr:colOff>0</xdr:colOff>
      <xdr:row>8</xdr:row>
      <xdr:rowOff>9525</xdr:rowOff>
    </xdr:from>
    <xdr:to>
      <xdr:col>1</xdr:col>
      <xdr:colOff>1047750</xdr:colOff>
      <xdr:row>9</xdr:row>
      <xdr:rowOff>0</xdr:rowOff>
    </xdr:to>
    <xdr:sp macro="" textlink="">
      <xdr:nvSpPr>
        <xdr:cNvPr id="3" name="Text Box 10"/>
        <xdr:cNvSpPr txBox="1">
          <a:spLocks noChangeArrowheads="1"/>
        </xdr:cNvSpPr>
      </xdr:nvSpPr>
      <xdr:spPr bwMode="auto">
        <a:xfrm>
          <a:off x="257175" y="1352550"/>
          <a:ext cx="1047750" cy="152400"/>
        </a:xfrm>
        <a:prstGeom prst="rect">
          <a:avLst/>
        </a:prstGeom>
        <a:noFill/>
        <a:ln w="9525" algn="ctr">
          <a:noFill/>
          <a:miter lim="800000"/>
          <a:headEnd/>
          <a:tailEnd/>
        </a:ln>
        <a:effectLst/>
      </xdr:spPr>
      <xdr:txBody>
        <a:bodyPr vertOverflow="clip" wrap="square" lIns="0" tIns="18288" rIns="27432" bIns="0" anchor="t" upright="1"/>
        <a:lstStyle/>
        <a:p>
          <a:pPr algn="l" rtl="1">
            <a:defRPr sz="1000"/>
          </a:pPr>
          <a:r>
            <a:rPr lang="en-GB" sz="900" b="1" i="0" strike="noStrike">
              <a:solidFill>
                <a:srgbClr val="000000"/>
              </a:solidFill>
              <a:latin typeface="Calibri"/>
            </a:rPr>
            <a:t>REGION HIGHLIGHT</a:t>
          </a:r>
        </a:p>
      </xdr:txBody>
    </xdr:sp>
    <xdr:clientData/>
  </xdr:twoCellAnchor>
  <xdr:twoCellAnchor>
    <xdr:from>
      <xdr:col>1</xdr:col>
      <xdr:colOff>0</xdr:colOff>
      <xdr:row>11</xdr:row>
      <xdr:rowOff>9525</xdr:rowOff>
    </xdr:from>
    <xdr:to>
      <xdr:col>1</xdr:col>
      <xdr:colOff>1228725</xdr:colOff>
      <xdr:row>12</xdr:row>
      <xdr:rowOff>0</xdr:rowOff>
    </xdr:to>
    <xdr:sp macro="" textlink="">
      <xdr:nvSpPr>
        <xdr:cNvPr id="4" name="Text Box 10"/>
        <xdr:cNvSpPr txBox="1">
          <a:spLocks noChangeArrowheads="1"/>
        </xdr:cNvSpPr>
      </xdr:nvSpPr>
      <xdr:spPr bwMode="auto">
        <a:xfrm>
          <a:off x="257175" y="1838325"/>
          <a:ext cx="1228725" cy="152400"/>
        </a:xfrm>
        <a:prstGeom prst="rect">
          <a:avLst/>
        </a:prstGeom>
        <a:noFill/>
        <a:ln w="9525" algn="ctr">
          <a:noFill/>
          <a:miter lim="800000"/>
          <a:headEnd/>
          <a:tailEnd/>
        </a:ln>
        <a:effectLst/>
      </xdr:spPr>
      <xdr:txBody>
        <a:bodyPr vertOverflow="clip" wrap="square" lIns="0" tIns="18288" rIns="27432" bIns="0" anchor="t" upright="1"/>
        <a:lstStyle/>
        <a:p>
          <a:pPr algn="l" rtl="0">
            <a:defRPr sz="1000"/>
          </a:pPr>
          <a:r>
            <a:rPr lang="en-GB" sz="900" b="1" i="0" strike="noStrike">
              <a:solidFill>
                <a:srgbClr val="000000"/>
              </a:solidFill>
              <a:latin typeface="Calibri"/>
            </a:rPr>
            <a:t>COUNTRY HIGHLIGHT</a:t>
          </a:r>
        </a:p>
      </xdr:txBody>
    </xdr:sp>
    <xdr:clientData/>
  </xdr:twoCellAnchor>
  <xdr:twoCellAnchor>
    <xdr:from>
      <xdr:col>1</xdr:col>
      <xdr:colOff>0</xdr:colOff>
      <xdr:row>2</xdr:row>
      <xdr:rowOff>0</xdr:rowOff>
    </xdr:from>
    <xdr:to>
      <xdr:col>1</xdr:col>
      <xdr:colOff>1047750</xdr:colOff>
      <xdr:row>3</xdr:row>
      <xdr:rowOff>0</xdr:rowOff>
    </xdr:to>
    <xdr:sp macro="" textlink="">
      <xdr:nvSpPr>
        <xdr:cNvPr id="5" name="Text Box 10"/>
        <xdr:cNvSpPr txBox="1">
          <a:spLocks noChangeArrowheads="1"/>
        </xdr:cNvSpPr>
      </xdr:nvSpPr>
      <xdr:spPr bwMode="auto">
        <a:xfrm>
          <a:off x="257175" y="285750"/>
          <a:ext cx="1047750" cy="161925"/>
        </a:xfrm>
        <a:prstGeom prst="rect">
          <a:avLst/>
        </a:prstGeom>
        <a:noFill/>
        <a:ln w="9525" algn="ctr">
          <a:noFill/>
          <a:miter lim="800000"/>
          <a:headEnd/>
          <a:tailEnd/>
        </a:ln>
        <a:effectLst/>
      </xdr:spPr>
      <xdr:txBody>
        <a:bodyPr vertOverflow="clip" wrap="square" lIns="0" tIns="18288" rIns="27432" bIns="0" anchor="t" upright="1"/>
        <a:lstStyle/>
        <a:p>
          <a:pPr algn="l" rtl="0">
            <a:defRPr sz="1000"/>
          </a:pPr>
          <a:r>
            <a:rPr lang="en-GB" sz="900" b="1" i="0" strike="noStrike">
              <a:solidFill>
                <a:srgbClr val="000000"/>
              </a:solidFill>
              <a:latin typeface="Calibri"/>
            </a:rPr>
            <a:t>SORT BY</a:t>
          </a:r>
        </a:p>
      </xdr:txBody>
    </xdr:sp>
    <xdr:clientData/>
  </xdr:twoCellAnchor>
  <xdr:twoCellAnchor>
    <xdr:from>
      <xdr:col>0</xdr:col>
      <xdr:colOff>257175</xdr:colOff>
      <xdr:row>2</xdr:row>
      <xdr:rowOff>66675</xdr:rowOff>
    </xdr:from>
    <xdr:to>
      <xdr:col>1</xdr:col>
      <xdr:colOff>1381125</xdr:colOff>
      <xdr:row>3</xdr:row>
      <xdr:rowOff>104775</xdr:rowOff>
    </xdr:to>
    <xdr:sp macro="" textlink="">
      <xdr:nvSpPr>
        <xdr:cNvPr id="400378" name="Text Box 10"/>
        <xdr:cNvSpPr txBox="1">
          <a:spLocks noChangeArrowheads="1"/>
        </xdr:cNvSpPr>
      </xdr:nvSpPr>
      <xdr:spPr bwMode="auto">
        <a:xfrm>
          <a:off x="257175" y="352425"/>
          <a:ext cx="1381125" cy="200025"/>
        </a:xfrm>
        <a:prstGeom prst="rect">
          <a:avLst/>
        </a:prstGeom>
        <a:noFill/>
        <a:ln w="9525">
          <a:noFill/>
          <a:miter lim="800000"/>
          <a:headEnd/>
          <a:tailEnd/>
        </a:ln>
      </xdr:spPr>
    </xdr:sp>
    <xdr:clientData/>
  </xdr:twoCellAnchor>
  <xdr:twoCellAnchor>
    <xdr:from>
      <xdr:col>1</xdr:col>
      <xdr:colOff>1</xdr:colOff>
      <xdr:row>16</xdr:row>
      <xdr:rowOff>0</xdr:rowOff>
    </xdr:from>
    <xdr:to>
      <xdr:col>2</xdr:col>
      <xdr:colOff>1</xdr:colOff>
      <xdr:row>19</xdr:row>
      <xdr:rowOff>152400</xdr:rowOff>
    </xdr:to>
    <xdr:sp macro="" textlink="">
      <xdr:nvSpPr>
        <xdr:cNvPr id="7" name="TextBox 6"/>
        <xdr:cNvSpPr txBox="1"/>
      </xdr:nvSpPr>
      <xdr:spPr>
        <a:xfrm>
          <a:off x="257176" y="2638425"/>
          <a:ext cx="1638300" cy="638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a:t>All scores 0-100 where 100=best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123825</xdr:colOff>
      <xdr:row>0</xdr:row>
      <xdr:rowOff>47625</xdr:rowOff>
    </xdr:from>
    <xdr:to>
      <xdr:col>14</xdr:col>
      <xdr:colOff>323850</xdr:colOff>
      <xdr:row>1</xdr:row>
      <xdr:rowOff>0</xdr:rowOff>
    </xdr:to>
    <xdr:sp macro="" textlink="">
      <xdr:nvSpPr>
        <xdr:cNvPr id="652455" name="Text Box 10"/>
        <xdr:cNvSpPr txBox="1">
          <a:spLocks noChangeArrowheads="1"/>
        </xdr:cNvSpPr>
      </xdr:nvSpPr>
      <xdr:spPr bwMode="auto">
        <a:xfrm>
          <a:off x="1752600" y="47625"/>
          <a:ext cx="1085850" cy="219075"/>
        </a:xfrm>
        <a:prstGeom prst="rect">
          <a:avLst/>
        </a:prstGeom>
        <a:noFill/>
        <a:ln w="9525">
          <a:noFill/>
          <a:miter lim="800000"/>
          <a:headEnd/>
          <a:tailEnd/>
        </a:ln>
      </xdr:spPr>
      <xdr:txBody>
        <a:bodyPr vertOverflow="clip" wrap="square" lIns="0" tIns="18288" rIns="27432" bIns="0" anchor="t" upright="1"/>
        <a:lstStyle/>
        <a:p>
          <a:pPr algn="l" rtl="0">
            <a:defRPr sz="1000"/>
          </a:pPr>
          <a:r>
            <a:rPr lang="en-US" sz="900" b="1" i="0" u="none" strike="noStrike" baseline="0">
              <a:solidFill>
                <a:srgbClr val="000000"/>
              </a:solidFill>
              <a:latin typeface="Calibri"/>
            </a:rPr>
            <a:t>REGION FILTER</a:t>
          </a:r>
        </a:p>
      </xdr:txBody>
    </xdr:sp>
    <xdr:clientData/>
  </xdr:twoCellAnchor>
  <xdr:twoCellAnchor>
    <xdr:from>
      <xdr:col>17</xdr:col>
      <xdr:colOff>28575</xdr:colOff>
      <xdr:row>0</xdr:row>
      <xdr:rowOff>47625</xdr:rowOff>
    </xdr:from>
    <xdr:to>
      <xdr:col>24</xdr:col>
      <xdr:colOff>1028700</xdr:colOff>
      <xdr:row>0</xdr:row>
      <xdr:rowOff>200025</xdr:rowOff>
    </xdr:to>
    <xdr:sp macro="" textlink="">
      <xdr:nvSpPr>
        <xdr:cNvPr id="652456" name="Text Box 10"/>
        <xdr:cNvSpPr txBox="1">
          <a:spLocks noChangeArrowheads="1"/>
        </xdr:cNvSpPr>
      </xdr:nvSpPr>
      <xdr:spPr bwMode="auto">
        <a:xfrm>
          <a:off x="4276725" y="47625"/>
          <a:ext cx="1447800" cy="152400"/>
        </a:xfrm>
        <a:prstGeom prst="rect">
          <a:avLst/>
        </a:prstGeom>
        <a:noFill/>
        <a:ln w="9525" algn="ctr">
          <a:noFill/>
          <a:miter lim="800000"/>
          <a:headEnd/>
          <a:tailEnd/>
        </a:ln>
      </xdr:spPr>
      <xdr:txBody>
        <a:bodyPr vertOverflow="clip" wrap="square" lIns="0" tIns="18288" rIns="27432" bIns="0" anchor="t" upright="1"/>
        <a:lstStyle/>
        <a:p>
          <a:pPr algn="l" rtl="0">
            <a:defRPr sz="1000"/>
          </a:pPr>
          <a:r>
            <a:rPr lang="en-US" sz="900" b="1" i="0" u="none" strike="noStrike" baseline="0">
              <a:solidFill>
                <a:srgbClr val="000000"/>
              </a:solidFill>
              <a:latin typeface="Calibri"/>
            </a:rPr>
            <a:t>REGION HIGHLIGHT</a:t>
          </a:r>
        </a:p>
      </xdr:txBody>
    </xdr:sp>
    <xdr:clientData/>
  </xdr:twoCellAnchor>
  <xdr:twoCellAnchor>
    <xdr:from>
      <xdr:col>34</xdr:col>
      <xdr:colOff>76200</xdr:colOff>
      <xdr:row>0</xdr:row>
      <xdr:rowOff>57150</xdr:rowOff>
    </xdr:from>
    <xdr:to>
      <xdr:col>36</xdr:col>
      <xdr:colOff>11530</xdr:colOff>
      <xdr:row>0</xdr:row>
      <xdr:rowOff>209550</xdr:rowOff>
    </xdr:to>
    <xdr:sp macro="" textlink="">
      <xdr:nvSpPr>
        <xdr:cNvPr id="4" name="Text Box 10"/>
        <xdr:cNvSpPr txBox="1">
          <a:spLocks noChangeArrowheads="1"/>
        </xdr:cNvSpPr>
      </xdr:nvSpPr>
      <xdr:spPr bwMode="auto">
        <a:xfrm>
          <a:off x="6105525" y="57150"/>
          <a:ext cx="1228725" cy="152400"/>
        </a:xfrm>
        <a:prstGeom prst="rect">
          <a:avLst/>
        </a:prstGeom>
        <a:noFill/>
        <a:ln w="9525" algn="ctr">
          <a:noFill/>
          <a:miter lim="800000"/>
          <a:headEnd/>
          <a:tailEnd/>
        </a:ln>
        <a:effectLst/>
      </xdr:spPr>
      <xdr:txBody>
        <a:bodyPr vertOverflow="clip" wrap="square" lIns="0" tIns="18288" rIns="27432" bIns="0" anchor="t" upright="1"/>
        <a:lstStyle/>
        <a:p>
          <a:pPr algn="l" rtl="0">
            <a:defRPr sz="1000"/>
          </a:pPr>
          <a:r>
            <a:rPr lang="en-GB" sz="900" b="1" i="0" strike="noStrike">
              <a:solidFill>
                <a:srgbClr val="000000"/>
              </a:solidFill>
              <a:latin typeface="Calibri"/>
            </a:rPr>
            <a:t>COUNTRY HIGHLIGHT</a:t>
          </a:r>
        </a:p>
      </xdr:txBody>
    </xdr:sp>
    <xdr:clientData/>
  </xdr:twoCellAnchor>
  <xdr:twoCellAnchor>
    <xdr:from>
      <xdr:col>0</xdr:col>
      <xdr:colOff>9525</xdr:colOff>
      <xdr:row>23</xdr:row>
      <xdr:rowOff>114300</xdr:rowOff>
    </xdr:from>
    <xdr:to>
      <xdr:col>65</xdr:col>
      <xdr:colOff>19050</xdr:colOff>
      <xdr:row>27</xdr:row>
      <xdr:rowOff>28575</xdr:rowOff>
    </xdr:to>
    <xdr:sp macro="" textlink="">
      <xdr:nvSpPr>
        <xdr:cNvPr id="652458" name="Text Box 8"/>
        <xdr:cNvSpPr txBox="1">
          <a:spLocks noChangeArrowheads="1"/>
        </xdr:cNvSpPr>
      </xdr:nvSpPr>
      <xdr:spPr bwMode="auto">
        <a:xfrm>
          <a:off x="9525" y="4352925"/>
          <a:ext cx="17668875" cy="561975"/>
        </a:xfrm>
        <a:prstGeom prst="rect">
          <a:avLst/>
        </a:prstGeom>
        <a:noFill/>
        <a:ln w="9525">
          <a:noFill/>
          <a:miter lim="800000"/>
          <a:headEnd/>
          <a:tailEnd/>
        </a:ln>
      </xdr:spPr>
      <xdr:txBody>
        <a:bodyPr vertOverflow="clip" wrap="square" lIns="90000" tIns="36000" rIns="90000" bIns="46800" anchor="t" upright="1"/>
        <a:lstStyle/>
        <a:p>
          <a:pPr algn="l" rtl="0">
            <a:defRPr sz="1000"/>
          </a:pPr>
          <a:r>
            <a:rPr lang="en-US" sz="1000" b="1" i="0" u="none" strike="noStrike" baseline="0">
              <a:solidFill>
                <a:srgbClr val="000000"/>
              </a:solidFill>
              <a:latin typeface="Verdana"/>
            </a:rPr>
            <a:t>    </a:t>
          </a:r>
          <a:r>
            <a:rPr lang="en-US" sz="900" b="1" i="0" u="none" strike="noStrike" baseline="0">
              <a:solidFill>
                <a:srgbClr val="000000"/>
              </a:solidFill>
              <a:latin typeface="Verdana"/>
            </a:rPr>
            <a:t>LEGEND</a:t>
          </a:r>
          <a:endParaRPr lang="en-US" sz="1000" b="0" i="0" u="none" strike="noStrike" baseline="0">
            <a:solidFill>
              <a:srgbClr val="000000"/>
            </a:solidFill>
            <a:latin typeface="Verdana"/>
          </a:endParaRPr>
        </a:p>
        <a:p>
          <a:pPr algn="l" rtl="0">
            <a:defRPr sz="1000"/>
          </a:pPr>
          <a:r>
            <a:rPr lang="en-US" sz="1000" b="0" i="0" u="none" strike="noStrike" baseline="0">
              <a:solidFill>
                <a:srgbClr val="000000"/>
              </a:solidFill>
              <a:latin typeface="Verdana"/>
            </a:rPr>
            <a:t>   </a:t>
          </a:r>
          <a:r>
            <a:rPr lang="en-US" sz="900" b="0" i="0" u="none" strike="noStrike" baseline="0">
              <a:solidFill>
                <a:srgbClr val="000000"/>
              </a:solidFill>
              <a:latin typeface="Verdana"/>
            </a:rPr>
            <a:t>All scores 0-100 where 100=best</a:t>
          </a:r>
        </a:p>
        <a:p>
          <a:pPr algn="l" rtl="0">
            <a:defRPr sz="1000"/>
          </a:pPr>
          <a:r>
            <a:rPr lang="en-US" sz="900" b="0" i="0" u="none" strike="noStrike" baseline="0">
              <a:solidFill>
                <a:srgbClr val="000000"/>
              </a:solidFill>
              <a:latin typeface="Verdana"/>
            </a:rPr>
            <a:t>    The "=" sign indicates tied ranks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342900</xdr:colOff>
      <xdr:row>2</xdr:row>
      <xdr:rowOff>104775</xdr:rowOff>
    </xdr:from>
    <xdr:to>
      <xdr:col>7</xdr:col>
      <xdr:colOff>219075</xdr:colOff>
      <xdr:row>28</xdr:row>
      <xdr:rowOff>133350</xdr:rowOff>
    </xdr:to>
    <xdr:graphicFrame macro="">
      <xdr:nvGraphicFramePr>
        <xdr:cNvPr id="773822" name="chtScatte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171450</xdr:colOff>
      <xdr:row>4</xdr:row>
      <xdr:rowOff>114300</xdr:rowOff>
    </xdr:from>
    <xdr:to>
      <xdr:col>2</xdr:col>
      <xdr:colOff>266700</xdr:colOff>
      <xdr:row>5</xdr:row>
      <xdr:rowOff>104775</xdr:rowOff>
    </xdr:to>
    <xdr:sp macro="" textlink="">
      <xdr:nvSpPr>
        <xdr:cNvPr id="773823" name="Text Box 10"/>
        <xdr:cNvSpPr txBox="1">
          <a:spLocks noChangeArrowheads="1"/>
        </xdr:cNvSpPr>
      </xdr:nvSpPr>
      <xdr:spPr bwMode="auto">
        <a:xfrm>
          <a:off x="247650" y="723900"/>
          <a:ext cx="1238250" cy="152400"/>
        </a:xfrm>
        <a:prstGeom prst="rect">
          <a:avLst/>
        </a:prstGeom>
        <a:noFill/>
        <a:ln w="9525">
          <a:noFill/>
          <a:miter lim="800000"/>
          <a:headEnd/>
          <a:tailEnd/>
        </a:ln>
      </xdr:spPr>
    </xdr:sp>
    <xdr:clientData/>
  </xdr:twoCellAnchor>
  <xdr:twoCellAnchor>
    <xdr:from>
      <xdr:col>1</xdr:col>
      <xdr:colOff>171450</xdr:colOff>
      <xdr:row>7</xdr:row>
      <xdr:rowOff>47625</xdr:rowOff>
    </xdr:from>
    <xdr:to>
      <xdr:col>2</xdr:col>
      <xdr:colOff>266700</xdr:colOff>
      <xdr:row>8</xdr:row>
      <xdr:rowOff>38100</xdr:rowOff>
    </xdr:to>
    <xdr:sp macro="" textlink="">
      <xdr:nvSpPr>
        <xdr:cNvPr id="137400" name="Text Box 10"/>
        <xdr:cNvSpPr txBox="1">
          <a:spLocks noChangeArrowheads="1"/>
        </xdr:cNvSpPr>
      </xdr:nvSpPr>
      <xdr:spPr bwMode="auto">
        <a:xfrm>
          <a:off x="304800" y="1123950"/>
          <a:ext cx="1238250" cy="152400"/>
        </a:xfrm>
        <a:prstGeom prst="rect">
          <a:avLst/>
        </a:prstGeom>
        <a:noFill/>
        <a:ln w="9525" algn="ctr">
          <a:noFill/>
          <a:miter lim="800000"/>
          <a:headEnd/>
          <a:tailEnd/>
        </a:ln>
        <a:effectLst/>
      </xdr:spPr>
      <xdr:txBody>
        <a:bodyPr vertOverflow="clip" wrap="square" lIns="0" tIns="18288" rIns="27432" bIns="0" anchor="t" upright="1"/>
        <a:lstStyle/>
        <a:p>
          <a:pPr algn="l" rtl="0">
            <a:defRPr sz="1000"/>
          </a:pPr>
          <a:r>
            <a:rPr lang="en-GB" sz="900" b="1" i="0" strike="noStrike">
              <a:solidFill>
                <a:srgbClr val="000000"/>
              </a:solidFill>
              <a:latin typeface="Calibri"/>
            </a:rPr>
            <a:t>COUNTRY HIGHLIGHT</a:t>
          </a:r>
        </a:p>
      </xdr:txBody>
    </xdr:sp>
    <xdr:clientData/>
  </xdr:twoCellAnchor>
  <xdr:twoCellAnchor>
    <xdr:from>
      <xdr:col>1</xdr:col>
      <xdr:colOff>152399</xdr:colOff>
      <xdr:row>9</xdr:row>
      <xdr:rowOff>123825</xdr:rowOff>
    </xdr:from>
    <xdr:to>
      <xdr:col>3</xdr:col>
      <xdr:colOff>57150</xdr:colOff>
      <xdr:row>10</xdr:row>
      <xdr:rowOff>152400</xdr:rowOff>
    </xdr:to>
    <xdr:sp macro="" textlink="">
      <xdr:nvSpPr>
        <xdr:cNvPr id="137401" name="Text Box 10"/>
        <xdr:cNvSpPr txBox="1">
          <a:spLocks noChangeArrowheads="1"/>
        </xdr:cNvSpPr>
      </xdr:nvSpPr>
      <xdr:spPr bwMode="auto">
        <a:xfrm>
          <a:off x="285749" y="1543050"/>
          <a:ext cx="2162176" cy="190500"/>
        </a:xfrm>
        <a:prstGeom prst="rect">
          <a:avLst/>
        </a:prstGeom>
        <a:noFill/>
        <a:ln w="9525" algn="ctr">
          <a:noFill/>
          <a:miter lim="800000"/>
          <a:headEnd/>
          <a:tailEnd/>
        </a:ln>
        <a:effectLst/>
      </xdr:spPr>
      <xdr:txBody>
        <a:bodyPr vertOverflow="clip" wrap="square" lIns="0" tIns="18288" rIns="27432" bIns="0" anchor="t" upright="1"/>
        <a:lstStyle/>
        <a:p>
          <a:pPr algn="l" rtl="0">
            <a:defRPr sz="1000"/>
          </a:pPr>
          <a:r>
            <a:rPr lang="en-GB" sz="900" b="1" i="0" strike="noStrike">
              <a:solidFill>
                <a:srgbClr val="000000"/>
              </a:solidFill>
              <a:latin typeface="Calibri"/>
            </a:rPr>
            <a:t>Y-AXIS: DEPENDENT VARIABLE </a:t>
          </a:r>
        </a:p>
      </xdr:txBody>
    </xdr:sp>
    <xdr:clientData/>
  </xdr:twoCellAnchor>
  <xdr:twoCellAnchor>
    <xdr:from>
      <xdr:col>1</xdr:col>
      <xdr:colOff>133350</xdr:colOff>
      <xdr:row>15</xdr:row>
      <xdr:rowOff>85725</xdr:rowOff>
    </xdr:from>
    <xdr:to>
      <xdr:col>2</xdr:col>
      <xdr:colOff>228600</xdr:colOff>
      <xdr:row>16</xdr:row>
      <xdr:rowOff>76200</xdr:rowOff>
    </xdr:to>
    <xdr:sp macro="" textlink="">
      <xdr:nvSpPr>
        <xdr:cNvPr id="137402" name="Text Box 10"/>
        <xdr:cNvSpPr txBox="1">
          <a:spLocks noChangeArrowheads="1"/>
        </xdr:cNvSpPr>
      </xdr:nvSpPr>
      <xdr:spPr bwMode="auto">
        <a:xfrm>
          <a:off x="266700" y="2476500"/>
          <a:ext cx="1238250" cy="152400"/>
        </a:xfrm>
        <a:prstGeom prst="rect">
          <a:avLst/>
        </a:prstGeom>
        <a:noFill/>
        <a:ln w="9525" algn="ctr">
          <a:noFill/>
          <a:miter lim="800000"/>
          <a:headEnd/>
          <a:tailEnd/>
        </a:ln>
        <a:effectLst/>
      </xdr:spPr>
      <xdr:txBody>
        <a:bodyPr vertOverflow="clip" wrap="square" lIns="0" tIns="18288" rIns="27432" bIns="0" anchor="t" upright="1"/>
        <a:lstStyle/>
        <a:p>
          <a:pPr algn="l" rtl="0">
            <a:defRPr sz="1000"/>
          </a:pPr>
          <a:r>
            <a:rPr lang="en-GB" sz="900" b="1" i="0" strike="noStrike">
              <a:solidFill>
                <a:srgbClr val="000000"/>
              </a:solidFill>
              <a:latin typeface="Calibri"/>
            </a:rPr>
            <a:t>X-AXIS VARIABLE</a:t>
          </a:r>
        </a:p>
      </xdr:txBody>
    </xdr:sp>
    <xdr:clientData/>
  </xdr:twoCellAnchor>
  <xdr:twoCellAnchor>
    <xdr:from>
      <xdr:col>1</xdr:col>
      <xdr:colOff>190500</xdr:colOff>
      <xdr:row>2</xdr:row>
      <xdr:rowOff>9525</xdr:rowOff>
    </xdr:from>
    <xdr:to>
      <xdr:col>2</xdr:col>
      <xdr:colOff>285750</xdr:colOff>
      <xdr:row>3</xdr:row>
      <xdr:rowOff>0</xdr:rowOff>
    </xdr:to>
    <xdr:sp macro="" textlink="">
      <xdr:nvSpPr>
        <xdr:cNvPr id="137405" name="Text Box 10"/>
        <xdr:cNvSpPr txBox="1">
          <a:spLocks noChangeArrowheads="1"/>
        </xdr:cNvSpPr>
      </xdr:nvSpPr>
      <xdr:spPr bwMode="auto">
        <a:xfrm>
          <a:off x="323850" y="276225"/>
          <a:ext cx="1238250" cy="152400"/>
        </a:xfrm>
        <a:prstGeom prst="rect">
          <a:avLst/>
        </a:prstGeom>
        <a:noFill/>
        <a:ln w="9525" algn="ctr">
          <a:noFill/>
          <a:miter lim="800000"/>
          <a:headEnd/>
          <a:tailEnd/>
        </a:ln>
        <a:effectLst/>
      </xdr:spPr>
      <xdr:txBody>
        <a:bodyPr vertOverflow="clip" wrap="square" lIns="0" tIns="18288" rIns="27432" bIns="0" anchor="t" upright="1"/>
        <a:lstStyle/>
        <a:p>
          <a:pPr algn="l" rtl="0">
            <a:defRPr sz="1000"/>
          </a:pPr>
          <a:r>
            <a:rPr lang="en-GB" sz="900" b="1" i="0" strike="noStrike">
              <a:solidFill>
                <a:srgbClr val="000000"/>
              </a:solidFill>
              <a:latin typeface="Calibri"/>
            </a:rPr>
            <a:t>REGION FILTER</a:t>
          </a:r>
        </a:p>
      </xdr:txBody>
    </xdr:sp>
    <xdr:clientData/>
  </xdr:twoCellAnchor>
  <xdr:twoCellAnchor>
    <xdr:from>
      <xdr:col>1</xdr:col>
      <xdr:colOff>171450</xdr:colOff>
      <xdr:row>4</xdr:row>
      <xdr:rowOff>104775</xdr:rowOff>
    </xdr:from>
    <xdr:to>
      <xdr:col>2</xdr:col>
      <xdr:colOff>666750</xdr:colOff>
      <xdr:row>5</xdr:row>
      <xdr:rowOff>123825</xdr:rowOff>
    </xdr:to>
    <xdr:sp macro="" textlink="">
      <xdr:nvSpPr>
        <xdr:cNvPr id="137407" name="Text Box 10"/>
        <xdr:cNvSpPr txBox="1">
          <a:spLocks noChangeArrowheads="1"/>
        </xdr:cNvSpPr>
      </xdr:nvSpPr>
      <xdr:spPr bwMode="auto">
        <a:xfrm>
          <a:off x="304800" y="695325"/>
          <a:ext cx="1638300" cy="180975"/>
        </a:xfrm>
        <a:prstGeom prst="rect">
          <a:avLst/>
        </a:prstGeom>
        <a:noFill/>
        <a:ln w="9525" algn="ctr">
          <a:noFill/>
          <a:miter lim="800000"/>
          <a:headEnd/>
          <a:tailEnd/>
        </a:ln>
        <a:effectLst/>
      </xdr:spPr>
      <xdr:txBody>
        <a:bodyPr vertOverflow="clip" wrap="square" lIns="0" tIns="18288" rIns="27432" bIns="0" anchor="t" upright="1"/>
        <a:lstStyle/>
        <a:p>
          <a:pPr algn="l" rtl="1">
            <a:defRPr sz="1000"/>
          </a:pPr>
          <a:r>
            <a:rPr lang="en-GB" sz="900" b="1" i="0" strike="noStrike">
              <a:solidFill>
                <a:srgbClr val="000000"/>
              </a:solidFill>
              <a:latin typeface="Calibri"/>
            </a:rPr>
            <a:t>REGION HIGHLIGHT </a:t>
          </a:r>
        </a:p>
      </xdr:txBody>
    </xdr:sp>
    <xdr:clientData/>
  </xdr:twoCellAnchor>
  <xdr:twoCellAnchor>
    <xdr:from>
      <xdr:col>1</xdr:col>
      <xdr:colOff>171450</xdr:colOff>
      <xdr:row>4</xdr:row>
      <xdr:rowOff>114300</xdr:rowOff>
    </xdr:from>
    <xdr:to>
      <xdr:col>2</xdr:col>
      <xdr:colOff>266700</xdr:colOff>
      <xdr:row>5</xdr:row>
      <xdr:rowOff>104775</xdr:rowOff>
    </xdr:to>
    <xdr:sp macro="" textlink="">
      <xdr:nvSpPr>
        <xdr:cNvPr id="773829" name="Text Box 10"/>
        <xdr:cNvSpPr txBox="1">
          <a:spLocks noChangeArrowheads="1"/>
        </xdr:cNvSpPr>
      </xdr:nvSpPr>
      <xdr:spPr bwMode="auto">
        <a:xfrm>
          <a:off x="247650" y="723900"/>
          <a:ext cx="1238250" cy="152400"/>
        </a:xfrm>
        <a:prstGeom prst="rect">
          <a:avLst/>
        </a:prstGeom>
        <a:noFill/>
        <a:ln w="9525">
          <a:noFill/>
          <a:miter lim="800000"/>
          <a:headEnd/>
          <a:tailEnd/>
        </a:ln>
      </xdr:spPr>
    </xdr:sp>
    <xdr:clientData/>
  </xdr:twoCellAnchor>
  <xdr:twoCellAnchor editAs="oneCell">
    <xdr:from>
      <xdr:col>1</xdr:col>
      <xdr:colOff>76200</xdr:colOff>
      <xdr:row>29</xdr:row>
      <xdr:rowOff>38100</xdr:rowOff>
    </xdr:from>
    <xdr:to>
      <xdr:col>2</xdr:col>
      <xdr:colOff>1076325</xdr:colOff>
      <xdr:row>32</xdr:row>
      <xdr:rowOff>19050</xdr:rowOff>
    </xdr:to>
    <xdr:pic>
      <xdr:nvPicPr>
        <xdr:cNvPr id="773830" name="Picture 8" descr="ZA060511291033.gif"/>
        <xdr:cNvPicPr>
          <a:picLocks noChangeAspect="1"/>
        </xdr:cNvPicPr>
      </xdr:nvPicPr>
      <xdr:blipFill>
        <a:blip xmlns:r="http://schemas.openxmlformats.org/officeDocument/2006/relationships" r:embed="rId2" cstate="print"/>
        <a:srcRect/>
        <a:stretch>
          <a:fillRect/>
        </a:stretch>
      </xdr:blipFill>
      <xdr:spPr bwMode="auto">
        <a:xfrm>
          <a:off x="152400" y="4695825"/>
          <a:ext cx="2143125" cy="466725"/>
        </a:xfrm>
        <a:prstGeom prst="rect">
          <a:avLst/>
        </a:prstGeom>
        <a:noFill/>
        <a:ln w="9525">
          <a:noFill/>
          <a:miter lim="800000"/>
          <a:headEnd/>
          <a:tailEnd/>
        </a:ln>
      </xdr:spPr>
    </xdr:pic>
    <xdr:clientData/>
  </xdr:twoCellAnchor>
  <xdr:twoCellAnchor>
    <xdr:from>
      <xdr:col>4</xdr:col>
      <xdr:colOff>47625</xdr:colOff>
      <xdr:row>16</xdr:row>
      <xdr:rowOff>123825</xdr:rowOff>
    </xdr:from>
    <xdr:to>
      <xdr:col>6</xdr:col>
      <xdr:colOff>466725</xdr:colOff>
      <xdr:row>25</xdr:row>
      <xdr:rowOff>0</xdr:rowOff>
    </xdr:to>
    <xdr:sp macro="" textlink="uxb_works!J7">
      <xdr:nvSpPr>
        <xdr:cNvPr id="773831" name="TextBox 11"/>
        <xdr:cNvSpPr txBox="1">
          <a:spLocks noChangeArrowheads="1"/>
        </xdr:cNvSpPr>
      </xdr:nvSpPr>
      <xdr:spPr bwMode="auto">
        <a:xfrm>
          <a:off x="2552700" y="2676525"/>
          <a:ext cx="1181100" cy="1333500"/>
        </a:xfrm>
        <a:prstGeom prst="rect">
          <a:avLst/>
        </a:prstGeom>
        <a:solidFill>
          <a:srgbClr val="FFFFFF"/>
        </a:solidFill>
        <a:ln w="9525">
          <a:noFill/>
          <a:miter lim="800000"/>
          <a:headEnd/>
          <a:tailEnd/>
        </a:ln>
      </xdr:spPr>
      <xdr:txBody>
        <a:bodyPr vertOverflow="clip" wrap="square" lIns="0" tIns="0" rIns="91440" bIns="0" anchor="t" upright="1"/>
        <a:lstStyle/>
        <a:p>
          <a:pPr algn="ctr" rtl="0">
            <a:defRPr sz="1000"/>
          </a:pPr>
          <a:fld id="{D1067807-48FD-4B1F-AF83-D6526E14DFE0}" type="TxLink">
            <a:rPr lang="en-US" sz="900" b="0" i="0" u="none" strike="noStrike" baseline="0">
              <a:solidFill>
                <a:srgbClr val="000000"/>
              </a:solidFill>
              <a:latin typeface="Calibri"/>
            </a:rPr>
            <a:t></a:t>
          </a:fld>
          <a:endParaRPr lang="en-US" sz="900" b="0" i="0" u="none" strike="noStrike" baseline="0">
            <a:solidFill>
              <a:srgbClr val="000000"/>
            </a:solidFill>
            <a:latin typeface="Calibri"/>
          </a:endParaRPr>
        </a:p>
      </xdr:txBody>
    </xdr:sp>
    <xdr:clientData/>
  </xdr:twoCellAnchor>
  <xdr:twoCellAnchor>
    <xdr:from>
      <xdr:col>4</xdr:col>
      <xdr:colOff>19050</xdr:colOff>
      <xdr:row>12</xdr:row>
      <xdr:rowOff>123825</xdr:rowOff>
    </xdr:from>
    <xdr:to>
      <xdr:col>6</xdr:col>
      <xdr:colOff>466725</xdr:colOff>
      <xdr:row>16</xdr:row>
      <xdr:rowOff>152400</xdr:rowOff>
    </xdr:to>
    <xdr:sp macro="" textlink="uxb_works!I7">
      <xdr:nvSpPr>
        <xdr:cNvPr id="773832" name="TextBox 12"/>
        <xdr:cNvSpPr txBox="1">
          <a:spLocks noChangeArrowheads="1"/>
        </xdr:cNvSpPr>
      </xdr:nvSpPr>
      <xdr:spPr bwMode="auto">
        <a:xfrm>
          <a:off x="2524125" y="2028825"/>
          <a:ext cx="1209675" cy="676275"/>
        </a:xfrm>
        <a:prstGeom prst="rect">
          <a:avLst/>
        </a:prstGeom>
        <a:solidFill>
          <a:srgbClr val="FFFFFF"/>
        </a:solidFill>
        <a:ln w="9525" algn="ctr">
          <a:noFill/>
          <a:miter lim="800000"/>
          <a:headEnd/>
          <a:tailEnd/>
        </a:ln>
      </xdr:spPr>
      <xdr:txBody>
        <a:bodyPr vertOverflow="clip" wrap="square" lIns="0" tIns="36000" rIns="0" bIns="0" anchor="t" upright="1"/>
        <a:lstStyle/>
        <a:p>
          <a:pPr algn="ctr" rtl="0">
            <a:defRPr sz="1000"/>
          </a:pPr>
          <a:fld id="{6E082AD5-D624-41F0-8D6B-4434C7C86DFA}" type="TxLink">
            <a:rPr lang="en-US" sz="900" b="1" i="0" u="none" strike="noStrike" baseline="0">
              <a:solidFill>
                <a:srgbClr val="000000"/>
              </a:solidFill>
              <a:latin typeface="Calibri"/>
            </a:rPr>
            <a:t></a:t>
          </a:fld>
          <a:endParaRPr lang="en-US" sz="900" b="1" i="0" u="none" strike="noStrike" baseline="0">
            <a:solidFill>
              <a:srgbClr val="000000"/>
            </a:solidFill>
            <a:latin typeface="Calibri"/>
          </a:endParaRPr>
        </a:p>
      </xdr:txBody>
    </xdr:sp>
    <xdr:clientData/>
  </xdr:twoCellAnchor>
  <xdr:twoCellAnchor>
    <xdr:from>
      <xdr:col>6</xdr:col>
      <xdr:colOff>304800</xdr:colOff>
      <xdr:row>29</xdr:row>
      <xdr:rowOff>28575</xdr:rowOff>
    </xdr:from>
    <xdr:to>
      <xdr:col>7</xdr:col>
      <xdr:colOff>0</xdr:colOff>
      <xdr:row>30</xdr:row>
      <xdr:rowOff>38100</xdr:rowOff>
    </xdr:to>
    <xdr:sp macro="" textlink="uxb_works!I6">
      <xdr:nvSpPr>
        <xdr:cNvPr id="734481" name="TextBox 13"/>
        <xdr:cNvSpPr txBox="1">
          <a:spLocks noChangeArrowheads="1"/>
        </xdr:cNvSpPr>
      </xdr:nvSpPr>
      <xdr:spPr bwMode="auto">
        <a:xfrm>
          <a:off x="3724275" y="4629150"/>
          <a:ext cx="5543550" cy="171450"/>
        </a:xfrm>
        <a:prstGeom prst="rect">
          <a:avLst/>
        </a:prstGeom>
        <a:solidFill>
          <a:srgbClr val="FFFFFF"/>
        </a:solidFill>
        <a:ln w="9525">
          <a:noFill/>
          <a:miter lim="800000"/>
          <a:headEnd/>
          <a:tailEnd/>
        </a:ln>
      </xdr:spPr>
      <xdr:txBody>
        <a:bodyPr vertOverflow="clip" wrap="square" lIns="0" tIns="36000" rIns="0" bIns="0" anchor="t" upright="1"/>
        <a:lstStyle/>
        <a:p>
          <a:pPr algn="ctr" rtl="0">
            <a:defRPr sz="1000"/>
          </a:pPr>
          <a:fld id="{E4095B13-5B8A-418F-946D-A4ED13F3D5F4}" type="TxLink">
            <a:rPr lang="en-US" sz="900" b="1" i="0" u="none" strike="noStrike" baseline="0">
              <a:solidFill>
                <a:srgbClr val="000000"/>
              </a:solidFill>
              <a:latin typeface="Calibri"/>
            </a:rPr>
            <a:t></a:t>
          </a:fld>
          <a:endParaRPr lang="en-US" sz="900" b="1" i="0" u="none" strike="noStrike" baseline="0">
            <a:solidFill>
              <a:srgbClr val="000000"/>
            </a:solidFill>
            <a:latin typeface="Calibri"/>
          </a:endParaRPr>
        </a:p>
      </xdr:txBody>
    </xdr:sp>
    <xdr:clientData/>
  </xdr:twoCellAnchor>
  <xdr:twoCellAnchor>
    <xdr:from>
      <xdr:col>6</xdr:col>
      <xdr:colOff>304800</xdr:colOff>
      <xdr:row>30</xdr:row>
      <xdr:rowOff>28575</xdr:rowOff>
    </xdr:from>
    <xdr:to>
      <xdr:col>7</xdr:col>
      <xdr:colOff>0</xdr:colOff>
      <xdr:row>31</xdr:row>
      <xdr:rowOff>38100</xdr:rowOff>
    </xdr:to>
    <xdr:sp macro="" textlink="uxb_works!J6">
      <xdr:nvSpPr>
        <xdr:cNvPr id="734482" name="TextBox 14"/>
        <xdr:cNvSpPr txBox="1">
          <a:spLocks noChangeArrowheads="1"/>
        </xdr:cNvSpPr>
      </xdr:nvSpPr>
      <xdr:spPr bwMode="auto">
        <a:xfrm>
          <a:off x="3724275" y="4800600"/>
          <a:ext cx="5543550" cy="171450"/>
        </a:xfrm>
        <a:prstGeom prst="rect">
          <a:avLst/>
        </a:prstGeom>
        <a:solidFill>
          <a:srgbClr val="FFFFFF"/>
        </a:solidFill>
        <a:ln w="9525">
          <a:noFill/>
          <a:miter lim="800000"/>
          <a:headEnd/>
          <a:tailEnd/>
        </a:ln>
      </xdr:spPr>
      <xdr:txBody>
        <a:bodyPr vertOverflow="clip" wrap="square" lIns="0" tIns="36000" rIns="0" bIns="0" anchor="t" upright="1"/>
        <a:lstStyle/>
        <a:p>
          <a:pPr algn="ctr" rtl="0">
            <a:defRPr sz="1000"/>
          </a:pPr>
          <a:fld id="{04F46DB7-880A-43C8-9B3D-6DCF5550B4FA}" type="TxLink">
            <a:rPr lang="en-US" sz="900" b="0" i="0" u="none" strike="noStrike" baseline="0">
              <a:solidFill>
                <a:srgbClr val="000000"/>
              </a:solidFill>
              <a:latin typeface="Calibri"/>
            </a:rPr>
            <a:t></a:t>
          </a:fld>
          <a:endParaRPr lang="en-US" sz="900" b="0" i="0" u="none" strike="noStrike" baseline="0">
            <a:solidFill>
              <a:srgbClr val="000000"/>
            </a:solidFill>
            <a:latin typeface="Calibri"/>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8</xdr:row>
      <xdr:rowOff>133349</xdr:rowOff>
    </xdr:from>
    <xdr:to>
      <xdr:col>1</xdr:col>
      <xdr:colOff>1047750</xdr:colOff>
      <xdr:row>9</xdr:row>
      <xdr:rowOff>133350</xdr:rowOff>
    </xdr:to>
    <xdr:sp macro="" textlink="">
      <xdr:nvSpPr>
        <xdr:cNvPr id="5" name="Text Box 10"/>
        <xdr:cNvSpPr txBox="1">
          <a:spLocks noChangeArrowheads="1"/>
        </xdr:cNvSpPr>
      </xdr:nvSpPr>
      <xdr:spPr bwMode="auto">
        <a:xfrm>
          <a:off x="257175" y="1628774"/>
          <a:ext cx="1047750" cy="161926"/>
        </a:xfrm>
        <a:prstGeom prst="rect">
          <a:avLst/>
        </a:prstGeom>
        <a:noFill/>
        <a:ln w="9525" algn="ctr">
          <a:noFill/>
          <a:miter lim="800000"/>
          <a:headEnd/>
          <a:tailEnd/>
        </a:ln>
        <a:effectLst/>
      </xdr:spPr>
      <xdr:txBody>
        <a:bodyPr vertOverflow="clip" wrap="square" lIns="0" tIns="18288" rIns="27432" bIns="0" anchor="t" upright="1"/>
        <a:lstStyle/>
        <a:p>
          <a:pPr marL="0" indent="0" algn="l" rtl="0">
            <a:defRPr sz="1000"/>
          </a:pPr>
          <a:r>
            <a:rPr lang="en-US" sz="900" b="1" i="0" strike="noStrike">
              <a:solidFill>
                <a:srgbClr val="000000"/>
              </a:solidFill>
              <a:latin typeface="Calibri"/>
              <a:ea typeface="+mn-ea"/>
              <a:cs typeface="+mn-cs"/>
            </a:rPr>
            <a:t>INDICATOR</a:t>
          </a:r>
        </a:p>
      </xdr:txBody>
    </xdr:sp>
    <xdr:clientData/>
  </xdr:twoCellAnchor>
  <xdr:twoCellAnchor>
    <xdr:from>
      <xdr:col>0</xdr:col>
      <xdr:colOff>190500</xdr:colOff>
      <xdr:row>29</xdr:row>
      <xdr:rowOff>523875</xdr:rowOff>
    </xdr:from>
    <xdr:to>
      <xdr:col>1</xdr:col>
      <xdr:colOff>2447925</xdr:colOff>
      <xdr:row>33</xdr:row>
      <xdr:rowOff>247650</xdr:rowOff>
    </xdr:to>
    <xdr:sp macro="" textlink="uxb_works!B17">
      <xdr:nvSpPr>
        <xdr:cNvPr id="772421" name="TextBox 6"/>
        <xdr:cNvSpPr txBox="1">
          <a:spLocks noChangeArrowheads="1"/>
        </xdr:cNvSpPr>
      </xdr:nvSpPr>
      <xdr:spPr bwMode="auto">
        <a:xfrm>
          <a:off x="190500" y="5238750"/>
          <a:ext cx="2466975" cy="1000125"/>
        </a:xfrm>
        <a:prstGeom prst="rect">
          <a:avLst/>
        </a:prstGeom>
        <a:solidFill>
          <a:srgbClr val="FFFFFF"/>
        </a:solidFill>
        <a:ln w="9525">
          <a:solidFill>
            <a:srgbClr val="BCBCBC"/>
          </a:solidFill>
          <a:miter lim="800000"/>
          <a:headEnd/>
          <a:tailEnd/>
        </a:ln>
      </xdr:spPr>
      <xdr:txBody>
        <a:bodyPr vertOverflow="clip" wrap="square" lIns="91440" tIns="45720" rIns="91440" bIns="45720" anchor="t" upright="1"/>
        <a:lstStyle/>
        <a:p>
          <a:pPr algn="l" rtl="0">
            <a:defRPr sz="1000"/>
          </a:pPr>
          <a:fld id="{376918E1-9895-490A-94D5-869A91150461}" type="TxLink">
            <a:rPr lang="en-US" sz="1000" b="0" i="0" u="none" strike="noStrike" baseline="0">
              <a:solidFill>
                <a:srgbClr val="000000"/>
              </a:solidFill>
              <a:latin typeface="Calibri"/>
            </a:rPr>
            <a:t></a:t>
          </a:fld>
          <a:endParaRPr lang="en-US" sz="1000" b="0" i="0" u="none" strike="noStrike" baseline="0">
            <a:solidFill>
              <a:srgbClr val="000000"/>
            </a:solidFill>
            <a:latin typeface="Calibri"/>
          </a:endParaRPr>
        </a:p>
      </xdr:txBody>
    </xdr:sp>
    <xdr:clientData/>
  </xdr:twoCellAnchor>
  <xdr:twoCellAnchor>
    <xdr:from>
      <xdr:col>1</xdr:col>
      <xdr:colOff>19050</xdr:colOff>
      <xdr:row>3</xdr:row>
      <xdr:rowOff>285750</xdr:rowOff>
    </xdr:from>
    <xdr:to>
      <xdr:col>1</xdr:col>
      <xdr:colOff>1066800</xdr:colOff>
      <xdr:row>4</xdr:row>
      <xdr:rowOff>85725</xdr:rowOff>
    </xdr:to>
    <xdr:sp macro="" textlink="">
      <xdr:nvSpPr>
        <xdr:cNvPr id="8" name="Text Box 10"/>
        <xdr:cNvSpPr txBox="1">
          <a:spLocks noChangeArrowheads="1"/>
        </xdr:cNvSpPr>
      </xdr:nvSpPr>
      <xdr:spPr bwMode="auto">
        <a:xfrm>
          <a:off x="247650" y="762000"/>
          <a:ext cx="1047750" cy="152400"/>
        </a:xfrm>
        <a:prstGeom prst="rect">
          <a:avLst/>
        </a:prstGeom>
        <a:noFill/>
        <a:ln w="9525" algn="ctr">
          <a:noFill/>
          <a:miter lim="800000"/>
          <a:headEnd/>
          <a:tailEnd/>
        </a:ln>
        <a:effectLst/>
      </xdr:spPr>
      <xdr:txBody>
        <a:bodyPr vertOverflow="clip" wrap="square" lIns="0" tIns="18288" rIns="27432" bIns="0" anchor="t" upright="1"/>
        <a:lstStyle/>
        <a:p>
          <a:pPr algn="l" rtl="1">
            <a:defRPr sz="1000"/>
          </a:pPr>
          <a:r>
            <a:rPr lang="en-GB" sz="900" b="1" i="0" strike="noStrike">
              <a:solidFill>
                <a:srgbClr val="000000"/>
              </a:solidFill>
              <a:latin typeface="Calibri"/>
            </a:rPr>
            <a:t>REGION HIGHLIGHT</a:t>
          </a:r>
        </a:p>
      </xdr:txBody>
    </xdr:sp>
    <xdr:clientData/>
  </xdr:twoCellAnchor>
  <xdr:twoCellAnchor>
    <xdr:from>
      <xdr:col>1</xdr:col>
      <xdr:colOff>28575</xdr:colOff>
      <xdr:row>2</xdr:row>
      <xdr:rowOff>114300</xdr:rowOff>
    </xdr:from>
    <xdr:to>
      <xdr:col>1</xdr:col>
      <xdr:colOff>885825</xdr:colOff>
      <xdr:row>3</xdr:row>
      <xdr:rowOff>85725</xdr:rowOff>
    </xdr:to>
    <xdr:sp macro="" textlink="">
      <xdr:nvSpPr>
        <xdr:cNvPr id="10" name="Text Box 10"/>
        <xdr:cNvSpPr txBox="1">
          <a:spLocks noChangeArrowheads="1"/>
        </xdr:cNvSpPr>
      </xdr:nvSpPr>
      <xdr:spPr bwMode="auto">
        <a:xfrm>
          <a:off x="276225" y="323850"/>
          <a:ext cx="857250" cy="219075"/>
        </a:xfrm>
        <a:prstGeom prst="rect">
          <a:avLst/>
        </a:prstGeom>
        <a:noFill/>
        <a:ln w="9525">
          <a:noFill/>
          <a:miter lim="800000"/>
          <a:headEnd/>
          <a:tailEnd/>
        </a:ln>
      </xdr:spPr>
      <xdr:txBody>
        <a:bodyPr vertOverflow="clip" wrap="square" lIns="0" tIns="18288" rIns="27432" bIns="0" anchor="t" upright="1"/>
        <a:lstStyle/>
        <a:p>
          <a:pPr algn="l" rtl="0">
            <a:defRPr sz="1000"/>
          </a:pPr>
          <a:r>
            <a:rPr lang="en-GB" sz="900" b="1" i="0" strike="noStrike">
              <a:solidFill>
                <a:srgbClr val="000000"/>
              </a:solidFill>
              <a:latin typeface="Calibri"/>
            </a:rPr>
            <a:t>REGION FILTER</a:t>
          </a:r>
        </a:p>
      </xdr:txBody>
    </xdr:sp>
    <xdr:clientData/>
  </xdr:twoCellAnchor>
  <xdr:twoCellAnchor>
    <xdr:from>
      <xdr:col>0</xdr:col>
      <xdr:colOff>200025</xdr:colOff>
      <xdr:row>6</xdr:row>
      <xdr:rowOff>38100</xdr:rowOff>
    </xdr:from>
    <xdr:to>
      <xdr:col>1</xdr:col>
      <xdr:colOff>1609725</xdr:colOff>
      <xdr:row>7</xdr:row>
      <xdr:rowOff>28575</xdr:rowOff>
    </xdr:to>
    <xdr:sp macro="" textlink="">
      <xdr:nvSpPr>
        <xdr:cNvPr id="772424" name="Text Box 10"/>
        <xdr:cNvSpPr txBox="1">
          <a:spLocks noChangeArrowheads="1"/>
        </xdr:cNvSpPr>
      </xdr:nvSpPr>
      <xdr:spPr bwMode="auto">
        <a:xfrm>
          <a:off x="200025" y="1266825"/>
          <a:ext cx="1619250" cy="152400"/>
        </a:xfrm>
        <a:prstGeom prst="rect">
          <a:avLst/>
        </a:prstGeom>
        <a:noFill/>
        <a:ln w="9525" algn="ctr">
          <a:noFill/>
          <a:miter lim="800000"/>
          <a:headEnd/>
          <a:tailEnd/>
        </a:ln>
      </xdr:spPr>
      <xdr:txBody>
        <a:bodyPr vertOverflow="clip" wrap="square" lIns="0" tIns="18288" rIns="27432" bIns="0" anchor="t" upright="1"/>
        <a:lstStyle/>
        <a:p>
          <a:pPr algn="l" rtl="0">
            <a:defRPr sz="1000"/>
          </a:pPr>
          <a:r>
            <a:rPr lang="en-US" sz="900" b="1" i="0" u="none" strike="noStrike" baseline="0">
              <a:solidFill>
                <a:srgbClr val="000000"/>
              </a:solidFill>
              <a:latin typeface="Calibri"/>
            </a:rPr>
            <a:t>COUNTRY HIGHLIGHT</a:t>
          </a:r>
        </a:p>
      </xdr:txBody>
    </xdr:sp>
    <xdr:clientData/>
  </xdr:twoCellAnchor>
  <xdr:twoCellAnchor>
    <xdr:from>
      <xdr:col>1</xdr:col>
      <xdr:colOff>19050</xdr:colOff>
      <xdr:row>29</xdr:row>
      <xdr:rowOff>257175</xdr:rowOff>
    </xdr:from>
    <xdr:to>
      <xdr:col>1</xdr:col>
      <xdr:colOff>1066800</xdr:colOff>
      <xdr:row>29</xdr:row>
      <xdr:rowOff>419101</xdr:rowOff>
    </xdr:to>
    <xdr:sp macro="" textlink="">
      <xdr:nvSpPr>
        <xdr:cNvPr id="12" name="Text Box 10"/>
        <xdr:cNvSpPr txBox="1">
          <a:spLocks noChangeArrowheads="1"/>
        </xdr:cNvSpPr>
      </xdr:nvSpPr>
      <xdr:spPr bwMode="auto">
        <a:xfrm>
          <a:off x="228600" y="3657600"/>
          <a:ext cx="1047750" cy="161926"/>
        </a:xfrm>
        <a:prstGeom prst="rect">
          <a:avLst/>
        </a:prstGeom>
        <a:noFill/>
        <a:ln w="9525" algn="ctr">
          <a:noFill/>
          <a:miter lim="800000"/>
          <a:headEnd/>
          <a:tailEnd/>
        </a:ln>
        <a:effectLst/>
      </xdr:spPr>
      <xdr:txBody>
        <a:bodyPr vertOverflow="clip" wrap="square" lIns="0" tIns="18288" rIns="27432" bIns="0" anchor="t" upright="1"/>
        <a:lstStyle/>
        <a:p>
          <a:pPr marL="0" indent="0" algn="l" rtl="0">
            <a:defRPr sz="1000"/>
          </a:pPr>
          <a:r>
            <a:rPr lang="en-US" sz="900" b="1" i="0" strike="noStrike">
              <a:solidFill>
                <a:srgbClr val="000000"/>
              </a:solidFill>
              <a:latin typeface="Calibri"/>
              <a:ea typeface="+mn-ea"/>
              <a:cs typeface="+mn-cs"/>
            </a:rPr>
            <a:t>SOURCE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428625</xdr:colOff>
      <xdr:row>3</xdr:row>
      <xdr:rowOff>0</xdr:rowOff>
    </xdr:from>
    <xdr:to>
      <xdr:col>13</xdr:col>
      <xdr:colOff>542925</xdr:colOff>
      <xdr:row>3</xdr:row>
      <xdr:rowOff>0</xdr:rowOff>
    </xdr:to>
    <xdr:sp macro="" textlink="">
      <xdr:nvSpPr>
        <xdr:cNvPr id="832513" name="TextBox 1"/>
        <xdr:cNvSpPr txBox="1">
          <a:spLocks noChangeArrowheads="1"/>
        </xdr:cNvSpPr>
      </xdr:nvSpPr>
      <xdr:spPr bwMode="auto">
        <a:xfrm>
          <a:off x="6810375" y="581025"/>
          <a:ext cx="3695700" cy="0"/>
        </a:xfrm>
        <a:prstGeom prst="rect">
          <a:avLst/>
        </a:prstGeom>
        <a:solidFill>
          <a:srgbClr val="FFFFFF"/>
        </a:solidFill>
        <a:ln w="9525">
          <a:solidFill>
            <a:srgbClr val="BCBCBC"/>
          </a:solidFill>
          <a:miter lim="800000"/>
          <a:headEnd/>
          <a:tailEnd/>
        </a:ln>
      </xdr:spPr>
      <xdr:txBody>
        <a:bodyPr vertOverflow="clip" wrap="square" lIns="91440" tIns="45720" rIns="91440" bIns="45720" anchor="t" upright="1"/>
        <a:lstStyle/>
        <a:p>
          <a:pPr algn="l" rtl="0">
            <a:defRPr sz="1000"/>
          </a:pPr>
          <a:r>
            <a:rPr lang="en-US" sz="1100" b="0" i="0" u="none" strike="noStrike" baseline="0">
              <a:solidFill>
                <a:srgbClr val="000000"/>
              </a:solidFill>
              <a:latin typeface="Calibri"/>
            </a:rPr>
            <a:t>TO FIX UP WHEN INDICATOR LIST FINALISED</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19050</xdr:colOff>
      <xdr:row>1</xdr:row>
      <xdr:rowOff>95250</xdr:rowOff>
    </xdr:from>
    <xdr:to>
      <xdr:col>11</xdr:col>
      <xdr:colOff>295275</xdr:colOff>
      <xdr:row>1</xdr:row>
      <xdr:rowOff>266700</xdr:rowOff>
    </xdr:to>
    <xdr:sp macro="" textlink="">
      <xdr:nvSpPr>
        <xdr:cNvPr id="3" name="Text Box 10"/>
        <xdr:cNvSpPr txBox="1">
          <a:spLocks noChangeArrowheads="1"/>
        </xdr:cNvSpPr>
      </xdr:nvSpPr>
      <xdr:spPr bwMode="auto">
        <a:xfrm>
          <a:off x="4714875" y="381000"/>
          <a:ext cx="1495425" cy="171450"/>
        </a:xfrm>
        <a:prstGeom prst="rect">
          <a:avLst/>
        </a:prstGeom>
        <a:noFill/>
        <a:ln w="9525" algn="ctr">
          <a:noFill/>
          <a:miter lim="800000"/>
          <a:headEnd/>
          <a:tailEnd/>
        </a:ln>
        <a:effectLst/>
      </xdr:spPr>
      <xdr:txBody>
        <a:bodyPr vertOverflow="clip" wrap="square" lIns="0" tIns="18288" rIns="27432" bIns="0" anchor="t" upright="1"/>
        <a:lstStyle/>
        <a:p>
          <a:pPr algn="l" rtl="0">
            <a:defRPr sz="1000"/>
          </a:pPr>
          <a:r>
            <a:rPr lang="en-GB" sz="900" b="1" i="0" strike="noStrike" baseline="0">
              <a:solidFill>
                <a:srgbClr val="000000"/>
              </a:solidFill>
              <a:latin typeface="Calibri"/>
            </a:rPr>
            <a:t>SHOW SCORES FOR:</a:t>
          </a:r>
          <a:endParaRPr lang="en-GB" sz="900" b="1" i="0" strike="noStrike">
            <a:solidFill>
              <a:srgbClr val="000000"/>
            </a:solidFill>
            <a:latin typeface="Calibri"/>
          </a:endParaRPr>
        </a:p>
      </xdr:txBody>
    </xdr:sp>
    <xdr:clientData/>
  </xdr:twoCellAnchor>
  <xdr:twoCellAnchor>
    <xdr:from>
      <xdr:col>13</xdr:col>
      <xdr:colOff>0</xdr:colOff>
      <xdr:row>1</xdr:row>
      <xdr:rowOff>95250</xdr:rowOff>
    </xdr:from>
    <xdr:to>
      <xdr:col>15</xdr:col>
      <xdr:colOff>276225</xdr:colOff>
      <xdr:row>1</xdr:row>
      <xdr:rowOff>266700</xdr:rowOff>
    </xdr:to>
    <xdr:sp macro="" textlink="">
      <xdr:nvSpPr>
        <xdr:cNvPr id="4" name="Text Box 10"/>
        <xdr:cNvSpPr txBox="1">
          <a:spLocks noChangeArrowheads="1"/>
        </xdr:cNvSpPr>
      </xdr:nvSpPr>
      <xdr:spPr bwMode="auto">
        <a:xfrm>
          <a:off x="6762750" y="381000"/>
          <a:ext cx="1495425" cy="171450"/>
        </a:xfrm>
        <a:prstGeom prst="rect">
          <a:avLst/>
        </a:prstGeom>
        <a:noFill/>
        <a:ln w="9525" algn="ctr">
          <a:noFill/>
          <a:miter lim="800000"/>
          <a:headEnd/>
          <a:tailEnd/>
        </a:ln>
        <a:effectLst/>
      </xdr:spPr>
      <xdr:txBody>
        <a:bodyPr vertOverflow="clip" wrap="square" lIns="0" tIns="18288" rIns="27432" bIns="0" anchor="t" upright="1"/>
        <a:lstStyle/>
        <a:p>
          <a:pPr algn="l" rtl="0">
            <a:defRPr sz="1000"/>
          </a:pPr>
          <a:r>
            <a:rPr lang="en-GB" sz="900" b="1" i="0" strike="noStrike" baseline="0">
              <a:solidFill>
                <a:srgbClr val="000000"/>
              </a:solidFill>
              <a:latin typeface="Calibri"/>
            </a:rPr>
            <a:t>REGION FILTER</a:t>
          </a:r>
          <a:endParaRPr lang="en-GB" sz="900" b="1" i="0" strike="noStrike">
            <a:solidFill>
              <a:srgbClr val="000000"/>
            </a:solidFill>
            <a:latin typeface="Calibri"/>
          </a:endParaRPr>
        </a:p>
      </xdr:txBody>
    </xdr:sp>
    <xdr:clientData/>
  </xdr:twoCellAnchor>
  <xdr:twoCellAnchor>
    <xdr:from>
      <xdr:col>2</xdr:col>
      <xdr:colOff>0</xdr:colOff>
      <xdr:row>1</xdr:row>
      <xdr:rowOff>47624</xdr:rowOff>
    </xdr:from>
    <xdr:to>
      <xdr:col>8</xdr:col>
      <xdr:colOff>28576</xdr:colOff>
      <xdr:row>1</xdr:row>
      <xdr:rowOff>695325</xdr:rowOff>
    </xdr:to>
    <xdr:sp macro="" textlink="">
      <xdr:nvSpPr>
        <xdr:cNvPr id="5" name="Text Box 2"/>
        <xdr:cNvSpPr txBox="1">
          <a:spLocks noChangeArrowheads="1"/>
        </xdr:cNvSpPr>
      </xdr:nvSpPr>
      <xdr:spPr bwMode="auto">
        <a:xfrm>
          <a:off x="371475" y="333374"/>
          <a:ext cx="5257801" cy="647701"/>
        </a:xfrm>
        <a:prstGeom prst="rect">
          <a:avLst/>
        </a:prstGeom>
        <a:solidFill>
          <a:srgbClr val="FFFBF7"/>
        </a:solidFill>
        <a:ln w="9525">
          <a:solidFill>
            <a:srgbClr val="E8E8E8"/>
          </a:solidFill>
          <a:miter lim="800000"/>
          <a:headEnd/>
          <a:tailEnd/>
        </a:ln>
      </xdr:spPr>
      <xdr:txBody>
        <a:bodyPr vertOverflow="clip" wrap="square" lIns="72000" tIns="46800" rIns="72000" bIns="46800" anchor="t" upright="1"/>
        <a:lstStyle/>
        <a:p>
          <a:pPr algn="l" rtl="0">
            <a:defRPr sz="1000"/>
          </a:pPr>
          <a:endParaRPr lang="en-US" sz="800" b="0" i="0" strike="noStrike">
            <a:solidFill>
              <a:srgbClr val="000000"/>
            </a:solidFill>
            <a:latin typeface="Verdana"/>
          </a:endParaRPr>
        </a:p>
        <a:p>
          <a:pPr algn="l" rtl="0">
            <a:defRPr sz="1000"/>
          </a:pPr>
          <a:endParaRPr lang="en-US" sz="800" b="0" i="0" strike="noStrike">
            <a:solidFill>
              <a:srgbClr val="000000"/>
            </a:solidFill>
            <a:latin typeface="Verdana"/>
          </a:endParaRPr>
        </a:p>
        <a:p>
          <a:pPr algn="l" rtl="0">
            <a:defRPr sz="1000"/>
          </a:pPr>
          <a:r>
            <a:rPr lang="en-US" sz="800" b="0" i="0" strike="noStrike">
              <a:solidFill>
                <a:srgbClr val="808080"/>
              </a:solidFill>
              <a:latin typeface="Verdana"/>
            </a:rPr>
            <a:t>Change weights by editing numbers in the "Weight" column.</a:t>
          </a:r>
        </a:p>
        <a:p>
          <a:pPr algn="l" rtl="0">
            <a:defRPr sz="1000"/>
          </a:pPr>
          <a:r>
            <a:rPr lang="en-US" sz="800" b="0" i="0" strike="noStrike">
              <a:solidFill>
                <a:srgbClr val="808080"/>
              </a:solidFill>
              <a:latin typeface="Verdana"/>
            </a:rPr>
            <a:t>Set a weight of zero to completely remove the influence of any indicator/category.</a:t>
          </a:r>
        </a:p>
      </xdr:txBody>
    </xdr:sp>
    <xdr:clientData/>
  </xdr:twoCellAnchor>
  <xdr:twoCellAnchor>
    <xdr:from>
      <xdr:col>5</xdr:col>
      <xdr:colOff>28576</xdr:colOff>
      <xdr:row>1</xdr:row>
      <xdr:rowOff>95249</xdr:rowOff>
    </xdr:from>
    <xdr:to>
      <xdr:col>5</xdr:col>
      <xdr:colOff>1552576</xdr:colOff>
      <xdr:row>1</xdr:row>
      <xdr:rowOff>295274</xdr:rowOff>
    </xdr:to>
    <xdr:sp macro="" textlink="">
      <xdr:nvSpPr>
        <xdr:cNvPr id="6" name="Text Box 5"/>
        <xdr:cNvSpPr txBox="1">
          <a:spLocks noChangeArrowheads="1"/>
        </xdr:cNvSpPr>
      </xdr:nvSpPr>
      <xdr:spPr bwMode="auto">
        <a:xfrm>
          <a:off x="1343026" y="380999"/>
          <a:ext cx="1524000" cy="200025"/>
        </a:xfrm>
        <a:prstGeom prst="rect">
          <a:avLst/>
        </a:prstGeom>
        <a:solidFill>
          <a:srgbClr val="FFFFFF">
            <a:alpha val="0"/>
          </a:srgbClr>
        </a:solidFill>
        <a:ln w="9525">
          <a:noFill/>
          <a:miter lim="800000"/>
          <a:headEnd/>
          <a:tailEnd/>
        </a:ln>
      </xdr:spPr>
      <xdr:txBody>
        <a:bodyPr vertOverflow="clip" wrap="square" lIns="27432" tIns="18288" rIns="0" bIns="0" anchor="t" upright="1"/>
        <a:lstStyle/>
        <a:p>
          <a:pPr algn="l" rtl="0">
            <a:defRPr sz="1000"/>
          </a:pPr>
          <a:r>
            <a:rPr lang="en-US" sz="900" b="0" i="0" strike="noStrike">
              <a:solidFill>
                <a:srgbClr val="003366"/>
              </a:solidFill>
              <a:latin typeface="Verdana"/>
            </a:rPr>
            <a:t>Select weighting profile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295276</xdr:colOff>
      <xdr:row>0</xdr:row>
      <xdr:rowOff>47624</xdr:rowOff>
    </xdr:from>
    <xdr:to>
      <xdr:col>5</xdr:col>
      <xdr:colOff>85726</xdr:colOff>
      <xdr:row>0</xdr:row>
      <xdr:rowOff>209550</xdr:rowOff>
    </xdr:to>
    <xdr:sp macro="" textlink="">
      <xdr:nvSpPr>
        <xdr:cNvPr id="6" name="Text Box 10"/>
        <xdr:cNvSpPr txBox="1">
          <a:spLocks noChangeArrowheads="1"/>
        </xdr:cNvSpPr>
      </xdr:nvSpPr>
      <xdr:spPr bwMode="auto">
        <a:xfrm>
          <a:off x="3686176" y="47624"/>
          <a:ext cx="628650" cy="161926"/>
        </a:xfrm>
        <a:prstGeom prst="rect">
          <a:avLst/>
        </a:prstGeom>
        <a:noFill/>
        <a:ln w="9525" algn="ctr">
          <a:noFill/>
          <a:miter lim="800000"/>
          <a:headEnd/>
          <a:tailEnd/>
        </a:ln>
        <a:effectLst/>
      </xdr:spPr>
      <xdr:txBody>
        <a:bodyPr vertOverflow="clip" wrap="square" lIns="0" tIns="18288" rIns="27432" bIns="0" anchor="t" upright="1"/>
        <a:lstStyle/>
        <a:p>
          <a:pPr algn="l" rtl="0">
            <a:defRPr sz="1000"/>
          </a:pPr>
          <a:r>
            <a:rPr lang="en-GB" sz="900" b="1" i="0" strike="noStrike">
              <a:solidFill>
                <a:srgbClr val="000000"/>
              </a:solidFill>
              <a:latin typeface="Calibri"/>
            </a:rPr>
            <a:t>SELECT CITY</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vmlDrawing" Target="../drawings/vmlDrawing7.vml"/></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drawing" Target="../drawings/drawing7.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Sheet23"/>
  <dimension ref="A1:J51"/>
  <sheetViews>
    <sheetView topLeftCell="A40" workbookViewId="0">
      <selection activeCell="I19" sqref="I19"/>
    </sheetView>
  </sheetViews>
  <sheetFormatPr defaultRowHeight="12.75"/>
  <cols>
    <col min="5" max="6" width="15.5703125" customWidth="1"/>
    <col min="8" max="8" width="12" customWidth="1"/>
  </cols>
  <sheetData>
    <row r="1" spans="1:10">
      <c r="A1" s="57" t="s">
        <v>509</v>
      </c>
      <c r="B1">
        <f ca="1">uxb_works!B21</f>
        <v>12</v>
      </c>
      <c r="C1">
        <f ca="1">uxb_works!C21</f>
        <v>1</v>
      </c>
      <c r="D1">
        <f ca="1">uxb_works!D21</f>
        <v>3</v>
      </c>
      <c r="E1">
        <f ca="1">uxb_works!E21</f>
        <v>10</v>
      </c>
    </row>
    <row r="2" spans="1:10">
      <c r="A2" s="57" t="s">
        <v>511</v>
      </c>
      <c r="B2" t="str">
        <f ca="1">uxb_works!B22</f>
        <v>Mexico</v>
      </c>
      <c r="C2" t="str">
        <f ca="1">uxb_works!C22</f>
        <v>Argentina</v>
      </c>
      <c r="D2" t="str">
        <f ca="1">uxb_works!D22</f>
        <v xml:space="preserve">Chile </v>
      </c>
      <c r="E2" t="str">
        <f ca="1">uxb_works!E22</f>
        <v>Honduras</v>
      </c>
    </row>
    <row r="3" spans="1:10">
      <c r="A3" s="57"/>
    </row>
    <row r="4" spans="1:10">
      <c r="B4" s="6"/>
    </row>
    <row r="5" spans="1:10">
      <c r="G5">
        <f>B1</f>
        <v>12</v>
      </c>
      <c r="H5">
        <f>C1</f>
        <v>1</v>
      </c>
      <c r="I5">
        <f>D1</f>
        <v>3</v>
      </c>
      <c r="J5">
        <f>E1</f>
        <v>10</v>
      </c>
    </row>
    <row r="7" spans="1:10">
      <c r="B7" s="68" t="s">
        <v>666</v>
      </c>
      <c r="C7" t="e">
        <f t="shared" ref="C7:C51" ca="1" si="0">MATCH(B7,score_indicode,0)</f>
        <v>#N/A</v>
      </c>
      <c r="D7" t="e">
        <f t="shared" ref="D7:D51" ca="1" si="1">MATCH(B7,indi_code,0)</f>
        <v>#N/A</v>
      </c>
      <c r="E7" t="s">
        <v>387</v>
      </c>
      <c r="F7" t="s">
        <v>388</v>
      </c>
      <c r="G7" t="e">
        <f ca="1">INDEX(data,$C7,G$5)</f>
        <v>#N/A</v>
      </c>
      <c r="H7" t="e">
        <f ca="1">INDEX(data,$C7,H$5)</f>
        <v>#N/A</v>
      </c>
      <c r="I7" t="e">
        <f ca="1">INDEX(data,$C7,I$5)</f>
        <v>#N/A</v>
      </c>
      <c r="J7" t="e">
        <f ca="1">INDEX(data,$C7,J$5)</f>
        <v>#N/A</v>
      </c>
    </row>
    <row r="8" spans="1:10">
      <c r="A8">
        <f ca="1">tblIndicators!C2</f>
        <v>0</v>
      </c>
      <c r="B8" t="str">
        <f ca="1">tblIndicators!A2</f>
        <v>TOTL</v>
      </c>
      <c r="C8">
        <f t="shared" ca="1" si="0"/>
        <v>1</v>
      </c>
      <c r="D8">
        <f t="shared" ca="1" si="1"/>
        <v>1</v>
      </c>
      <c r="E8" t="str">
        <f t="shared" ref="E8:E51" ca="1" si="2">INDEX(indi_short,D8)</f>
        <v>OVERALL SCORE</v>
      </c>
      <c r="F8" t="str">
        <f t="shared" ref="F8:F51" ca="1" si="3">IF(A8&lt;2,"",INDEX(indiUnit,D8))</f>
        <v/>
      </c>
      <c r="G8">
        <f t="shared" ref="G8:J27" ca="1" si="4">IF($A8&lt;2,INDEX(scores,$C8,G$5),INDEX(data,$C8,G$5))</f>
        <v>44.586262953078325</v>
      </c>
      <c r="H8">
        <f t="shared" ca="1" si="4"/>
        <v>23.455088272248759</v>
      </c>
      <c r="I8">
        <f t="shared" ca="1" si="4"/>
        <v>65.286693679205769</v>
      </c>
      <c r="J8">
        <f t="shared" ca="1" si="4"/>
        <v>33.290060562547922</v>
      </c>
    </row>
    <row r="9" spans="1:10">
      <c r="A9">
        <f ca="1">tblIndicators!C3</f>
        <v>1</v>
      </c>
      <c r="B9" t="str">
        <f ca="1">tblIndicators!A3</f>
        <v>LEGF</v>
      </c>
      <c r="C9">
        <f t="shared" ca="1" si="0"/>
        <v>2</v>
      </c>
      <c r="D9">
        <f t="shared" ca="1" si="1"/>
        <v>2</v>
      </c>
      <c r="E9" t="str">
        <f t="shared" ca="1" si="2"/>
        <v>Legal and regulatory framework</v>
      </c>
      <c r="F9" t="str">
        <f t="shared" ca="1" si="3"/>
        <v/>
      </c>
      <c r="G9">
        <f t="shared" ca="1" si="4"/>
        <v>38.888888888888886</v>
      </c>
      <c r="H9">
        <f t="shared" ca="1" si="4"/>
        <v>16.666666666666664</v>
      </c>
      <c r="I9">
        <f t="shared" ca="1" si="4"/>
        <v>61.111111111111114</v>
      </c>
      <c r="J9">
        <f t="shared" ca="1" si="4"/>
        <v>25</v>
      </c>
    </row>
    <row r="10" spans="1:10">
      <c r="A10">
        <f ca="1">tblIndicators!C4</f>
        <v>2</v>
      </c>
      <c r="B10" t="str">
        <f ca="1">tblIndicators!A4</f>
        <v>LEGF01</v>
      </c>
      <c r="C10">
        <f t="shared" ca="1" si="0"/>
        <v>3</v>
      </c>
      <c r="D10">
        <f t="shared" ca="1" si="1"/>
        <v>3</v>
      </c>
      <c r="E10" t="str">
        <f t="shared" ca="1" si="2"/>
        <v>Consistency and quality of PPP regulations</v>
      </c>
      <c r="F10" t="str">
        <f t="shared" ca="1" si="3"/>
        <v>0-4, where 4=best and 0=worst</v>
      </c>
      <c r="G10">
        <f t="shared" ca="1" si="4"/>
        <v>2</v>
      </c>
      <c r="H10">
        <f t="shared" ca="1" si="4"/>
        <v>2</v>
      </c>
      <c r="I10">
        <f t="shared" ca="1" si="4"/>
        <v>3</v>
      </c>
      <c r="J10">
        <f t="shared" ca="1" si="4"/>
        <v>1</v>
      </c>
    </row>
    <row r="11" spans="1:10">
      <c r="A11">
        <f ca="1">tblIndicators!C5</f>
        <v>2</v>
      </c>
      <c r="B11" t="str">
        <f ca="1">tblIndicators!A5</f>
        <v>LEGF02</v>
      </c>
      <c r="C11">
        <f t="shared" ca="1" si="0"/>
        <v>4</v>
      </c>
      <c r="D11">
        <f t="shared" ca="1" si="1"/>
        <v>4</v>
      </c>
      <c r="E11" t="str">
        <f t="shared" ca="1" si="2"/>
        <v>Effective PPP selection and decision making</v>
      </c>
      <c r="F11" t="str">
        <f t="shared" ca="1" si="3"/>
        <v>0-4, where 4=best and 0=worst</v>
      </c>
      <c r="G11">
        <f t="shared" ca="1" si="4"/>
        <v>1</v>
      </c>
      <c r="H11">
        <f t="shared" ca="1" si="4"/>
        <v>0</v>
      </c>
      <c r="I11">
        <f t="shared" ca="1" si="4"/>
        <v>2</v>
      </c>
      <c r="J11">
        <f t="shared" ca="1" si="4"/>
        <v>1</v>
      </c>
    </row>
    <row r="12" spans="1:10">
      <c r="A12">
        <f ca="1">tblIndicators!C6</f>
        <v>2</v>
      </c>
      <c r="B12" t="str">
        <f ca="1">tblIndicators!A6</f>
        <v>LEGF03</v>
      </c>
      <c r="C12">
        <f t="shared" ca="1" si="0"/>
        <v>5</v>
      </c>
      <c r="D12">
        <f t="shared" ca="1" si="1"/>
        <v>5</v>
      </c>
      <c r="E12" t="str">
        <f t="shared" ca="1" si="2"/>
        <v>Fairness/openness of bids, contract changes</v>
      </c>
      <c r="F12" t="str">
        <f t="shared" ca="1" si="3"/>
        <v>0-4, where 4=best and 0=worst</v>
      </c>
      <c r="G12">
        <f t="shared" ca="1" si="4"/>
        <v>1</v>
      </c>
      <c r="H12">
        <f t="shared" ca="1" si="4"/>
        <v>0</v>
      </c>
      <c r="I12">
        <f t="shared" ca="1" si="4"/>
        <v>3</v>
      </c>
      <c r="J12">
        <f t="shared" ca="1" si="4"/>
        <v>1</v>
      </c>
    </row>
    <row r="13" spans="1:10">
      <c r="A13">
        <f ca="1">tblIndicators!C7</f>
        <v>2</v>
      </c>
      <c r="B13" t="str">
        <f ca="1">tblIndicators!A7</f>
        <v>LEGF04</v>
      </c>
      <c r="C13">
        <f t="shared" ca="1" si="0"/>
        <v>6</v>
      </c>
      <c r="D13">
        <f t="shared" ca="1" si="1"/>
        <v>6</v>
      </c>
      <c r="E13" t="str">
        <f t="shared" ca="1" si="2"/>
        <v>Dispute resolution mechanisms</v>
      </c>
      <c r="F13" t="str">
        <f t="shared" ca="1" si="3"/>
        <v>0-4, where 4=best and 0=worst</v>
      </c>
      <c r="G13">
        <f t="shared" ca="1" si="4"/>
        <v>2</v>
      </c>
      <c r="H13">
        <f t="shared" ca="1" si="4"/>
        <v>0</v>
      </c>
      <c r="I13">
        <f t="shared" ca="1" si="4"/>
        <v>2</v>
      </c>
      <c r="J13">
        <f t="shared" ca="1" si="4"/>
        <v>1</v>
      </c>
    </row>
    <row r="14" spans="1:10">
      <c r="A14">
        <f ca="1">tblIndicators!C8</f>
        <v>1</v>
      </c>
      <c r="B14" t="str">
        <f ca="1">tblIndicators!A8</f>
        <v>INST</v>
      </c>
      <c r="C14">
        <f t="shared" ca="1" si="0"/>
        <v>7</v>
      </c>
      <c r="D14">
        <f t="shared" ca="1" si="1"/>
        <v>7</v>
      </c>
      <c r="E14" t="str">
        <f t="shared" ca="1" si="2"/>
        <v>Institutional framework</v>
      </c>
      <c r="F14" t="str">
        <f t="shared" ca="1" si="3"/>
        <v/>
      </c>
      <c r="G14">
        <f t="shared" ca="1" si="4"/>
        <v>37.5</v>
      </c>
      <c r="H14">
        <f t="shared" ca="1" si="4"/>
        <v>12.5</v>
      </c>
      <c r="I14">
        <f t="shared" ca="1" si="4"/>
        <v>50</v>
      </c>
      <c r="J14">
        <f t="shared" ca="1" si="4"/>
        <v>37.5</v>
      </c>
    </row>
    <row r="15" spans="1:10">
      <c r="A15">
        <f ca="1">tblIndicators!C9</f>
        <v>2</v>
      </c>
      <c r="B15" t="str">
        <f ca="1">tblIndicators!A9</f>
        <v>INST01</v>
      </c>
      <c r="C15">
        <f t="shared" ca="1" si="0"/>
        <v>8</v>
      </c>
      <c r="D15">
        <f t="shared" ca="1" si="1"/>
        <v>8</v>
      </c>
      <c r="E15" t="str">
        <f t="shared" ca="1" si="2"/>
        <v>Quality of institutional design</v>
      </c>
      <c r="F15" t="str">
        <f t="shared" ca="1" si="3"/>
        <v>0-4, where 4=best and 0=worst</v>
      </c>
      <c r="G15">
        <f t="shared" ca="1" si="4"/>
        <v>1</v>
      </c>
      <c r="H15">
        <f t="shared" ca="1" si="4"/>
        <v>1</v>
      </c>
      <c r="I15">
        <f t="shared" ca="1" si="4"/>
        <v>2</v>
      </c>
      <c r="J15">
        <f t="shared" ca="1" si="4"/>
        <v>1</v>
      </c>
    </row>
    <row r="16" spans="1:10">
      <c r="A16">
        <f ca="1">tblIndicators!C10</f>
        <v>2</v>
      </c>
      <c r="B16" t="str">
        <f ca="1">tblIndicators!A10</f>
        <v>INST02</v>
      </c>
      <c r="C16">
        <f t="shared" ca="1" si="0"/>
        <v>9</v>
      </c>
      <c r="D16">
        <f t="shared" ca="1" si="1"/>
        <v>9</v>
      </c>
      <c r="E16" t="str">
        <f t="shared" ca="1" si="2"/>
        <v>PPP contract, hold-up and expropriation risk</v>
      </c>
      <c r="F16" t="str">
        <f t="shared" ca="1" si="3"/>
        <v>0-4, where 4=best and 0=worst</v>
      </c>
      <c r="G16">
        <f t="shared" ca="1" si="4"/>
        <v>2</v>
      </c>
      <c r="H16">
        <f t="shared" ca="1" si="4"/>
        <v>0</v>
      </c>
      <c r="I16">
        <f t="shared" ca="1" si="4"/>
        <v>2</v>
      </c>
      <c r="J16">
        <f t="shared" ca="1" si="4"/>
        <v>2</v>
      </c>
    </row>
    <row r="17" spans="1:10">
      <c r="A17">
        <f ca="1">tblIndicators!C11</f>
        <v>1</v>
      </c>
      <c r="B17" t="str">
        <f ca="1">tblIndicators!A11</f>
        <v>OPER</v>
      </c>
      <c r="C17">
        <f t="shared" ca="1" si="0"/>
        <v>10</v>
      </c>
      <c r="D17">
        <f t="shared" ca="1" si="1"/>
        <v>10</v>
      </c>
      <c r="E17" t="str">
        <f t="shared" ca="1" si="2"/>
        <v>Operational maturity</v>
      </c>
      <c r="F17" t="str">
        <f t="shared" ca="1" si="3"/>
        <v/>
      </c>
      <c r="G17">
        <f t="shared" ca="1" si="4"/>
        <v>54.061699948796729</v>
      </c>
      <c r="H17">
        <f t="shared" ca="1" si="4"/>
        <v>41.477072310405646</v>
      </c>
      <c r="I17">
        <f t="shared" ca="1" si="4"/>
        <v>77.817460317460316</v>
      </c>
      <c r="J17">
        <f t="shared" ca="1" si="4"/>
        <v>45.976190476190474</v>
      </c>
    </row>
    <row r="18" spans="1:10">
      <c r="A18">
        <f ca="1">tblIndicators!C12</f>
        <v>2</v>
      </c>
      <c r="B18" t="str">
        <f ca="1">tblIndicators!A12</f>
        <v>OPER01</v>
      </c>
      <c r="C18">
        <f t="shared" ca="1" si="0"/>
        <v>11</v>
      </c>
      <c r="D18">
        <f t="shared" ca="1" si="1"/>
        <v>11</v>
      </c>
      <c r="E18" t="str">
        <f t="shared" ca="1" si="2"/>
        <v>Public capacity to plan and oversee PPPs</v>
      </c>
      <c r="F18" t="str">
        <f t="shared" ca="1" si="3"/>
        <v>0-4, where 4=best and 0=worst</v>
      </c>
      <c r="G18">
        <f t="shared" ca="1" si="4"/>
        <v>1</v>
      </c>
      <c r="H18">
        <f t="shared" ca="1" si="4"/>
        <v>2</v>
      </c>
      <c r="I18">
        <f t="shared" ca="1" si="4"/>
        <v>3</v>
      </c>
      <c r="J18">
        <f t="shared" ca="1" si="4"/>
        <v>1</v>
      </c>
    </row>
    <row r="19" spans="1:10">
      <c r="A19">
        <f ca="1">tblIndicators!C13</f>
        <v>2</v>
      </c>
      <c r="B19" t="str">
        <f ca="1">tblIndicators!A13</f>
        <v>OPER02</v>
      </c>
      <c r="C19">
        <f t="shared" ca="1" si="0"/>
        <v>12</v>
      </c>
      <c r="D19">
        <f t="shared" ca="1" si="1"/>
        <v>12</v>
      </c>
      <c r="E19" t="str">
        <f t="shared" ca="1" si="2"/>
        <v xml:space="preserve">Methods and criteria for awarding projects </v>
      </c>
      <c r="F19" t="str">
        <f t="shared" ca="1" si="3"/>
        <v>0-4, where 4=best and 0=worst</v>
      </c>
      <c r="G19">
        <f t="shared" ca="1" si="4"/>
        <v>1</v>
      </c>
      <c r="H19">
        <f t="shared" ca="1" si="4"/>
        <v>1</v>
      </c>
      <c r="I19">
        <f t="shared" ca="1" si="4"/>
        <v>3</v>
      </c>
      <c r="J19">
        <f t="shared" ca="1" si="4"/>
        <v>1</v>
      </c>
    </row>
    <row r="20" spans="1:10">
      <c r="A20">
        <f ca="1">tblIndicators!C14</f>
        <v>2</v>
      </c>
      <c r="B20" t="str">
        <f ca="1">tblIndicators!A14</f>
        <v>OPER03</v>
      </c>
      <c r="C20">
        <f t="shared" ca="1" si="0"/>
        <v>13</v>
      </c>
      <c r="D20">
        <f t="shared" ca="1" si="1"/>
        <v>13</v>
      </c>
      <c r="E20" t="str">
        <f t="shared" ca="1" si="2"/>
        <v>Regulators' risk allocation record</v>
      </c>
      <c r="F20" t="str">
        <f t="shared" ca="1" si="3"/>
        <v>0-4, where 4=best and 0=worst</v>
      </c>
      <c r="G20">
        <f t="shared" ca="1" si="4"/>
        <v>1</v>
      </c>
      <c r="H20">
        <f t="shared" ca="1" si="4"/>
        <v>0</v>
      </c>
      <c r="I20">
        <f t="shared" ca="1" si="4"/>
        <v>3</v>
      </c>
      <c r="J20">
        <f t="shared" ca="1" si="4"/>
        <v>1</v>
      </c>
    </row>
    <row r="21" spans="1:10">
      <c r="A21">
        <f ca="1">tblIndicators!C15</f>
        <v>2</v>
      </c>
      <c r="B21" t="str">
        <f ca="1">tblIndicators!A15</f>
        <v>OPER04</v>
      </c>
      <c r="C21">
        <f t="shared" ca="1" si="0"/>
        <v>14</v>
      </c>
      <c r="D21">
        <f t="shared" ca="1" si="1"/>
        <v>14</v>
      </c>
      <c r="E21" t="str">
        <f t="shared" ca="1" si="2"/>
        <v>Experience in transport &amp; water concessions</v>
      </c>
      <c r="F21" t="str">
        <f t="shared" ca="1" si="3"/>
        <v>Normalised: higher=better</v>
      </c>
      <c r="G21">
        <f t="shared" ca="1" si="4"/>
        <v>62</v>
      </c>
      <c r="H21">
        <f t="shared" ca="1" si="4"/>
        <v>27</v>
      </c>
      <c r="I21">
        <f t="shared" ca="1" si="4"/>
        <v>44</v>
      </c>
      <c r="J21">
        <f t="shared" ca="1" si="4"/>
        <v>3</v>
      </c>
    </row>
    <row r="22" spans="1:10">
      <c r="A22">
        <f ca="1">tblIndicators!C16</f>
        <v>2</v>
      </c>
      <c r="B22" t="str">
        <f ca="1">tblIndicators!A16</f>
        <v>OPER05</v>
      </c>
      <c r="C22">
        <f t="shared" ca="1" si="0"/>
        <v>15</v>
      </c>
      <c r="D22">
        <f t="shared" ca="1" si="1"/>
        <v>15</v>
      </c>
      <c r="E22" t="str">
        <f t="shared" ca="1" si="2"/>
        <v>Quality of transport and water concessions</v>
      </c>
      <c r="F22" t="str">
        <f t="shared" ca="1" si="3"/>
        <v>Normalised: lower=better</v>
      </c>
      <c r="G22">
        <f t="shared" ca="1" si="4"/>
        <v>4.838709677419355</v>
      </c>
      <c r="H22">
        <f t="shared" ca="1" si="4"/>
        <v>25.925925925925924</v>
      </c>
      <c r="I22">
        <f t="shared" ca="1" si="4"/>
        <v>0</v>
      </c>
      <c r="J22">
        <f t="shared" ca="1" si="4"/>
        <v>1</v>
      </c>
    </row>
    <row r="23" spans="1:10">
      <c r="A23">
        <f ca="1">tblIndicators!C17</f>
        <v>1</v>
      </c>
      <c r="B23" t="str">
        <f ca="1">tblIndicators!A17</f>
        <v>INVT</v>
      </c>
      <c r="C23">
        <f t="shared" ca="1" si="0"/>
        <v>16</v>
      </c>
      <c r="D23">
        <f t="shared" ca="1" si="1"/>
        <v>16</v>
      </c>
      <c r="E23" t="str">
        <f t="shared" ca="1" si="2"/>
        <v>Investment climate</v>
      </c>
      <c r="F23" t="str">
        <f t="shared" ca="1" si="3"/>
        <v/>
      </c>
      <c r="G23">
        <f t="shared" ca="1" si="4"/>
        <v>65.144555625543859</v>
      </c>
      <c r="H23">
        <f t="shared" ca="1" si="4"/>
        <v>51.559684671536345</v>
      </c>
      <c r="I23">
        <f t="shared" ca="1" si="4"/>
        <v>93.031441951732361</v>
      </c>
      <c r="J23">
        <f t="shared" ca="1" si="4"/>
        <v>39.770977310673892</v>
      </c>
    </row>
    <row r="24" spans="1:10">
      <c r="A24">
        <f ca="1">tblIndicators!C18</f>
        <v>2</v>
      </c>
      <c r="B24" t="str">
        <f ca="1">tblIndicators!A18</f>
        <v>INVT01</v>
      </c>
      <c r="C24">
        <f t="shared" ca="1" si="0"/>
        <v>17</v>
      </c>
      <c r="D24">
        <f t="shared" ca="1" si="1"/>
        <v>17</v>
      </c>
      <c r="E24" t="str">
        <f t="shared" ca="1" si="2"/>
        <v>Political distortion</v>
      </c>
      <c r="F24" t="str">
        <f t="shared" ca="1" si="3"/>
        <v>Normalised: higher=better</v>
      </c>
      <c r="G24">
        <f t="shared" ca="1" si="4"/>
        <v>40.712987885642164</v>
      </c>
      <c r="H24">
        <f t="shared" ca="1" si="4"/>
        <v>35.301009490404851</v>
      </c>
      <c r="I24">
        <f t="shared" ca="1" si="4"/>
        <v>73.944616053998573</v>
      </c>
      <c r="J24">
        <f t="shared" ca="1" si="4"/>
        <v>16.300960598541245</v>
      </c>
    </row>
    <row r="25" spans="1:10">
      <c r="A25">
        <f ca="1">tblIndicators!C19</f>
        <v>2</v>
      </c>
      <c r="B25" t="str">
        <f ca="1">tblIndicators!A19</f>
        <v>INVT02</v>
      </c>
      <c r="C25">
        <f t="shared" ca="1" si="0"/>
        <v>18</v>
      </c>
      <c r="D25">
        <f t="shared" ca="1" si="1"/>
        <v>18</v>
      </c>
      <c r="E25" t="str">
        <f t="shared" ca="1" si="2"/>
        <v>Business environment</v>
      </c>
      <c r="F25" t="str">
        <f t="shared" ca="1" si="3"/>
        <v>Normalised: higher=better</v>
      </c>
      <c r="G25">
        <f t="shared" ca="1" si="4"/>
        <v>61.814425598440621</v>
      </c>
      <c r="H25">
        <f t="shared" ca="1" si="4"/>
        <v>53.125638688798539</v>
      </c>
      <c r="I25">
        <f t="shared" ca="1" si="4"/>
        <v>68.707589292777584</v>
      </c>
      <c r="J25">
        <f t="shared" ca="1" si="4"/>
        <v>42.431393175162832</v>
      </c>
    </row>
    <row r="26" spans="1:10">
      <c r="A26">
        <f ca="1">tblIndicators!C20</f>
        <v>2</v>
      </c>
      <c r="B26" t="str">
        <f ca="1">tblIndicators!A20</f>
        <v>INVT03</v>
      </c>
      <c r="C26">
        <f t="shared" ca="1" si="0"/>
        <v>19</v>
      </c>
      <c r="D26">
        <f t="shared" ca="1" si="1"/>
        <v>19</v>
      </c>
      <c r="E26" t="str">
        <f t="shared" ca="1" si="2"/>
        <v>Social attitudes towards privatisation</v>
      </c>
      <c r="F26" t="str">
        <f t="shared" ca="1" si="3"/>
        <v>Normalised: lower=better</v>
      </c>
      <c r="G26">
        <f t="shared" ca="1" si="4"/>
        <v>0.3175</v>
      </c>
      <c r="H26">
        <f t="shared" ca="1" si="4"/>
        <v>0.35694444444444445</v>
      </c>
      <c r="I26">
        <f t="shared" ca="1" si="4"/>
        <v>0.24222222222222223</v>
      </c>
      <c r="J26">
        <f t="shared" ca="1" si="4"/>
        <v>0.32433333333333331</v>
      </c>
    </row>
    <row r="27" spans="1:10">
      <c r="A27">
        <f ca="1">tblIndicators!C21</f>
        <v>1</v>
      </c>
      <c r="B27" t="str">
        <f ca="1">tblIndicators!A21</f>
        <v>FINC</v>
      </c>
      <c r="C27">
        <f t="shared" ca="1" si="0"/>
        <v>20</v>
      </c>
      <c r="D27">
        <f t="shared" ca="1" si="1"/>
        <v>20</v>
      </c>
      <c r="E27" t="str">
        <f t="shared" ca="1" si="2"/>
        <v>Financial facilities</v>
      </c>
      <c r="F27" t="str">
        <f t="shared" ca="1" si="3"/>
        <v/>
      </c>
      <c r="G27">
        <f t="shared" ca="1" si="4"/>
        <v>66.666666666666671</v>
      </c>
      <c r="H27">
        <f t="shared" ca="1" si="4"/>
        <v>20.833333333333332</v>
      </c>
      <c r="I27">
        <f t="shared" ca="1" si="4"/>
        <v>95.833333333333314</v>
      </c>
      <c r="J27">
        <f t="shared" ca="1" si="4"/>
        <v>8.3333333333333321</v>
      </c>
    </row>
    <row r="28" spans="1:10">
      <c r="A28">
        <f ca="1">tblIndicators!C22</f>
        <v>2</v>
      </c>
      <c r="B28" t="str">
        <f ca="1">tblIndicators!A22</f>
        <v>FINC01</v>
      </c>
      <c r="C28">
        <f t="shared" ca="1" si="0"/>
        <v>21</v>
      </c>
      <c r="D28">
        <f t="shared" ca="1" si="1"/>
        <v>21</v>
      </c>
      <c r="E28" t="str">
        <f t="shared" ca="1" si="2"/>
        <v>Government payment risk</v>
      </c>
      <c r="F28" t="str">
        <f t="shared" ca="1" si="3"/>
        <v>0-4, where 4=best and 0=worst</v>
      </c>
      <c r="G28">
        <f t="shared" ref="G28:J51" ca="1" si="5">IF($A28&lt;2,INDEX(scores,$C28,G$5),INDEX(data,$C28,G$5))</f>
        <v>3</v>
      </c>
      <c r="H28">
        <f t="shared" ca="1" si="5"/>
        <v>0</v>
      </c>
      <c r="I28">
        <f t="shared" ca="1" si="5"/>
        <v>4</v>
      </c>
      <c r="J28">
        <f t="shared" ca="1" si="5"/>
        <v>0</v>
      </c>
    </row>
    <row r="29" spans="1:10">
      <c r="A29">
        <f ca="1">tblIndicators!C23</f>
        <v>2</v>
      </c>
      <c r="B29" t="str">
        <f ca="1">tblIndicators!A23</f>
        <v>FINC02</v>
      </c>
      <c r="C29">
        <f t="shared" ca="1" si="0"/>
        <v>22</v>
      </c>
      <c r="D29">
        <f t="shared" ca="1" si="1"/>
        <v>22</v>
      </c>
      <c r="E29" t="str">
        <f t="shared" ca="1" si="2"/>
        <v>Capital market: private infrastructure finance</v>
      </c>
      <c r="F29" t="str">
        <f t="shared" ca="1" si="3"/>
        <v>0-4, where 4=best and 0=worst</v>
      </c>
      <c r="G29">
        <f t="shared" ca="1" si="5"/>
        <v>3</v>
      </c>
      <c r="H29">
        <f t="shared" ca="1" si="5"/>
        <v>1</v>
      </c>
      <c r="I29">
        <f t="shared" ca="1" si="5"/>
        <v>4</v>
      </c>
      <c r="J29">
        <f t="shared" ca="1" si="5"/>
        <v>0</v>
      </c>
    </row>
    <row r="30" spans="1:10">
      <c r="A30">
        <f ca="1">tblIndicators!C24</f>
        <v>2</v>
      </c>
      <c r="B30" t="str">
        <f ca="1">tblIndicators!A24</f>
        <v>FINC03</v>
      </c>
      <c r="C30">
        <f t="shared" ca="1" si="0"/>
        <v>23</v>
      </c>
      <c r="D30">
        <f t="shared" ca="1" si="1"/>
        <v>23</v>
      </c>
      <c r="E30" t="str">
        <f t="shared" ca="1" si="2"/>
        <v>Marketable debt</v>
      </c>
      <c r="F30" t="str">
        <f t="shared" ca="1" si="3"/>
        <v>0-4, where 4=best and 0=worst</v>
      </c>
      <c r="G30">
        <f t="shared" ca="1" si="5"/>
        <v>3</v>
      </c>
      <c r="H30">
        <f t="shared" ca="1" si="5"/>
        <v>3</v>
      </c>
      <c r="I30">
        <f t="shared" ca="1" si="5"/>
        <v>4</v>
      </c>
      <c r="J30">
        <f t="shared" ca="1" si="5"/>
        <v>1</v>
      </c>
    </row>
    <row r="31" spans="1:10">
      <c r="A31">
        <f ca="1">tblIndicators!C25</f>
        <v>2</v>
      </c>
      <c r="B31" t="str">
        <f ca="1">tblIndicators!A25</f>
        <v>FINC04</v>
      </c>
      <c r="C31">
        <f t="shared" ca="1" si="0"/>
        <v>24</v>
      </c>
      <c r="D31">
        <f t="shared" ca="1" si="1"/>
        <v>24</v>
      </c>
      <c r="E31" t="str">
        <f t="shared" ca="1" si="2"/>
        <v>Government support for low income users</v>
      </c>
      <c r="F31" t="str">
        <f t="shared" ca="1" si="3"/>
        <v>0-4, where 4=best and 0=worst</v>
      </c>
      <c r="G31">
        <f t="shared" ca="1" si="5"/>
        <v>1</v>
      </c>
      <c r="H31">
        <f t="shared" ca="1" si="5"/>
        <v>0</v>
      </c>
      <c r="I31">
        <f t="shared" ca="1" si="5"/>
        <v>3</v>
      </c>
      <c r="J31">
        <f t="shared" ca="1" si="5"/>
        <v>1</v>
      </c>
    </row>
    <row r="32" spans="1:10">
      <c r="A32">
        <f ca="1">tblIndicators!C26</f>
        <v>1</v>
      </c>
      <c r="B32" t="str">
        <f ca="1">tblIndicators!A26</f>
        <v>ENDX</v>
      </c>
      <c r="C32" t="e">
        <f t="shared" ca="1" si="0"/>
        <v>#N/A</v>
      </c>
      <c r="D32">
        <f t="shared" ca="1" si="1"/>
        <v>25</v>
      </c>
      <c r="E32" t="str">
        <f t="shared" ca="1" si="2"/>
        <v>END</v>
      </c>
      <c r="F32" t="str">
        <f t="shared" ca="1" si="3"/>
        <v/>
      </c>
      <c r="G32" t="e">
        <f t="shared" ca="1" si="5"/>
        <v>#N/A</v>
      </c>
      <c r="H32" t="e">
        <f t="shared" ca="1" si="5"/>
        <v>#N/A</v>
      </c>
      <c r="I32" t="e">
        <f t="shared" ca="1" si="5"/>
        <v>#N/A</v>
      </c>
      <c r="J32" t="e">
        <f t="shared" ca="1" si="5"/>
        <v>#N/A</v>
      </c>
    </row>
    <row r="33" spans="1:10">
      <c r="A33">
        <f ca="1">tblIndicators!C27</f>
        <v>0</v>
      </c>
      <c r="B33">
        <f ca="1">tblIndicators!A27</f>
        <v>0</v>
      </c>
      <c r="C33" t="e">
        <f t="shared" ca="1" si="0"/>
        <v>#N/A</v>
      </c>
      <c r="D33" t="e">
        <f t="shared" ca="1" si="1"/>
        <v>#N/A</v>
      </c>
      <c r="E33" t="e">
        <f t="shared" ca="1" si="2"/>
        <v>#N/A</v>
      </c>
      <c r="F33" t="str">
        <f t="shared" ca="1" si="3"/>
        <v/>
      </c>
      <c r="G33" t="e">
        <f t="shared" ca="1" si="5"/>
        <v>#N/A</v>
      </c>
      <c r="H33" t="e">
        <f t="shared" ca="1" si="5"/>
        <v>#N/A</v>
      </c>
      <c r="I33" t="e">
        <f t="shared" ca="1" si="5"/>
        <v>#N/A</v>
      </c>
      <c r="J33" t="e">
        <f t="shared" ca="1" si="5"/>
        <v>#N/A</v>
      </c>
    </row>
    <row r="34" spans="1:10">
      <c r="A34">
        <f ca="1">tblIndicators!C28</f>
        <v>2</v>
      </c>
      <c r="B34" t="str">
        <f ca="1">tblIndicators!A28</f>
        <v>ENDX03</v>
      </c>
      <c r="C34" t="e">
        <f t="shared" ca="1" si="0"/>
        <v>#N/A</v>
      </c>
      <c r="D34">
        <f t="shared" ca="1" si="1"/>
        <v>27</v>
      </c>
      <c r="E34" t="str">
        <f t="shared" ca="1" si="2"/>
        <v>Spare</v>
      </c>
      <c r="F34" t="str">
        <f t="shared" ca="1" si="3"/>
        <v>0-4, where 4=best and 0=worst</v>
      </c>
      <c r="G34" t="e">
        <f t="shared" ca="1" si="5"/>
        <v>#N/A</v>
      </c>
      <c r="H34" t="e">
        <f t="shared" ca="1" si="5"/>
        <v>#N/A</v>
      </c>
      <c r="I34" t="e">
        <f t="shared" ca="1" si="5"/>
        <v>#N/A</v>
      </c>
      <c r="J34" t="e">
        <f t="shared" ca="1" si="5"/>
        <v>#N/A</v>
      </c>
    </row>
    <row r="35" spans="1:10">
      <c r="A35">
        <f ca="1">tblIndicators!C29</f>
        <v>1</v>
      </c>
      <c r="B35" t="str">
        <f ca="1">tblIndicators!A29</f>
        <v>DEPE</v>
      </c>
      <c r="C35" t="e">
        <f t="shared" ca="1" si="0"/>
        <v>#N/A</v>
      </c>
      <c r="D35">
        <f t="shared" ca="1" si="1"/>
        <v>28</v>
      </c>
      <c r="E35" t="str">
        <f t="shared" ca="1" si="2"/>
        <v>Dependent variables</v>
      </c>
      <c r="F35" t="str">
        <f t="shared" ca="1" si="3"/>
        <v/>
      </c>
      <c r="G35" t="e">
        <f t="shared" ca="1" si="5"/>
        <v>#N/A</v>
      </c>
      <c r="H35" t="e">
        <f t="shared" ca="1" si="5"/>
        <v>#N/A</v>
      </c>
      <c r="I35" t="e">
        <f t="shared" ca="1" si="5"/>
        <v>#N/A</v>
      </c>
      <c r="J35" t="e">
        <f t="shared" ca="1" si="5"/>
        <v>#N/A</v>
      </c>
    </row>
    <row r="36" spans="1:10">
      <c r="A36">
        <f ca="1">tblIndicators!C30</f>
        <v>2</v>
      </c>
      <c r="B36" t="str">
        <f ca="1">tblIndicators!A30</f>
        <v>DEPE01</v>
      </c>
      <c r="C36" t="e">
        <f t="shared" ca="1" si="0"/>
        <v>#N/A</v>
      </c>
      <c r="D36">
        <f t="shared" ca="1" si="1"/>
        <v>29</v>
      </c>
      <c r="E36" t="str">
        <f t="shared" ca="1" si="2"/>
        <v>Cancelled / distressed projects (percent of projects)</v>
      </c>
      <c r="F36" t="str">
        <f t="shared" ca="1" si="3"/>
        <v>% of projects cancelled from 1990-2007</v>
      </c>
      <c r="G36" t="e">
        <f t="shared" ca="1" si="5"/>
        <v>#N/A</v>
      </c>
      <c r="H36" t="e">
        <f t="shared" ca="1" si="5"/>
        <v>#N/A</v>
      </c>
      <c r="I36" t="e">
        <f t="shared" ca="1" si="5"/>
        <v>#N/A</v>
      </c>
      <c r="J36" t="e">
        <f t="shared" ca="1" si="5"/>
        <v>#N/A</v>
      </c>
    </row>
    <row r="37" spans="1:10">
      <c r="A37">
        <f ca="1">tblIndicators!C31</f>
        <v>2</v>
      </c>
      <c r="B37" t="str">
        <f ca="1">tblIndicators!A31</f>
        <v>DEPE02</v>
      </c>
      <c r="C37" t="e">
        <f t="shared" ca="1" si="0"/>
        <v>#N/A</v>
      </c>
      <c r="D37">
        <f t="shared" ca="1" si="1"/>
        <v>30</v>
      </c>
      <c r="E37" t="str">
        <f t="shared" ca="1" si="2"/>
        <v>Cancelled / distressed projects (percent of investment)</v>
      </c>
      <c r="F37" t="str">
        <f t="shared" ca="1" si="3"/>
        <v>% of investment cancelled from 1990-2007</v>
      </c>
      <c r="G37" t="e">
        <f t="shared" ca="1" si="5"/>
        <v>#N/A</v>
      </c>
      <c r="H37" t="e">
        <f t="shared" ca="1" si="5"/>
        <v>#N/A</v>
      </c>
      <c r="I37" t="e">
        <f t="shared" ca="1" si="5"/>
        <v>#N/A</v>
      </c>
      <c r="J37" t="e">
        <f t="shared" ca="1" si="5"/>
        <v>#N/A</v>
      </c>
    </row>
    <row r="38" spans="1:10">
      <c r="A38">
        <f ca="1">tblIndicators!C32</f>
        <v>2</v>
      </c>
      <c r="B38" t="str">
        <f ca="1">tblIndicators!A32</f>
        <v>DEPE03</v>
      </c>
      <c r="C38" t="e">
        <f t="shared" ca="1" si="0"/>
        <v>#N/A</v>
      </c>
      <c r="D38">
        <f t="shared" ca="1" si="1"/>
        <v>31</v>
      </c>
      <c r="E38" t="str">
        <f t="shared" ca="1" si="2"/>
        <v xml:space="preserve">2007 project investment </v>
      </c>
      <c r="F38" t="str">
        <f t="shared" ca="1" si="3"/>
        <v>US$ mn; represents cumulative investment</v>
      </c>
      <c r="G38" t="e">
        <f t="shared" ca="1" si="5"/>
        <v>#N/A</v>
      </c>
      <c r="H38" t="e">
        <f t="shared" ca="1" si="5"/>
        <v>#N/A</v>
      </c>
      <c r="I38" t="e">
        <f t="shared" ca="1" si="5"/>
        <v>#N/A</v>
      </c>
      <c r="J38" t="e">
        <f t="shared" ca="1" si="5"/>
        <v>#N/A</v>
      </c>
    </row>
    <row r="39" spans="1:10">
      <c r="A39">
        <f ca="1">tblIndicators!C33</f>
        <v>2</v>
      </c>
      <c r="B39" t="str">
        <f ca="1">tblIndicators!A33</f>
        <v>DEPE04</v>
      </c>
      <c r="C39" t="e">
        <f t="shared" ca="1" si="0"/>
        <v>#N/A</v>
      </c>
      <c r="D39">
        <f t="shared" ca="1" si="1"/>
        <v>32</v>
      </c>
      <c r="E39" t="str">
        <f t="shared" ca="1" si="2"/>
        <v xml:space="preserve">Concessions' share of infrastructure PPPs </v>
      </c>
      <c r="F39" t="str">
        <f t="shared" ca="1" si="3"/>
        <v>% of total PPPs from 1990-2007</v>
      </c>
      <c r="G39" t="e">
        <f t="shared" ca="1" si="5"/>
        <v>#N/A</v>
      </c>
      <c r="H39" t="e">
        <f t="shared" ca="1" si="5"/>
        <v>#N/A</v>
      </c>
      <c r="I39" t="e">
        <f t="shared" ca="1" si="5"/>
        <v>#N/A</v>
      </c>
      <c r="J39" t="e">
        <f t="shared" ca="1" si="5"/>
        <v>#N/A</v>
      </c>
    </row>
    <row r="40" spans="1:10">
      <c r="A40">
        <f ca="1">tblIndicators!C34</f>
        <v>1</v>
      </c>
      <c r="B40" t="str">
        <f ca="1">tblIndicators!A34</f>
        <v>BACK</v>
      </c>
      <c r="C40" t="e">
        <f t="shared" ca="1" si="0"/>
        <v>#N/A</v>
      </c>
      <c r="D40">
        <f t="shared" ca="1" si="1"/>
        <v>33</v>
      </c>
      <c r="E40" t="str">
        <f t="shared" ca="1" si="2"/>
        <v>Background data</v>
      </c>
      <c r="F40" t="str">
        <f t="shared" ca="1" si="3"/>
        <v/>
      </c>
      <c r="G40" t="e">
        <f t="shared" ca="1" si="5"/>
        <v>#N/A</v>
      </c>
      <c r="H40" t="e">
        <f t="shared" ca="1" si="5"/>
        <v>#N/A</v>
      </c>
      <c r="I40" t="e">
        <f t="shared" ca="1" si="5"/>
        <v>#N/A</v>
      </c>
      <c r="J40" t="e">
        <f t="shared" ca="1" si="5"/>
        <v>#N/A</v>
      </c>
    </row>
    <row r="41" spans="1:10">
      <c r="A41">
        <f ca="1">tblIndicators!C35</f>
        <v>2</v>
      </c>
      <c r="B41" t="str">
        <f ca="1">tblIndicators!A35</f>
        <v>BACK01</v>
      </c>
      <c r="C41" t="e">
        <f t="shared" ca="1" si="0"/>
        <v>#N/A</v>
      </c>
      <c r="D41">
        <f t="shared" ca="1" si="1"/>
        <v>34</v>
      </c>
      <c r="E41" t="str">
        <f t="shared" ca="1" si="2"/>
        <v>Fairness of judicial process</v>
      </c>
      <c r="F41" t="str">
        <f t="shared" ca="1" si="3"/>
        <v>0-4, where 0= best and 4 = worst</v>
      </c>
      <c r="G41" t="e">
        <f t="shared" ca="1" si="5"/>
        <v>#N/A</v>
      </c>
      <c r="H41" t="e">
        <f t="shared" ca="1" si="5"/>
        <v>#N/A</v>
      </c>
      <c r="I41" t="e">
        <f t="shared" ca="1" si="5"/>
        <v>#N/A</v>
      </c>
      <c r="J41" t="e">
        <f t="shared" ca="1" si="5"/>
        <v>#N/A</v>
      </c>
    </row>
    <row r="42" spans="1:10">
      <c r="A42">
        <f ca="1">tblIndicators!C36</f>
        <v>2</v>
      </c>
      <c r="B42" t="str">
        <f ca="1">tblIndicators!A36</f>
        <v>BACK02</v>
      </c>
      <c r="C42" t="e">
        <f t="shared" ca="1" si="0"/>
        <v>#N/A</v>
      </c>
      <c r="D42">
        <f t="shared" ca="1" si="1"/>
        <v>35</v>
      </c>
      <c r="E42" t="str">
        <f t="shared" ca="1" si="2"/>
        <v>Speediness of judicial process</v>
      </c>
      <c r="F42" t="str">
        <f t="shared" ca="1" si="3"/>
        <v>0-4, where 0= best and 4 = worst</v>
      </c>
      <c r="G42" t="e">
        <f t="shared" ca="1" si="5"/>
        <v>#N/A</v>
      </c>
      <c r="H42" t="e">
        <f t="shared" ca="1" si="5"/>
        <v>#N/A</v>
      </c>
      <c r="I42" t="e">
        <f t="shared" ca="1" si="5"/>
        <v>#N/A</v>
      </c>
      <c r="J42" t="e">
        <f t="shared" ca="1" si="5"/>
        <v>#N/A</v>
      </c>
    </row>
    <row r="43" spans="1:10">
      <c r="A43">
        <f ca="1">tblIndicators!C37</f>
        <v>2</v>
      </c>
      <c r="B43" t="str">
        <f ca="1">tblIndicators!A37</f>
        <v>BACK03</v>
      </c>
      <c r="C43" t="e">
        <f t="shared" ca="1" si="0"/>
        <v>#N/A</v>
      </c>
      <c r="D43">
        <f t="shared" ca="1" si="1"/>
        <v>36</v>
      </c>
      <c r="E43" t="str">
        <f t="shared" ca="1" si="2"/>
        <v>Investor protection index</v>
      </c>
      <c r="F43" t="str">
        <f t="shared" ca="1" si="3"/>
        <v>Average of the World Bank's disclosure, director liability and shareholder suits indices (0-10 where 10=best)</v>
      </c>
      <c r="G43" t="e">
        <f t="shared" ca="1" si="5"/>
        <v>#N/A</v>
      </c>
      <c r="H43" t="e">
        <f t="shared" ca="1" si="5"/>
        <v>#N/A</v>
      </c>
      <c r="I43" t="e">
        <f t="shared" ca="1" si="5"/>
        <v>#N/A</v>
      </c>
      <c r="J43" t="e">
        <f t="shared" ca="1" si="5"/>
        <v>#N/A</v>
      </c>
    </row>
    <row r="44" spans="1:10">
      <c r="A44">
        <f ca="1">tblIndicators!C38</f>
        <v>2</v>
      </c>
      <c r="B44" t="str">
        <f ca="1">tblIndicators!A38</f>
        <v>BACK04</v>
      </c>
      <c r="C44" t="e">
        <f t="shared" ca="1" si="0"/>
        <v>#N/A</v>
      </c>
      <c r="D44">
        <f t="shared" ca="1" si="1"/>
        <v>37</v>
      </c>
      <c r="E44" t="str">
        <f t="shared" ca="1" si="2"/>
        <v>Average time to complete a bankruptcy procedure</v>
      </c>
      <c r="F44" t="str">
        <f t="shared" ca="1" si="3"/>
        <v>Time in years</v>
      </c>
      <c r="G44" t="e">
        <f t="shared" ca="1" si="5"/>
        <v>#N/A</v>
      </c>
      <c r="H44" t="e">
        <f t="shared" ca="1" si="5"/>
        <v>#N/A</v>
      </c>
      <c r="I44" t="e">
        <f t="shared" ca="1" si="5"/>
        <v>#N/A</v>
      </c>
      <c r="J44" t="e">
        <f t="shared" ca="1" si="5"/>
        <v>#N/A</v>
      </c>
    </row>
    <row r="45" spans="1:10">
      <c r="A45">
        <f ca="1">tblIndicators!C39</f>
        <v>2</v>
      </c>
      <c r="B45" t="str">
        <f ca="1">tblIndicators!A39</f>
        <v>BACK05</v>
      </c>
      <c r="C45" t="e">
        <f t="shared" ca="1" si="0"/>
        <v>#N/A</v>
      </c>
      <c r="D45">
        <f t="shared" ca="1" si="1"/>
        <v>38</v>
      </c>
      <c r="E45" t="str">
        <f t="shared" ca="1" si="2"/>
        <v>Cost recovery after bankruptcy</v>
      </c>
      <c r="F45" t="str">
        <f t="shared" ca="1" si="3"/>
        <v>Cents on the dollar claimants recover from an insolvent firm</v>
      </c>
      <c r="G45" t="e">
        <f t="shared" ca="1" si="5"/>
        <v>#N/A</v>
      </c>
      <c r="H45" t="e">
        <f t="shared" ca="1" si="5"/>
        <v>#N/A</v>
      </c>
      <c r="I45" t="e">
        <f t="shared" ca="1" si="5"/>
        <v>#N/A</v>
      </c>
      <c r="J45" t="e">
        <f t="shared" ca="1" si="5"/>
        <v>#N/A</v>
      </c>
    </row>
    <row r="46" spans="1:10">
      <c r="A46">
        <f ca="1">tblIndicators!C40</f>
        <v>2</v>
      </c>
      <c r="B46" t="str">
        <f ca="1">tblIndicators!A40</f>
        <v>BACK06</v>
      </c>
      <c r="C46" t="e">
        <f t="shared" ca="1" si="0"/>
        <v>#N/A</v>
      </c>
      <c r="D46">
        <f t="shared" ca="1" si="1"/>
        <v>39</v>
      </c>
      <c r="E46" t="str">
        <f t="shared" ca="1" si="2"/>
        <v>Time to settle a dispute</v>
      </c>
      <c r="F46" t="str">
        <f t="shared" ca="1" si="3"/>
        <v>Time in days</v>
      </c>
      <c r="G46" t="e">
        <f t="shared" ca="1" si="5"/>
        <v>#N/A</v>
      </c>
      <c r="H46" t="e">
        <f t="shared" ca="1" si="5"/>
        <v>#N/A</v>
      </c>
      <c r="I46" t="e">
        <f t="shared" ca="1" si="5"/>
        <v>#N/A</v>
      </c>
      <c r="J46" t="e">
        <f t="shared" ca="1" si="5"/>
        <v>#N/A</v>
      </c>
    </row>
    <row r="47" spans="1:10">
      <c r="A47">
        <f ca="1">tblIndicators!C41</f>
        <v>2</v>
      </c>
      <c r="B47" t="str">
        <f ca="1">tblIndicators!A41</f>
        <v>BACK07</v>
      </c>
      <c r="C47" t="e">
        <f t="shared" ca="1" si="0"/>
        <v>#N/A</v>
      </c>
      <c r="D47">
        <f t="shared" ca="1" si="1"/>
        <v>40</v>
      </c>
      <c r="E47" t="str">
        <f t="shared" ca="1" si="2"/>
        <v>Exchange rate volatility</v>
      </c>
      <c r="F47" t="str">
        <f t="shared" ca="1" si="3"/>
        <v>0-4, where 0= best and 4 = worst</v>
      </c>
      <c r="G47" t="e">
        <f t="shared" ca="1" si="5"/>
        <v>#N/A</v>
      </c>
      <c r="H47" t="e">
        <f t="shared" ca="1" si="5"/>
        <v>#N/A</v>
      </c>
      <c r="I47" t="e">
        <f t="shared" ca="1" si="5"/>
        <v>#N/A</v>
      </c>
      <c r="J47" t="e">
        <f t="shared" ca="1" si="5"/>
        <v>#N/A</v>
      </c>
    </row>
    <row r="48" spans="1:10">
      <c r="A48">
        <f ca="1">tblIndicators!C42</f>
        <v>2</v>
      </c>
      <c r="B48" t="str">
        <f ca="1">tblIndicators!A42</f>
        <v>BACK08</v>
      </c>
      <c r="C48" t="e">
        <f t="shared" ca="1" si="0"/>
        <v>#N/A</v>
      </c>
      <c r="D48">
        <f t="shared" ca="1" si="1"/>
        <v>41</v>
      </c>
      <c r="E48" t="str">
        <f t="shared" ca="1" si="2"/>
        <v>Currency devaluation risk</v>
      </c>
      <c r="F48" t="str">
        <f t="shared" ca="1" si="3"/>
        <v>0-4, where 0= best and 4 = worst</v>
      </c>
      <c r="G48" t="e">
        <f t="shared" ca="1" si="5"/>
        <v>#N/A</v>
      </c>
      <c r="H48" t="e">
        <f t="shared" ca="1" si="5"/>
        <v>#N/A</v>
      </c>
      <c r="I48" t="e">
        <f t="shared" ca="1" si="5"/>
        <v>#N/A</v>
      </c>
      <c r="J48" t="e">
        <f t="shared" ca="1" si="5"/>
        <v>#N/A</v>
      </c>
    </row>
    <row r="49" spans="1:10">
      <c r="A49">
        <f ca="1">tblIndicators!C43</f>
        <v>2</v>
      </c>
      <c r="B49" t="str">
        <f ca="1">tblIndicators!A43</f>
        <v>BACK09</v>
      </c>
      <c r="C49" t="e">
        <f t="shared" ca="1" si="0"/>
        <v>#N/A</v>
      </c>
      <c r="D49">
        <f t="shared" ca="1" si="1"/>
        <v>42</v>
      </c>
      <c r="E49" t="str">
        <f t="shared" ca="1" si="2"/>
        <v>Foreign investors' access to local capital markets</v>
      </c>
      <c r="F49" t="str">
        <f t="shared" ca="1" si="3"/>
        <v>0-4, where 0= best and 4 = worst</v>
      </c>
      <c r="G49" t="e">
        <f t="shared" ca="1" si="5"/>
        <v>#N/A</v>
      </c>
      <c r="H49" t="e">
        <f t="shared" ca="1" si="5"/>
        <v>#N/A</v>
      </c>
      <c r="I49" t="e">
        <f t="shared" ca="1" si="5"/>
        <v>#N/A</v>
      </c>
      <c r="J49" t="e">
        <f t="shared" ca="1" si="5"/>
        <v>#N/A</v>
      </c>
    </row>
    <row r="50" spans="1:10">
      <c r="A50">
        <f ca="1">tblIndicators!C44</f>
        <v>2</v>
      </c>
      <c r="B50" t="str">
        <f ca="1">tblIndicators!A44</f>
        <v>BACK10</v>
      </c>
      <c r="C50" t="e">
        <f t="shared" ca="1" si="0"/>
        <v>#N/A</v>
      </c>
      <c r="D50">
        <f t="shared" ca="1" si="1"/>
        <v>43</v>
      </c>
      <c r="E50" t="str">
        <f t="shared" ca="1" si="2"/>
        <v>Marketable debt</v>
      </c>
      <c r="F50" t="str">
        <f t="shared" ca="1" si="3"/>
        <v>0-4, where 0= best and 4 = worst</v>
      </c>
      <c r="G50" t="e">
        <f t="shared" ca="1" si="5"/>
        <v>#N/A</v>
      </c>
      <c r="H50" t="e">
        <f t="shared" ca="1" si="5"/>
        <v>#N/A</v>
      </c>
      <c r="I50" t="e">
        <f t="shared" ca="1" si="5"/>
        <v>#N/A</v>
      </c>
      <c r="J50" t="e">
        <f t="shared" ca="1" si="5"/>
        <v>#N/A</v>
      </c>
    </row>
    <row r="51" spans="1:10">
      <c r="A51">
        <f ca="1">tblIndicators!C45</f>
        <v>2</v>
      </c>
      <c r="B51" t="str">
        <f ca="1">tblIndicators!A45</f>
        <v>BACK11</v>
      </c>
      <c r="C51" t="e">
        <f t="shared" ca="1" si="0"/>
        <v>#N/A</v>
      </c>
      <c r="D51">
        <f t="shared" ca="1" si="1"/>
        <v>44</v>
      </c>
      <c r="E51" t="str">
        <f t="shared" ca="1" si="2"/>
        <v>Hostility to foreigners/private property</v>
      </c>
      <c r="F51" t="str">
        <f t="shared" ca="1" si="3"/>
        <v>0-4, where 0= best and 4 = worst</v>
      </c>
      <c r="G51" t="e">
        <f t="shared" ca="1" si="5"/>
        <v>#N/A</v>
      </c>
      <c r="H51" t="e">
        <f t="shared" ca="1" si="5"/>
        <v>#N/A</v>
      </c>
      <c r="I51" t="e">
        <f t="shared" ca="1" si="5"/>
        <v>#N/A</v>
      </c>
      <c r="J51" t="e">
        <f t="shared" ca="1" si="5"/>
        <v>#N/A</v>
      </c>
    </row>
  </sheetData>
  <phoneticPr fontId="60" type="noConversion"/>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sheetPr codeName="Sheet26"/>
  <dimension ref="A1:J35"/>
  <sheetViews>
    <sheetView showGridLines="0" zoomScale="80" zoomScaleNormal="80" workbookViewId="0">
      <pane ySplit="1" topLeftCell="A2" activePane="bottomLeft" state="frozen"/>
      <selection pane="bottomLeft" activeCell="G45" sqref="G45"/>
    </sheetView>
  </sheetViews>
  <sheetFormatPr defaultRowHeight="12.75"/>
  <cols>
    <col min="1" max="1" width="2.140625" customWidth="1"/>
    <col min="2" max="2" width="2.7109375" customWidth="1"/>
    <col min="3" max="3" width="3.42578125" customWidth="1"/>
    <col min="4" max="4" width="33.7109375" customWidth="1"/>
    <col min="5" max="5" width="8.85546875" customWidth="1"/>
    <col min="6" max="6" width="10.28515625" customWidth="1"/>
    <col min="7" max="7" width="2.140625" customWidth="1"/>
    <col min="8" max="8" width="26.7109375" customWidth="1"/>
    <col min="9" max="9" width="5.7109375" customWidth="1"/>
    <col min="10" max="10" width="26.28515625" customWidth="1"/>
  </cols>
  <sheetData>
    <row r="1" spans="1:10" s="74" customFormat="1" ht="21" customHeight="1">
      <c r="A1" s="74" t="s">
        <v>311</v>
      </c>
    </row>
    <row r="2" spans="1:10" s="79" customFormat="1" ht="1.5" customHeight="1">
      <c r="A2" s="87"/>
      <c r="B2" s="87"/>
    </row>
    <row r="3" spans="1:10" ht="23.25">
      <c r="C3" s="77"/>
      <c r="D3" s="77" t="str">
        <f ca="1">uxb_works!B22</f>
        <v>Mexico</v>
      </c>
    </row>
    <row r="4" spans="1:10">
      <c r="D4" s="76"/>
    </row>
    <row r="6" spans="1:10" s="65" customFormat="1">
      <c r="D6" s="69" t="s">
        <v>657</v>
      </c>
      <c r="E6" s="69"/>
      <c r="F6" s="69"/>
      <c r="G6" s="69"/>
      <c r="H6" s="70" t="s">
        <v>658</v>
      </c>
      <c r="I6" s="70"/>
      <c r="J6" s="71" t="s">
        <v>659</v>
      </c>
    </row>
    <row r="7" spans="1:10" ht="14.25" customHeight="1">
      <c r="B7">
        <f ca="1">uxb_profile!Y19</f>
        <v>1</v>
      </c>
      <c r="D7" s="67" t="str">
        <f ca="1">uxb_profile!Z19</f>
        <v>Legal and regulatory framework</v>
      </c>
      <c r="E7" s="67"/>
      <c r="F7" s="67"/>
      <c r="G7" s="67"/>
      <c r="H7" s="67" t="str">
        <f ca="1">uxb_profile!AA19</f>
        <v/>
      </c>
      <c r="I7" s="67"/>
      <c r="J7" s="67" t="str">
        <f ca="1">uxb_profile!AB19</f>
        <v/>
      </c>
    </row>
    <row r="8" spans="1:10">
      <c r="B8">
        <f ca="1">uxb_profile!Y20</f>
        <v>1</v>
      </c>
      <c r="D8" s="67" t="str">
        <f ca="1">uxb_profile!Z20</f>
        <v/>
      </c>
      <c r="E8" s="67"/>
      <c r="F8" s="67"/>
      <c r="G8" s="67"/>
      <c r="H8" s="67" t="str">
        <f ca="1">uxb_profile!AA20</f>
        <v/>
      </c>
      <c r="I8" s="67"/>
      <c r="J8" s="67" t="str">
        <f ca="1">uxb_profile!AB20</f>
        <v/>
      </c>
    </row>
    <row r="9" spans="1:10">
      <c r="B9">
        <f ca="1">uxb_profile!Y21</f>
        <v>1</v>
      </c>
      <c r="D9" s="67" t="str">
        <f ca="1">uxb_profile!Z21</f>
        <v/>
      </c>
      <c r="E9" s="67"/>
      <c r="F9" s="67"/>
      <c r="G9" s="67"/>
      <c r="H9" s="67" t="str">
        <f ca="1">uxb_profile!AA21</f>
        <v/>
      </c>
      <c r="I9" s="67"/>
      <c r="J9" s="67" t="str">
        <f ca="1">uxb_profile!AB21</f>
        <v/>
      </c>
    </row>
    <row r="10" spans="1:10">
      <c r="B10">
        <f ca="1">uxb_profile!Y22</f>
        <v>1</v>
      </c>
      <c r="D10" s="67" t="str">
        <f ca="1">uxb_profile!Z22</f>
        <v/>
      </c>
      <c r="E10" s="67"/>
      <c r="F10" s="67"/>
      <c r="G10" s="67"/>
      <c r="H10" s="67" t="str">
        <f ca="1">uxb_profile!AA22</f>
        <v/>
      </c>
      <c r="I10" s="67"/>
      <c r="J10" s="67" t="str">
        <f ca="1">uxb_profile!AB22</f>
        <v/>
      </c>
    </row>
    <row r="11" spans="1:10">
      <c r="B11">
        <f ca="1">uxb_profile!Y23</f>
        <v>1</v>
      </c>
      <c r="D11" s="67" t="str">
        <f ca="1">uxb_profile!Z23</f>
        <v/>
      </c>
      <c r="E11" s="67"/>
      <c r="F11" s="67"/>
      <c r="G11" s="67"/>
      <c r="H11" s="67" t="str">
        <f ca="1">uxb_profile!AA23</f>
        <v/>
      </c>
      <c r="I11" s="67"/>
      <c r="J11" s="67" t="str">
        <f ca="1">uxb_profile!AB23</f>
        <v/>
      </c>
    </row>
    <row r="12" spans="1:10">
      <c r="B12">
        <f ca="1">uxb_profile!Y24</f>
        <v>1</v>
      </c>
      <c r="D12" s="67" t="str">
        <f ca="1">uxb_profile!Z24</f>
        <v/>
      </c>
      <c r="E12" s="67"/>
      <c r="F12" s="67"/>
      <c r="G12" s="67"/>
      <c r="H12" s="67" t="str">
        <f ca="1">uxb_profile!AA24</f>
        <v/>
      </c>
      <c r="I12" s="67"/>
      <c r="J12" s="67" t="str">
        <f ca="1">uxb_profile!AB24</f>
        <v/>
      </c>
    </row>
    <row r="13" spans="1:10">
      <c r="B13">
        <f ca="1">uxb_profile!Y25</f>
        <v>0</v>
      </c>
      <c r="D13" s="67" t="str">
        <f ca="1">uxb_profile!Z25</f>
        <v/>
      </c>
      <c r="E13" s="67"/>
      <c r="F13" s="67"/>
      <c r="G13" s="67"/>
      <c r="H13" s="67" t="str">
        <f ca="1">uxb_profile!AA25</f>
        <v/>
      </c>
      <c r="I13" s="67"/>
      <c r="J13" s="67" t="str">
        <f ca="1">uxb_profile!AB25</f>
        <v/>
      </c>
    </row>
    <row r="14" spans="1:10">
      <c r="B14">
        <f ca="1">uxb_profile!Y26</f>
        <v>2</v>
      </c>
      <c r="D14" s="67" t="str">
        <f ca="1">uxb_profile!Z26</f>
        <v/>
      </c>
      <c r="E14" s="67"/>
      <c r="F14" s="67"/>
      <c r="G14" s="67"/>
      <c r="H14" s="67" t="str">
        <f ca="1">uxb_profile!AA26</f>
        <v/>
      </c>
      <c r="I14" s="67"/>
      <c r="J14" s="67" t="str">
        <f ca="1">uxb_profile!AB26</f>
        <v/>
      </c>
    </row>
    <row r="15" spans="1:10">
      <c r="B15">
        <f ca="1">uxb_profile!Y27</f>
        <v>2</v>
      </c>
      <c r="D15" s="67" t="str">
        <f ca="1">uxb_profile!Z27</f>
        <v/>
      </c>
      <c r="E15" s="67"/>
      <c r="F15" s="67"/>
      <c r="G15" s="67"/>
      <c r="H15" s="67" t="str">
        <f ca="1">uxb_profile!AA27</f>
        <v/>
      </c>
      <c r="I15" s="67"/>
      <c r="J15" s="67" t="str">
        <f ca="1">uxb_profile!AB27</f>
        <v/>
      </c>
    </row>
    <row r="16" spans="1:10">
      <c r="B16">
        <f ca="1">uxb_profile!Y28</f>
        <v>2</v>
      </c>
      <c r="D16" s="67" t="str">
        <f ca="1">uxb_profile!Z28</f>
        <v/>
      </c>
      <c r="E16" s="67"/>
      <c r="F16" s="67"/>
      <c r="G16" s="67"/>
      <c r="H16" s="67" t="str">
        <f ca="1">uxb_profile!AA28</f>
        <v/>
      </c>
      <c r="I16" s="67"/>
      <c r="J16" s="67" t="str">
        <f ca="1">uxb_profile!AB28</f>
        <v/>
      </c>
    </row>
    <row r="17" spans="2:10">
      <c r="B17">
        <f ca="1">uxb_profile!Y29</f>
        <v>2</v>
      </c>
      <c r="D17" s="67" t="str">
        <f ca="1">uxb_profile!Z29</f>
        <v/>
      </c>
      <c r="E17" s="67"/>
      <c r="F17" s="67"/>
      <c r="G17" s="67"/>
      <c r="H17" s="67" t="str">
        <f ca="1">uxb_profile!AA29</f>
        <v/>
      </c>
      <c r="I17" s="67"/>
      <c r="J17" s="67" t="str">
        <f ca="1">uxb_profile!AB29</f>
        <v/>
      </c>
    </row>
    <row r="18" spans="2:10">
      <c r="B18">
        <f ca="1">uxb_profile!Y30</f>
        <v>2</v>
      </c>
      <c r="D18" s="67" t="str">
        <f ca="1">uxb_profile!Z30</f>
        <v/>
      </c>
      <c r="E18" s="67"/>
      <c r="F18" s="67"/>
      <c r="G18" s="67"/>
      <c r="H18" s="67" t="str">
        <f ca="1">uxb_profile!AA30</f>
        <v/>
      </c>
      <c r="I18" s="67"/>
      <c r="J18" s="67" t="str">
        <f ca="1">uxb_profile!AB30</f>
        <v/>
      </c>
    </row>
    <row r="19" spans="2:10">
      <c r="B19">
        <f ca="1">uxb_profile!Y31</f>
        <v>2</v>
      </c>
      <c r="D19" s="67" t="str">
        <f ca="1">uxb_profile!Z31</f>
        <v/>
      </c>
      <c r="E19" s="67"/>
      <c r="F19" s="67"/>
      <c r="G19" s="67"/>
      <c r="H19" s="67" t="str">
        <f ca="1">uxb_profile!AA31</f>
        <v/>
      </c>
      <c r="I19" s="67"/>
      <c r="J19" s="67" t="str">
        <f ca="1">uxb_profile!AB31</f>
        <v/>
      </c>
    </row>
    <row r="20" spans="2:10">
      <c r="B20">
        <f ca="1">uxb_profile!Y32</f>
        <v>2</v>
      </c>
      <c r="D20" s="67" t="str">
        <f ca="1">uxb_profile!Z32</f>
        <v/>
      </c>
      <c r="E20" s="67"/>
      <c r="F20" s="67"/>
      <c r="G20" s="67"/>
      <c r="H20" s="67" t="str">
        <f ca="1">uxb_profile!AA32</f>
        <v/>
      </c>
      <c r="I20" s="67"/>
      <c r="J20" s="67" t="str">
        <f ca="1">uxb_profile!AB32</f>
        <v/>
      </c>
    </row>
    <row r="21" spans="2:10">
      <c r="B21">
        <f ca="1">uxb_profile!Y33</f>
        <v>2</v>
      </c>
      <c r="D21" s="67" t="str">
        <f ca="1">uxb_profile!Z33</f>
        <v/>
      </c>
      <c r="E21" s="67"/>
      <c r="F21" s="67"/>
      <c r="G21" s="67"/>
      <c r="H21" s="67" t="str">
        <f ca="1">uxb_profile!AA33</f>
        <v/>
      </c>
      <c r="I21" s="67"/>
      <c r="J21" s="67" t="str">
        <f ca="1">uxb_profile!AB33</f>
        <v/>
      </c>
    </row>
    <row r="22" spans="2:10">
      <c r="B22">
        <f ca="1">uxb_profile!Y34</f>
        <v>2</v>
      </c>
      <c r="D22" s="67" t="str">
        <f ca="1">uxb_profile!Z34</f>
        <v/>
      </c>
      <c r="E22" s="67"/>
      <c r="F22" s="67"/>
      <c r="G22" s="67"/>
      <c r="H22" s="67" t="str">
        <f ca="1">uxb_profile!AA34</f>
        <v/>
      </c>
      <c r="I22" s="67"/>
      <c r="J22" s="67" t="str">
        <f ca="1">uxb_profile!AB34</f>
        <v/>
      </c>
    </row>
    <row r="23" spans="2:10">
      <c r="B23">
        <f ca="1">uxb_profile!Y35</f>
        <v>2</v>
      </c>
      <c r="D23" s="67" t="str">
        <f ca="1">uxb_profile!Z35</f>
        <v/>
      </c>
      <c r="E23" s="67"/>
      <c r="F23" s="67"/>
      <c r="G23" s="67"/>
      <c r="H23" s="67" t="str">
        <f ca="1">uxb_profile!AA35</f>
        <v/>
      </c>
      <c r="I23" s="67"/>
      <c r="J23" s="67" t="str">
        <f ca="1">uxb_profile!AB35</f>
        <v/>
      </c>
    </row>
    <row r="24" spans="2:10">
      <c r="B24">
        <f ca="1">uxb_profile!Y36</f>
        <v>2</v>
      </c>
      <c r="D24" s="67" t="str">
        <f ca="1">uxb_profile!Z36</f>
        <v/>
      </c>
      <c r="E24" s="67"/>
      <c r="F24" s="67"/>
      <c r="G24" s="67"/>
      <c r="H24" s="67" t="str">
        <f ca="1">uxb_profile!AA36</f>
        <v/>
      </c>
      <c r="I24" s="67"/>
      <c r="J24" s="67" t="str">
        <f ca="1">uxb_profile!AB36</f>
        <v/>
      </c>
    </row>
    <row r="25" spans="2:10">
      <c r="B25">
        <f ca="1">uxb_profile!Y37</f>
        <v>2</v>
      </c>
      <c r="D25" s="67" t="str">
        <f ca="1">uxb_profile!Z37</f>
        <v/>
      </c>
      <c r="E25" s="67"/>
      <c r="F25" s="67"/>
      <c r="G25" s="67"/>
      <c r="H25" s="67" t="str">
        <f ca="1">uxb_profile!AA37</f>
        <v/>
      </c>
      <c r="I25" s="67"/>
      <c r="J25" s="67" t="str">
        <f ca="1">uxb_profile!AB37</f>
        <v/>
      </c>
    </row>
    <row r="26" spans="2:10">
      <c r="B26">
        <f ca="1">uxb_profile!Y38</f>
        <v>2</v>
      </c>
      <c r="D26" s="67" t="str">
        <f ca="1">uxb_profile!Z38</f>
        <v/>
      </c>
      <c r="E26" s="67"/>
      <c r="F26" s="67"/>
      <c r="G26" s="67"/>
      <c r="H26" s="67" t="str">
        <f ca="1">uxb_profile!AA38</f>
        <v/>
      </c>
      <c r="I26" s="67"/>
      <c r="J26" s="67" t="str">
        <f ca="1">uxb_profile!AB38</f>
        <v/>
      </c>
    </row>
    <row r="27" spans="2:10">
      <c r="B27">
        <f ca="1">uxb_profile!Y39</f>
        <v>2</v>
      </c>
      <c r="D27" s="67" t="str">
        <f ca="1">uxb_profile!Z39</f>
        <v/>
      </c>
      <c r="E27" s="67"/>
      <c r="F27" s="67"/>
      <c r="G27" s="67"/>
      <c r="H27" s="67" t="str">
        <f ca="1">uxb_profile!AA39</f>
        <v/>
      </c>
      <c r="I27" s="67"/>
      <c r="J27" s="67" t="str">
        <f ca="1">uxb_profile!AB39</f>
        <v/>
      </c>
    </row>
    <row r="28" spans="2:10">
      <c r="B28">
        <f ca="1">uxb_profile!Y40</f>
        <v>2</v>
      </c>
      <c r="D28" s="67" t="str">
        <f ca="1">uxb_profile!Z40</f>
        <v/>
      </c>
      <c r="E28" s="67"/>
      <c r="F28" s="67"/>
      <c r="G28" s="67"/>
      <c r="H28" s="67" t="str">
        <f ca="1">uxb_profile!AA40</f>
        <v/>
      </c>
      <c r="I28" s="67"/>
      <c r="J28" s="67" t="str">
        <f ca="1">uxb_profile!AB40</f>
        <v/>
      </c>
    </row>
    <row r="29" spans="2:10">
      <c r="B29">
        <f ca="1">uxb_profile!Y41</f>
        <v>2</v>
      </c>
      <c r="D29" s="67" t="str">
        <f ca="1">uxb_profile!Z41</f>
        <v/>
      </c>
      <c r="E29" s="67"/>
      <c r="F29" s="67"/>
      <c r="G29" s="67"/>
      <c r="H29" s="67" t="str">
        <f ca="1">uxb_profile!AA41</f>
        <v/>
      </c>
      <c r="I29" s="67"/>
      <c r="J29" s="67" t="str">
        <f ca="1">uxb_profile!AB41</f>
        <v/>
      </c>
    </row>
    <row r="30" spans="2:10">
      <c r="B30">
        <f ca="1">uxb_profile!Y42</f>
        <v>2</v>
      </c>
      <c r="D30" s="67" t="str">
        <f ca="1">uxb_profile!Z42</f>
        <v/>
      </c>
      <c r="E30" s="67"/>
      <c r="F30" s="67"/>
      <c r="G30" s="67"/>
      <c r="H30" s="67" t="str">
        <f ca="1">uxb_profile!AA42</f>
        <v/>
      </c>
      <c r="I30" s="67"/>
      <c r="J30" s="67" t="str">
        <f ca="1">uxb_profile!AB42</f>
        <v/>
      </c>
    </row>
    <row r="31" spans="2:10">
      <c r="B31">
        <f ca="1">uxb_profile!Y43</f>
        <v>2</v>
      </c>
      <c r="D31" s="67" t="str">
        <f ca="1">uxb_profile!Z43</f>
        <v/>
      </c>
      <c r="E31" s="67"/>
      <c r="F31" s="67"/>
      <c r="G31" s="67"/>
      <c r="H31" s="67" t="str">
        <f ca="1">uxb_profile!AA43</f>
        <v/>
      </c>
      <c r="I31" s="67"/>
      <c r="J31" s="67" t="str">
        <f ca="1">uxb_profile!AB43</f>
        <v/>
      </c>
    </row>
    <row r="32" spans="2:10">
      <c r="B32">
        <f ca="1">uxb_profile!Y44</f>
        <v>2</v>
      </c>
      <c r="D32" s="67" t="str">
        <f ca="1">uxb_profile!Z44</f>
        <v/>
      </c>
      <c r="E32" s="67"/>
      <c r="F32" s="67"/>
      <c r="G32" s="67"/>
      <c r="H32" s="67" t="str">
        <f ca="1">uxb_profile!AA44</f>
        <v/>
      </c>
      <c r="I32" s="67"/>
      <c r="J32" s="67" t="str">
        <f ca="1">uxb_profile!AB44</f>
        <v/>
      </c>
    </row>
    <row r="33" spans="4:10">
      <c r="D33" s="67"/>
      <c r="E33" s="67"/>
      <c r="F33" s="67"/>
      <c r="G33" s="67"/>
      <c r="H33" s="67"/>
      <c r="I33" s="67"/>
      <c r="J33" s="67"/>
    </row>
    <row r="34" spans="4:10">
      <c r="D34" s="67"/>
      <c r="E34" s="67"/>
      <c r="F34" s="67"/>
      <c r="G34" s="67"/>
      <c r="H34" s="67"/>
      <c r="I34" s="67"/>
      <c r="J34" s="67"/>
    </row>
    <row r="35" spans="4:10">
      <c r="D35" s="67"/>
      <c r="E35" s="67"/>
      <c r="F35" s="67"/>
      <c r="G35" s="67"/>
      <c r="H35" s="67"/>
      <c r="I35" s="67"/>
      <c r="J35" s="67"/>
    </row>
  </sheetData>
  <phoneticPr fontId="26" type="noConversion"/>
  <conditionalFormatting sqref="D7:J35">
    <cfRule type="expression" dxfId="5" priority="1" stopIfTrue="1">
      <formula>$B7=1</formula>
    </cfRule>
  </conditionalFormatting>
  <pageMargins left="0.7" right="0.7" top="0.75" bottom="0.75" header="0.3" footer="0.3"/>
  <pageSetup orientation="portrait" horizontalDpi="4294967293" r:id="rId1"/>
  <headerFooter alignWithMargins="0"/>
  <drawing r:id="rId2"/>
  <legacyDrawing r:id="rId3"/>
</worksheet>
</file>

<file path=xl/worksheets/sheet11.xml><?xml version="1.0" encoding="utf-8"?>
<worksheet xmlns="http://schemas.openxmlformats.org/spreadsheetml/2006/main" xmlns:r="http://schemas.openxmlformats.org/officeDocument/2006/relationships">
  <sheetPr codeName="Sheet24"/>
  <dimension ref="A1:G28"/>
  <sheetViews>
    <sheetView showGridLines="0" showRowColHeaders="0" workbookViewId="0">
      <pane ySplit="1" topLeftCell="A2" activePane="bottomLeft" state="frozen"/>
      <selection pane="bottomLeft" activeCell="E47" sqref="E47"/>
    </sheetView>
  </sheetViews>
  <sheetFormatPr defaultRowHeight="12.75"/>
  <cols>
    <col min="1" max="1" width="2.140625" customWidth="1"/>
    <col min="2" max="2" width="2.7109375" hidden="1" customWidth="1"/>
    <col min="3" max="3" width="3.42578125" customWidth="1"/>
    <col min="4" max="4" width="62.85546875" bestFit="1" customWidth="1"/>
    <col min="5" max="6" width="7.28515625" customWidth="1"/>
    <col min="7" max="7" width="49.85546875" customWidth="1"/>
  </cols>
  <sheetData>
    <row r="1" spans="1:7" s="74" customFormat="1" ht="21" customHeight="1">
      <c r="A1" s="74" t="s">
        <v>389</v>
      </c>
    </row>
    <row r="2" spans="1:7" s="79" customFormat="1" ht="1.5" customHeight="1">
      <c r="A2" s="87"/>
      <c r="B2" s="87"/>
    </row>
    <row r="3" spans="1:7" ht="23.25">
      <c r="C3" s="77"/>
      <c r="D3" s="77" t="str">
        <f ca="1">uxb_works!B22</f>
        <v>Mexico</v>
      </c>
      <c r="E3" s="77"/>
      <c r="F3" s="77"/>
    </row>
    <row r="4" spans="1:7">
      <c r="D4" s="67"/>
      <c r="E4" s="67"/>
      <c r="F4" s="67"/>
      <c r="G4" s="67"/>
    </row>
    <row r="5" spans="1:7">
      <c r="B5">
        <f ca="1">uxb_profile4!A8</f>
        <v>0</v>
      </c>
      <c r="D5" s="67"/>
      <c r="E5" s="67">
        <f ca="1">uxb_profile4!G8</f>
        <v>44.586262953078325</v>
      </c>
      <c r="F5" s="67"/>
      <c r="G5" s="67" t="str">
        <f ca="1">uxb_profile4!F8</f>
        <v/>
      </c>
    </row>
    <row r="6" spans="1:7">
      <c r="B6">
        <f ca="1">uxb_profile4!A9</f>
        <v>1</v>
      </c>
      <c r="D6" s="67" t="str">
        <f ca="1">uxb_profile4!E9</f>
        <v>Legal and regulatory framework</v>
      </c>
      <c r="E6" s="147" t="s">
        <v>572</v>
      </c>
      <c r="F6" s="67"/>
      <c r="G6" s="67" t="s">
        <v>409</v>
      </c>
    </row>
    <row r="7" spans="1:7">
      <c r="B7">
        <f ca="1">uxb_profile4!A10</f>
        <v>2</v>
      </c>
      <c r="D7" s="67" t="str">
        <f ca="1">uxb_profile4!E10</f>
        <v>Consistency and quality of PPP regulations</v>
      </c>
      <c r="E7" s="67">
        <f ca="1">uxb_profile4!G10</f>
        <v>2</v>
      </c>
      <c r="F7" s="67"/>
      <c r="G7" s="67" t="str">
        <f ca="1">uxb_profile4!F10</f>
        <v>0-4, where 4=best and 0=worst</v>
      </c>
    </row>
    <row r="8" spans="1:7">
      <c r="B8">
        <f ca="1">uxb_profile4!A11</f>
        <v>2</v>
      </c>
      <c r="D8" s="67" t="str">
        <f ca="1">uxb_profile4!E11</f>
        <v>Effective PPP selection and decision making</v>
      </c>
      <c r="E8" s="67">
        <f ca="1">uxb_profile4!G11</f>
        <v>1</v>
      </c>
      <c r="F8" s="67"/>
      <c r="G8" s="67" t="str">
        <f ca="1">uxb_profile4!F11</f>
        <v>0-4, where 4=best and 0=worst</v>
      </c>
    </row>
    <row r="9" spans="1:7">
      <c r="B9">
        <f ca="1">uxb_profile4!A12</f>
        <v>2</v>
      </c>
      <c r="D9" s="67" t="str">
        <f ca="1">uxb_profile4!E12</f>
        <v>Fairness/openness of bids, contract changes</v>
      </c>
      <c r="E9" s="67">
        <f ca="1">uxb_profile4!G12</f>
        <v>1</v>
      </c>
      <c r="F9" s="67"/>
      <c r="G9" s="67" t="str">
        <f ca="1">uxb_profile4!F12</f>
        <v>0-4, where 4=best and 0=worst</v>
      </c>
    </row>
    <row r="10" spans="1:7">
      <c r="B10">
        <f ca="1">uxb_profile4!A13</f>
        <v>2</v>
      </c>
      <c r="D10" s="67" t="str">
        <f ca="1">uxb_profile4!E13</f>
        <v>Dispute resolution mechanisms</v>
      </c>
      <c r="E10" s="67">
        <f ca="1">uxb_profile4!G13</f>
        <v>2</v>
      </c>
      <c r="F10" s="67"/>
      <c r="G10" s="67" t="str">
        <f ca="1">uxb_profile4!F13</f>
        <v>0-4, where 4=best and 0=worst</v>
      </c>
    </row>
    <row r="11" spans="1:7">
      <c r="B11">
        <f ca="1">uxb_profile4!A14</f>
        <v>1</v>
      </c>
      <c r="D11" s="67" t="str">
        <f ca="1">uxb_profile4!E14</f>
        <v>Institutional framework</v>
      </c>
      <c r="E11" s="67">
        <f ca="1">uxb_profile4!G14</f>
        <v>37.5</v>
      </c>
      <c r="F11" s="67"/>
      <c r="G11" s="67" t="str">
        <f ca="1">uxb_profile4!F14</f>
        <v/>
      </c>
    </row>
    <row r="12" spans="1:7">
      <c r="B12">
        <f ca="1">uxb_profile4!A15</f>
        <v>2</v>
      </c>
      <c r="D12" s="67" t="str">
        <f ca="1">uxb_profile4!E15</f>
        <v>Quality of institutional design</v>
      </c>
      <c r="E12" s="67">
        <f ca="1">uxb_profile4!G15</f>
        <v>1</v>
      </c>
      <c r="F12" s="67"/>
      <c r="G12" s="67" t="str">
        <f ca="1">uxb_profile4!F15</f>
        <v>0-4, where 4=best and 0=worst</v>
      </c>
    </row>
    <row r="13" spans="1:7" s="65" customFormat="1">
      <c r="B13">
        <f ca="1">uxb_profile4!A16</f>
        <v>2</v>
      </c>
      <c r="D13" s="67" t="str">
        <f ca="1">uxb_profile4!E16</f>
        <v>PPP contract, hold-up and expropriation risk</v>
      </c>
      <c r="E13" s="67">
        <f ca="1">uxb_profile4!G16</f>
        <v>2</v>
      </c>
      <c r="F13" s="67"/>
      <c r="G13" s="67" t="str">
        <f ca="1">uxb_profile4!F16</f>
        <v>0-4, where 4=best and 0=worst</v>
      </c>
    </row>
    <row r="14" spans="1:7">
      <c r="B14">
        <f ca="1">uxb_profile4!A17</f>
        <v>1</v>
      </c>
      <c r="D14" s="67" t="str">
        <f ca="1">uxb_profile4!E17</f>
        <v>Operational maturity</v>
      </c>
      <c r="E14" s="67">
        <f ca="1">uxb_profile4!G17</f>
        <v>54.061699948796729</v>
      </c>
      <c r="F14" s="67"/>
      <c r="G14" s="67" t="str">
        <f ca="1">uxb_profile4!F17</f>
        <v/>
      </c>
    </row>
    <row r="15" spans="1:7">
      <c r="B15">
        <f ca="1">uxb_profile4!A18</f>
        <v>2</v>
      </c>
      <c r="D15" s="67" t="str">
        <f ca="1">uxb_profile4!E18</f>
        <v>Public capacity to plan and oversee PPPs</v>
      </c>
      <c r="E15" s="67">
        <f ca="1">uxb_profile4!G18</f>
        <v>1</v>
      </c>
      <c r="F15" s="67"/>
      <c r="G15" s="67" t="str">
        <f ca="1">uxb_profile4!F18</f>
        <v>0-4, where 4=best and 0=worst</v>
      </c>
    </row>
    <row r="16" spans="1:7">
      <c r="B16">
        <f ca="1">uxb_profile4!A19</f>
        <v>2</v>
      </c>
      <c r="D16" s="67" t="str">
        <f ca="1">uxb_profile4!E19</f>
        <v xml:space="preserve">Methods and criteria for awarding projects </v>
      </c>
      <c r="E16" s="67">
        <f ca="1">uxb_profile4!G19</f>
        <v>1</v>
      </c>
      <c r="F16" s="67"/>
      <c r="G16" s="67" t="str">
        <f ca="1">uxb_profile4!F19</f>
        <v>0-4, where 4=best and 0=worst</v>
      </c>
    </row>
    <row r="17" spans="2:7">
      <c r="B17">
        <f ca="1">uxb_profile4!A20</f>
        <v>2</v>
      </c>
      <c r="D17" s="67" t="str">
        <f ca="1">uxb_profile4!E20</f>
        <v>Regulators' risk allocation record</v>
      </c>
      <c r="E17" s="67">
        <f ca="1">uxb_profile4!G20</f>
        <v>1</v>
      </c>
      <c r="F17" s="67"/>
      <c r="G17" s="67" t="str">
        <f ca="1">uxb_profile4!F20</f>
        <v>0-4, where 4=best and 0=worst</v>
      </c>
    </row>
    <row r="18" spans="2:7">
      <c r="B18">
        <f ca="1">uxb_profile4!A21</f>
        <v>2</v>
      </c>
      <c r="D18" s="67" t="str">
        <f ca="1">uxb_profile4!E21</f>
        <v>Experience in transport &amp; water concessions</v>
      </c>
      <c r="E18" s="67">
        <f ca="1">uxb_profile4!G21</f>
        <v>62</v>
      </c>
      <c r="F18" s="67"/>
      <c r="G18" s="67" t="str">
        <f ca="1">uxb_profile4!F21</f>
        <v>Normalised: higher=better</v>
      </c>
    </row>
    <row r="19" spans="2:7">
      <c r="B19">
        <f ca="1">uxb_profile4!A22</f>
        <v>2</v>
      </c>
      <c r="D19" s="67" t="str">
        <f ca="1">uxb_profile4!E22</f>
        <v>Quality of transport and water concessions</v>
      </c>
      <c r="E19" s="67">
        <f ca="1">uxb_profile4!G22</f>
        <v>4.838709677419355</v>
      </c>
      <c r="F19" s="67"/>
      <c r="G19" s="67" t="str">
        <f ca="1">uxb_profile4!F22</f>
        <v>Normalised: lower=better</v>
      </c>
    </row>
    <row r="20" spans="2:7">
      <c r="B20">
        <f ca="1">uxb_profile4!A23</f>
        <v>1</v>
      </c>
      <c r="D20" s="67" t="str">
        <f ca="1">uxb_profile4!E23</f>
        <v>Investment climate</v>
      </c>
      <c r="E20" s="67">
        <f ca="1">uxb_profile4!G23</f>
        <v>65.144555625543859</v>
      </c>
      <c r="F20" s="67"/>
      <c r="G20" s="67" t="str">
        <f ca="1">uxb_profile4!F23</f>
        <v/>
      </c>
    </row>
    <row r="21" spans="2:7">
      <c r="B21">
        <f ca="1">uxb_profile4!A24</f>
        <v>2</v>
      </c>
      <c r="D21" s="67" t="str">
        <f ca="1">uxb_profile4!E24</f>
        <v>Political distortion</v>
      </c>
      <c r="E21" s="144">
        <f ca="1">uxb_profile4!G24</f>
        <v>40.712987885642164</v>
      </c>
      <c r="F21" s="67"/>
      <c r="G21" s="67" t="str">
        <f ca="1">uxb_profile4!F24</f>
        <v>Normalised: higher=better</v>
      </c>
    </row>
    <row r="22" spans="2:7">
      <c r="B22">
        <f ca="1">uxb_profile4!A25</f>
        <v>2</v>
      </c>
      <c r="D22" s="67" t="str">
        <f ca="1">uxb_profile4!E25</f>
        <v>Business environment</v>
      </c>
      <c r="E22" s="144">
        <f ca="1">uxb_profile4!G25</f>
        <v>61.814425598440621</v>
      </c>
      <c r="F22" s="67"/>
      <c r="G22" s="67" t="str">
        <f ca="1">uxb_profile4!F25</f>
        <v>Normalised: higher=better</v>
      </c>
    </row>
    <row r="23" spans="2:7">
      <c r="B23">
        <f ca="1">uxb_profile4!A26</f>
        <v>2</v>
      </c>
      <c r="D23" s="67" t="str">
        <f ca="1">uxb_profile4!E26</f>
        <v>Social attitudes towards privatisation</v>
      </c>
      <c r="E23" s="144">
        <f ca="1">uxb_profile4!G26</f>
        <v>0.3175</v>
      </c>
      <c r="F23" s="67"/>
      <c r="G23" s="67" t="str">
        <f ca="1">uxb_profile4!F26</f>
        <v>Normalised: lower=better</v>
      </c>
    </row>
    <row r="24" spans="2:7">
      <c r="B24">
        <f ca="1">uxb_profile4!A27</f>
        <v>1</v>
      </c>
      <c r="D24" s="67" t="str">
        <f ca="1">uxb_profile4!E27</f>
        <v>Financial facilities</v>
      </c>
      <c r="E24" s="67">
        <f ca="1">uxb_profile4!G27</f>
        <v>66.666666666666671</v>
      </c>
      <c r="F24" s="67"/>
      <c r="G24" s="67" t="str">
        <f ca="1">uxb_profile4!F27</f>
        <v/>
      </c>
    </row>
    <row r="25" spans="2:7">
      <c r="B25">
        <f ca="1">uxb_profile4!A28</f>
        <v>2</v>
      </c>
      <c r="D25" s="67" t="str">
        <f ca="1">uxb_profile4!E28</f>
        <v>Government payment risk</v>
      </c>
      <c r="E25" s="67">
        <f ca="1">uxb_profile4!G28</f>
        <v>3</v>
      </c>
      <c r="F25" s="67"/>
      <c r="G25" s="67" t="str">
        <f ca="1">uxb_profile4!F28</f>
        <v>0-4, where 4=best and 0=worst</v>
      </c>
    </row>
    <row r="26" spans="2:7">
      <c r="B26">
        <f ca="1">uxb_profile4!A29</f>
        <v>2</v>
      </c>
      <c r="D26" s="67" t="str">
        <f ca="1">uxb_profile4!E29</f>
        <v>Capital market: private infrastructure finance</v>
      </c>
      <c r="E26" s="67">
        <f ca="1">uxb_profile4!G29</f>
        <v>3</v>
      </c>
      <c r="F26" s="67"/>
      <c r="G26" s="67" t="str">
        <f ca="1">uxb_profile4!F29</f>
        <v>0-4, where 4=best and 0=worst</v>
      </c>
    </row>
    <row r="27" spans="2:7">
      <c r="B27">
        <f ca="1">uxb_profile4!A30</f>
        <v>2</v>
      </c>
      <c r="D27" s="67" t="str">
        <f ca="1">uxb_profile4!E30</f>
        <v>Marketable debt</v>
      </c>
      <c r="E27" s="67">
        <f ca="1">uxb_profile4!G30</f>
        <v>3</v>
      </c>
      <c r="F27" s="67"/>
      <c r="G27" s="67" t="str">
        <f ca="1">uxb_profile4!F30</f>
        <v>0-4, where 4=best and 0=worst</v>
      </c>
    </row>
    <row r="28" spans="2:7">
      <c r="B28">
        <f ca="1">uxb_profile4!A31</f>
        <v>2</v>
      </c>
      <c r="D28" s="67" t="str">
        <f ca="1">uxb_profile4!E31</f>
        <v>Government support for low income users</v>
      </c>
      <c r="E28" s="67">
        <f ca="1">uxb_profile4!G31</f>
        <v>1</v>
      </c>
      <c r="F28" s="67"/>
      <c r="G28" s="67" t="str">
        <f ca="1">uxb_profile4!F31</f>
        <v>0-4, where 4=best and 0=worst</v>
      </c>
    </row>
  </sheetData>
  <phoneticPr fontId="60" type="noConversion"/>
  <conditionalFormatting sqref="D4:G28">
    <cfRule type="expression" dxfId="4" priority="1" stopIfTrue="1">
      <formula>$B4=1</formula>
    </cfRule>
  </conditionalFormatting>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sheetPr codeName="Sheet25"/>
  <dimension ref="A1:AO38"/>
  <sheetViews>
    <sheetView showGridLines="0" showRowColHeaders="0" zoomScale="115" workbookViewId="0">
      <pane ySplit="1" topLeftCell="A2" activePane="bottomLeft" state="frozen"/>
      <selection pane="bottomLeft"/>
    </sheetView>
  </sheetViews>
  <sheetFormatPr defaultRowHeight="12.75"/>
  <cols>
    <col min="1" max="1" width="2.140625" customWidth="1"/>
    <col min="2" max="2" width="2.7109375" hidden="1" customWidth="1"/>
    <col min="3" max="3" width="2.140625" customWidth="1"/>
    <col min="4" max="4" width="50.7109375" customWidth="1"/>
    <col min="5" max="5" width="16.140625" customWidth="1"/>
    <col min="6" max="9" width="15.7109375" bestFit="1" customWidth="1"/>
  </cols>
  <sheetData>
    <row r="1" spans="1:41" s="74" customFormat="1" ht="21" customHeight="1">
      <c r="A1" s="149" t="s">
        <v>390</v>
      </c>
      <c r="B1" s="149"/>
      <c r="C1" s="149"/>
      <c r="D1" s="149"/>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49"/>
      <c r="AJ1" s="149"/>
      <c r="AK1" s="149"/>
      <c r="AL1" s="149"/>
      <c r="AM1" s="149"/>
      <c r="AN1" s="149"/>
      <c r="AO1" s="149"/>
    </row>
    <row r="2" spans="1:41" s="79" customFormat="1" ht="8.25" customHeight="1">
      <c r="A2"/>
      <c r="B2" s="67"/>
    </row>
    <row r="3" spans="1:41">
      <c r="D3" s="67"/>
      <c r="E3" s="67"/>
      <c r="F3" s="198" t="str">
        <f ca="1">uxb_profile4!B2</f>
        <v>Mexico</v>
      </c>
      <c r="G3" s="198" t="str">
        <f ca="1">uxb_profile4!C2</f>
        <v>Argentina</v>
      </c>
      <c r="H3" s="198" t="str">
        <f ca="1">uxb_profile4!D2</f>
        <v xml:space="preserve">Chile </v>
      </c>
      <c r="I3" s="198" t="str">
        <f ca="1">uxb_profile4!E2</f>
        <v>Honduras</v>
      </c>
    </row>
    <row r="4" spans="1:41">
      <c r="D4" s="157" t="str">
        <f>D12</f>
        <v>OVERALL SCORE</v>
      </c>
      <c r="E4" s="67"/>
      <c r="F4" s="23" t="str">
        <f>REPT("█",F12/10)</f>
        <v>████</v>
      </c>
      <c r="G4" s="23" t="str">
        <f>REPT("█",G12/10)</f>
        <v>██</v>
      </c>
      <c r="H4" s="23" t="str">
        <f>REPT("█",H12/10)</f>
        <v>██████</v>
      </c>
      <c r="I4" s="23" t="str">
        <f>REPT("█",I12/10)</f>
        <v>███</v>
      </c>
    </row>
    <row r="5" spans="1:41">
      <c r="D5" s="67" t="str">
        <f>D13</f>
        <v>Legal and regulatory framework</v>
      </c>
      <c r="E5" s="67"/>
      <c r="F5" s="72" t="str">
        <f>REPT("█",ABS(F13/10))</f>
        <v>███</v>
      </c>
      <c r="G5" s="72" t="str">
        <f>REPT("█",ABS(G13/10))</f>
        <v>█</v>
      </c>
      <c r="H5" s="72" t="str">
        <f>REPT("█",ABS(H13/10))</f>
        <v>██████</v>
      </c>
      <c r="I5" s="72" t="str">
        <f>REPT("█",ABS(I13/10))</f>
        <v>██</v>
      </c>
    </row>
    <row r="6" spans="1:41">
      <c r="D6" s="67" t="str">
        <f>D18</f>
        <v>Institutional framework</v>
      </c>
      <c r="E6" s="67"/>
      <c r="F6" s="72" t="str">
        <f>REPT("█",ABS(F18/10))</f>
        <v>███</v>
      </c>
      <c r="G6" s="72" t="str">
        <f>REPT("█",ABS(G18/10))</f>
        <v>█</v>
      </c>
      <c r="H6" s="72" t="str">
        <f>REPT("█",ABS(H18/10))</f>
        <v>█████</v>
      </c>
      <c r="I6" s="72" t="str">
        <f>REPT("█",ABS(I18/10))</f>
        <v>███</v>
      </c>
    </row>
    <row r="7" spans="1:41">
      <c r="D7" s="67" t="str">
        <f>D21</f>
        <v>Operational maturity</v>
      </c>
      <c r="E7" s="67"/>
      <c r="F7" s="72" t="str">
        <f>REPT("█",ABS(F21/10))</f>
        <v>█████</v>
      </c>
      <c r="G7" s="72" t="str">
        <f>REPT("█",ABS(G21/10))</f>
        <v>████</v>
      </c>
      <c r="H7" s="72" t="str">
        <f>REPT("█",ABS(H21/10))</f>
        <v>███████</v>
      </c>
      <c r="I7" s="72" t="str">
        <f>REPT("█",ABS(I21/10))</f>
        <v>████</v>
      </c>
    </row>
    <row r="8" spans="1:41">
      <c r="D8" s="67" t="str">
        <f>D27</f>
        <v>Investment climate</v>
      </c>
      <c r="E8" s="67"/>
      <c r="F8" s="72" t="str">
        <f>REPT("█",ABS(F27/10))</f>
        <v>██████</v>
      </c>
      <c r="G8" s="72" t="str">
        <f>REPT("█",ABS(G27/10))</f>
        <v>█████</v>
      </c>
      <c r="H8" s="72" t="str">
        <f>REPT("█",ABS(H27/10))</f>
        <v>█████████</v>
      </c>
      <c r="I8" s="72" t="str">
        <f>REPT("█",ABS(I27/10))</f>
        <v>███</v>
      </c>
    </row>
    <row r="9" spans="1:41">
      <c r="D9" s="67" t="str">
        <f>D31</f>
        <v>Financial facilities</v>
      </c>
      <c r="E9" s="67"/>
      <c r="F9" s="72" t="str">
        <f>REPT("█",ABS(F31/10))</f>
        <v>██████</v>
      </c>
      <c r="G9" s="72" t="str">
        <f>REPT("█",ABS(G31/10))</f>
        <v>██</v>
      </c>
      <c r="H9" s="72" t="str">
        <f>REPT("█",ABS(H31/10))</f>
        <v>█████████</v>
      </c>
      <c r="I9" s="72" t="str">
        <f>REPT("█",ABS(I31/10))</f>
        <v/>
      </c>
    </row>
    <row r="10" spans="1:41">
      <c r="D10" s="67"/>
      <c r="E10" s="67"/>
      <c r="F10" s="198"/>
      <c r="G10" s="198"/>
      <c r="H10" s="198"/>
      <c r="I10" s="198"/>
    </row>
    <row r="11" spans="1:41">
      <c r="B11">
        <f ca="1">uxb_profile4!A8</f>
        <v>0</v>
      </c>
      <c r="E11" s="208" t="s">
        <v>377</v>
      </c>
      <c r="F11" s="209" t="s">
        <v>376</v>
      </c>
      <c r="G11" s="209" t="s">
        <v>376</v>
      </c>
      <c r="H11" s="209" t="s">
        <v>376</v>
      </c>
      <c r="I11" s="209" t="s">
        <v>376</v>
      </c>
    </row>
    <row r="12" spans="1:41">
      <c r="D12" s="157" t="str">
        <f ca="1">uxb_profile4!E8</f>
        <v>OVERALL SCORE</v>
      </c>
      <c r="E12" s="157" t="s">
        <v>217</v>
      </c>
      <c r="F12" s="212">
        <f ca="1">uxb_profile4!G8</f>
        <v>44.586262953078325</v>
      </c>
      <c r="G12" s="212">
        <f ca="1">uxb_profile4!H8</f>
        <v>23.455088272248759</v>
      </c>
      <c r="H12" s="212">
        <f ca="1">uxb_profile4!I8</f>
        <v>65.286693679205769</v>
      </c>
      <c r="I12" s="212">
        <f ca="1">uxb_profile4!J8</f>
        <v>33.290060562547922</v>
      </c>
    </row>
    <row r="13" spans="1:41">
      <c r="B13">
        <f ca="1">uxb_profile4!A9</f>
        <v>1</v>
      </c>
      <c r="D13" s="207" t="str">
        <f ca="1">uxb_profile4!E9</f>
        <v>Legal and regulatory framework</v>
      </c>
      <c r="E13" s="207" t="s">
        <v>217</v>
      </c>
      <c r="F13" s="211">
        <f ca="1">uxb_profile4!G9</f>
        <v>38.888888888888886</v>
      </c>
      <c r="G13" s="211">
        <f ca="1">uxb_profile4!H9</f>
        <v>16.666666666666664</v>
      </c>
      <c r="H13" s="211">
        <f ca="1">uxb_profile4!I9</f>
        <v>61.111111111111114</v>
      </c>
      <c r="I13" s="211">
        <f ca="1">uxb_profile4!J9</f>
        <v>25</v>
      </c>
    </row>
    <row r="14" spans="1:41">
      <c r="B14">
        <f ca="1">uxb_profile4!A10</f>
        <v>2</v>
      </c>
      <c r="D14" s="197" t="str">
        <f ca="1">uxb_profile4!E10</f>
        <v>Consistency and quality of PPP regulations</v>
      </c>
      <c r="E14" s="197" t="s">
        <v>378</v>
      </c>
      <c r="F14" s="199">
        <f ca="1">uxb_profile4!G10</f>
        <v>2</v>
      </c>
      <c r="G14" s="199">
        <f ca="1">uxb_profile4!H10</f>
        <v>2</v>
      </c>
      <c r="H14" s="199">
        <f ca="1">uxb_profile4!I10</f>
        <v>3</v>
      </c>
      <c r="I14" s="199">
        <f ca="1">uxb_profile4!J10</f>
        <v>1</v>
      </c>
    </row>
    <row r="15" spans="1:41">
      <c r="B15">
        <f ca="1">uxb_profile4!A11</f>
        <v>2</v>
      </c>
      <c r="D15" s="197" t="str">
        <f ca="1">uxb_profile4!E11</f>
        <v>Effective PPP selection and decision making</v>
      </c>
      <c r="E15" s="197" t="s">
        <v>378</v>
      </c>
      <c r="F15" s="199">
        <f ca="1">uxb_profile4!G11</f>
        <v>1</v>
      </c>
      <c r="G15" s="199">
        <f ca="1">uxb_profile4!H11</f>
        <v>0</v>
      </c>
      <c r="H15" s="199">
        <f ca="1">uxb_profile4!I11</f>
        <v>2</v>
      </c>
      <c r="I15" s="199">
        <f ca="1">uxb_profile4!J11</f>
        <v>1</v>
      </c>
    </row>
    <row r="16" spans="1:41">
      <c r="B16">
        <f ca="1">uxb_profile4!A12</f>
        <v>2</v>
      </c>
      <c r="D16" s="197" t="str">
        <f ca="1">uxb_profile4!E12</f>
        <v>Fairness/openness of bids, contract changes</v>
      </c>
      <c r="E16" s="197" t="s">
        <v>378</v>
      </c>
      <c r="F16" s="199">
        <f ca="1">uxb_profile4!G12</f>
        <v>1</v>
      </c>
      <c r="G16" s="199">
        <f ca="1">uxb_profile4!H12</f>
        <v>0</v>
      </c>
      <c r="H16" s="199">
        <f ca="1">uxb_profile4!I12</f>
        <v>3</v>
      </c>
      <c r="I16" s="199">
        <f ca="1">uxb_profile4!J12</f>
        <v>1</v>
      </c>
    </row>
    <row r="17" spans="2:9">
      <c r="B17">
        <f ca="1">uxb_profile4!A13</f>
        <v>2</v>
      </c>
      <c r="D17" s="197" t="str">
        <f ca="1">uxb_profile4!E13</f>
        <v>Dispute resolution mechanisms</v>
      </c>
      <c r="E17" s="197" t="s">
        <v>378</v>
      </c>
      <c r="F17" s="199">
        <f ca="1">uxb_profile4!G13</f>
        <v>2</v>
      </c>
      <c r="G17" s="199">
        <f ca="1">uxb_profile4!H13</f>
        <v>0</v>
      </c>
      <c r="H17" s="199">
        <f ca="1">uxb_profile4!I13</f>
        <v>2</v>
      </c>
      <c r="I17" s="199">
        <f ca="1">uxb_profile4!J13</f>
        <v>1</v>
      </c>
    </row>
    <row r="18" spans="2:9">
      <c r="B18">
        <f ca="1">uxb_profile4!A14</f>
        <v>1</v>
      </c>
      <c r="D18" s="207" t="str">
        <f ca="1">uxb_profile4!E14</f>
        <v>Institutional framework</v>
      </c>
      <c r="E18" s="207" t="s">
        <v>217</v>
      </c>
      <c r="F18" s="211">
        <f ca="1">uxb_profile4!G14</f>
        <v>37.5</v>
      </c>
      <c r="G18" s="211">
        <f ca="1">uxb_profile4!H14</f>
        <v>12.5</v>
      </c>
      <c r="H18" s="211">
        <f ca="1">uxb_profile4!I14</f>
        <v>50</v>
      </c>
      <c r="I18" s="211">
        <f ca="1">uxb_profile4!J14</f>
        <v>37.5</v>
      </c>
    </row>
    <row r="19" spans="2:9">
      <c r="B19">
        <f ca="1">uxb_profile4!A15</f>
        <v>2</v>
      </c>
      <c r="D19" s="197" t="str">
        <f ca="1">uxb_profile4!E15</f>
        <v>Quality of institutional design</v>
      </c>
      <c r="E19" s="197" t="s">
        <v>378</v>
      </c>
      <c r="F19" s="199">
        <f ca="1">uxb_profile4!G15</f>
        <v>1</v>
      </c>
      <c r="G19" s="199">
        <f ca="1">uxb_profile4!H15</f>
        <v>1</v>
      </c>
      <c r="H19" s="199">
        <f ca="1">uxb_profile4!I15</f>
        <v>2</v>
      </c>
      <c r="I19" s="199">
        <f ca="1">uxb_profile4!J15</f>
        <v>1</v>
      </c>
    </row>
    <row r="20" spans="2:9">
      <c r="B20">
        <f ca="1">uxb_profile4!A16</f>
        <v>2</v>
      </c>
      <c r="D20" s="197" t="str">
        <f ca="1">uxb_profile4!E16</f>
        <v>PPP contract, hold-up and expropriation risk</v>
      </c>
      <c r="E20" s="197" t="s">
        <v>378</v>
      </c>
      <c r="F20" s="199">
        <f ca="1">uxb_profile4!G16</f>
        <v>2</v>
      </c>
      <c r="G20" s="199">
        <f ca="1">uxb_profile4!H16</f>
        <v>0</v>
      </c>
      <c r="H20" s="199">
        <f ca="1">uxb_profile4!I16</f>
        <v>2</v>
      </c>
      <c r="I20" s="199">
        <f ca="1">uxb_profile4!J16</f>
        <v>2</v>
      </c>
    </row>
    <row r="21" spans="2:9">
      <c r="B21">
        <f ca="1">uxb_profile4!A17</f>
        <v>1</v>
      </c>
      <c r="D21" s="207" t="str">
        <f ca="1">uxb_profile4!E17</f>
        <v>Operational maturity</v>
      </c>
      <c r="E21" s="207" t="s">
        <v>217</v>
      </c>
      <c r="F21" s="211">
        <f ca="1">uxb_profile4!G17</f>
        <v>54.061699948796729</v>
      </c>
      <c r="G21" s="211">
        <f ca="1">uxb_profile4!H17</f>
        <v>41.477072310405646</v>
      </c>
      <c r="H21" s="211">
        <f ca="1">uxb_profile4!I17</f>
        <v>77.817460317460316</v>
      </c>
      <c r="I21" s="211">
        <f ca="1">uxb_profile4!J17</f>
        <v>45.976190476190474</v>
      </c>
    </row>
    <row r="22" spans="2:9">
      <c r="B22">
        <f ca="1">uxb_profile4!A18</f>
        <v>2</v>
      </c>
      <c r="D22" s="197" t="str">
        <f ca="1">uxb_profile4!E18</f>
        <v>Public capacity to plan and oversee PPPs</v>
      </c>
      <c r="E22" s="197" t="s">
        <v>378</v>
      </c>
      <c r="F22" s="199">
        <f ca="1">uxb_profile4!G18</f>
        <v>1</v>
      </c>
      <c r="G22" s="199">
        <f ca="1">uxb_profile4!H18</f>
        <v>2</v>
      </c>
      <c r="H22" s="199">
        <f ca="1">uxb_profile4!I18</f>
        <v>3</v>
      </c>
      <c r="I22" s="199">
        <f ca="1">uxb_profile4!J18</f>
        <v>1</v>
      </c>
    </row>
    <row r="23" spans="2:9">
      <c r="B23">
        <f ca="1">uxb_profile4!A19</f>
        <v>2</v>
      </c>
      <c r="D23" s="197" t="str">
        <f ca="1">uxb_profile4!E19</f>
        <v xml:space="preserve">Methods and criteria for awarding projects </v>
      </c>
      <c r="E23" s="197" t="s">
        <v>378</v>
      </c>
      <c r="F23" s="199">
        <f ca="1">uxb_profile4!G19</f>
        <v>1</v>
      </c>
      <c r="G23" s="199">
        <f ca="1">uxb_profile4!H19</f>
        <v>1</v>
      </c>
      <c r="H23" s="199">
        <f ca="1">uxb_profile4!I19</f>
        <v>3</v>
      </c>
      <c r="I23" s="199">
        <f ca="1">uxb_profile4!J19</f>
        <v>1</v>
      </c>
    </row>
    <row r="24" spans="2:9">
      <c r="B24">
        <f ca="1">uxb_profile4!A20</f>
        <v>2</v>
      </c>
      <c r="D24" s="197" t="str">
        <f ca="1">uxb_profile4!E20</f>
        <v>Regulators' risk allocation record</v>
      </c>
      <c r="E24" s="197" t="s">
        <v>378</v>
      </c>
      <c r="F24" s="199">
        <f ca="1">uxb_profile4!G20</f>
        <v>1</v>
      </c>
      <c r="G24" s="199">
        <f ca="1">uxb_profile4!H20</f>
        <v>0</v>
      </c>
      <c r="H24" s="199">
        <f ca="1">uxb_profile4!I20</f>
        <v>3</v>
      </c>
      <c r="I24" s="199">
        <f ca="1">uxb_profile4!J20</f>
        <v>1</v>
      </c>
    </row>
    <row r="25" spans="2:9">
      <c r="B25">
        <f ca="1">uxb_profile4!A21</f>
        <v>2</v>
      </c>
      <c r="D25" s="197" t="str">
        <f ca="1">uxb_profile4!E21</f>
        <v>Experience in transport &amp; water concessions</v>
      </c>
      <c r="E25" s="197" t="s">
        <v>369</v>
      </c>
      <c r="F25" s="199">
        <f ca="1">uxb_profile4!G21</f>
        <v>62</v>
      </c>
      <c r="G25" s="199">
        <f ca="1">uxb_profile4!H21</f>
        <v>27</v>
      </c>
      <c r="H25" s="199">
        <f ca="1">uxb_profile4!I21</f>
        <v>44</v>
      </c>
      <c r="I25" s="199">
        <f ca="1">uxb_profile4!J21</f>
        <v>3</v>
      </c>
    </row>
    <row r="26" spans="2:9">
      <c r="B26">
        <f ca="1">uxb_profile4!A22</f>
        <v>2</v>
      </c>
      <c r="D26" s="197" t="str">
        <f ca="1">uxb_profile4!E22</f>
        <v>Quality of transport and water concessions</v>
      </c>
      <c r="E26" s="197" t="s">
        <v>379</v>
      </c>
      <c r="F26" s="200">
        <f ca="1">uxb_profile4!G22</f>
        <v>4.838709677419355</v>
      </c>
      <c r="G26" s="200">
        <f ca="1">uxb_profile4!H22</f>
        <v>25.925925925925924</v>
      </c>
      <c r="H26" s="200">
        <f ca="1">uxb_profile4!I22</f>
        <v>0</v>
      </c>
      <c r="I26" s="199">
        <f ca="1">uxb_profile4!J22</f>
        <v>1</v>
      </c>
    </row>
    <row r="27" spans="2:9">
      <c r="B27">
        <f ca="1">uxb_profile4!A23</f>
        <v>1</v>
      </c>
      <c r="D27" s="207" t="str">
        <f ca="1">uxb_profile4!E23</f>
        <v>Investment climate</v>
      </c>
      <c r="E27" s="207" t="s">
        <v>217</v>
      </c>
      <c r="F27" s="211">
        <f ca="1">uxb_profile4!G23</f>
        <v>65.144555625543859</v>
      </c>
      <c r="G27" s="211">
        <f ca="1">uxb_profile4!H23</f>
        <v>51.559684671536345</v>
      </c>
      <c r="H27" s="211">
        <f ca="1">uxb_profile4!I23</f>
        <v>93.031441951732361</v>
      </c>
      <c r="I27" s="211">
        <f ca="1">uxb_profile4!J23</f>
        <v>39.770977310673892</v>
      </c>
    </row>
    <row r="28" spans="2:9">
      <c r="B28">
        <f ca="1">uxb_profile4!A24</f>
        <v>2</v>
      </c>
      <c r="D28" s="197" t="str">
        <f ca="1">uxb_profile4!E24</f>
        <v>Political distortion</v>
      </c>
      <c r="E28" s="197" t="s">
        <v>380</v>
      </c>
      <c r="F28" s="200">
        <f ca="1">uxb_profile4!G24</f>
        <v>40.712987885642164</v>
      </c>
      <c r="G28" s="200">
        <f ca="1">uxb_profile4!H24</f>
        <v>35.301009490404851</v>
      </c>
      <c r="H28" s="200">
        <f ca="1">uxb_profile4!I24</f>
        <v>73.944616053998573</v>
      </c>
      <c r="I28" s="200">
        <f ca="1">uxb_profile4!J24</f>
        <v>16.300960598541245</v>
      </c>
    </row>
    <row r="29" spans="2:9">
      <c r="B29">
        <f ca="1">uxb_profile4!A25</f>
        <v>2</v>
      </c>
      <c r="D29" s="197" t="str">
        <f ca="1">uxb_profile4!E25</f>
        <v>Business environment</v>
      </c>
      <c r="E29" s="197" t="s">
        <v>380</v>
      </c>
      <c r="F29" s="200">
        <f ca="1">uxb_profile4!G25</f>
        <v>61.814425598440621</v>
      </c>
      <c r="G29" s="200">
        <f ca="1">uxb_profile4!H25</f>
        <v>53.125638688798539</v>
      </c>
      <c r="H29" s="200">
        <f ca="1">uxb_profile4!I25</f>
        <v>68.707589292777584</v>
      </c>
      <c r="I29" s="200">
        <f ca="1">uxb_profile4!J25</f>
        <v>42.431393175162832</v>
      </c>
    </row>
    <row r="30" spans="2:9">
      <c r="B30">
        <f ca="1">uxb_profile4!A26</f>
        <v>2</v>
      </c>
      <c r="D30" s="197" t="str">
        <f ca="1">uxb_profile4!E26</f>
        <v>Social attitudes towards privatisation</v>
      </c>
      <c r="E30" s="197" t="s">
        <v>381</v>
      </c>
      <c r="F30" s="200">
        <f ca="1">uxb_profile4!G26</f>
        <v>0.3175</v>
      </c>
      <c r="G30" s="200">
        <f ca="1">uxb_profile4!H26</f>
        <v>0.35694444444444445</v>
      </c>
      <c r="H30" s="200">
        <f ca="1">uxb_profile4!I26</f>
        <v>0.24222222222222223</v>
      </c>
      <c r="I30" s="200">
        <f ca="1">uxb_profile4!J26</f>
        <v>0.32433333333333331</v>
      </c>
    </row>
    <row r="31" spans="2:9">
      <c r="B31">
        <f ca="1">uxb_profile4!A27</f>
        <v>1</v>
      </c>
      <c r="D31" s="207" t="str">
        <f ca="1">uxb_profile4!E27</f>
        <v>Financial facilities</v>
      </c>
      <c r="E31" s="207" t="s">
        <v>217</v>
      </c>
      <c r="F31" s="211">
        <f ca="1">uxb_profile4!G27</f>
        <v>66.666666666666671</v>
      </c>
      <c r="G31" s="211">
        <f ca="1">uxb_profile4!H27</f>
        <v>20.833333333333332</v>
      </c>
      <c r="H31" s="211">
        <f ca="1">uxb_profile4!I27</f>
        <v>95.833333333333314</v>
      </c>
      <c r="I31" s="211">
        <f ca="1">uxb_profile4!J27</f>
        <v>8.3333333333333321</v>
      </c>
    </row>
    <row r="32" spans="2:9">
      <c r="B32">
        <f ca="1">uxb_profile4!A28</f>
        <v>2</v>
      </c>
      <c r="D32" s="197" t="str">
        <f ca="1">uxb_profile4!E28</f>
        <v>Government payment risk</v>
      </c>
      <c r="E32" s="197" t="s">
        <v>378</v>
      </c>
      <c r="F32" s="199">
        <f ca="1">uxb_profile4!G28</f>
        <v>3</v>
      </c>
      <c r="G32" s="199">
        <f ca="1">uxb_profile4!H28</f>
        <v>0</v>
      </c>
      <c r="H32" s="199">
        <f ca="1">uxb_profile4!I28</f>
        <v>4</v>
      </c>
      <c r="I32" s="199">
        <f ca="1">uxb_profile4!J28</f>
        <v>0</v>
      </c>
    </row>
    <row r="33" spans="2:9">
      <c r="B33">
        <f ca="1">uxb_profile4!A29</f>
        <v>2</v>
      </c>
      <c r="D33" s="197" t="str">
        <f ca="1">uxb_profile4!E29</f>
        <v>Capital market: private infrastructure finance</v>
      </c>
      <c r="E33" s="197" t="s">
        <v>378</v>
      </c>
      <c r="F33" s="199">
        <f ca="1">uxb_profile4!G29</f>
        <v>3</v>
      </c>
      <c r="G33" s="199">
        <f ca="1">uxb_profile4!H29</f>
        <v>1</v>
      </c>
      <c r="H33" s="199">
        <f ca="1">uxb_profile4!I29</f>
        <v>4</v>
      </c>
      <c r="I33" s="199">
        <f ca="1">uxb_profile4!J29</f>
        <v>0</v>
      </c>
    </row>
    <row r="34" spans="2:9">
      <c r="B34">
        <f ca="1">uxb_profile4!A30</f>
        <v>2</v>
      </c>
      <c r="D34" s="197" t="str">
        <f ca="1">uxb_profile4!E30</f>
        <v>Marketable debt</v>
      </c>
      <c r="E34" s="197" t="s">
        <v>378</v>
      </c>
      <c r="F34" s="199">
        <f ca="1">uxb_profile4!G30</f>
        <v>3</v>
      </c>
      <c r="G34" s="199">
        <f ca="1">uxb_profile4!H30</f>
        <v>3</v>
      </c>
      <c r="H34" s="199">
        <f ca="1">uxb_profile4!I30</f>
        <v>4</v>
      </c>
      <c r="I34" s="199">
        <f ca="1">uxb_profile4!J30</f>
        <v>1</v>
      </c>
    </row>
    <row r="35" spans="2:9">
      <c r="B35">
        <f ca="1">uxb_profile4!A31</f>
        <v>2</v>
      </c>
      <c r="D35" s="197" t="str">
        <f ca="1">uxb_profile4!E31</f>
        <v>Government support for low income users</v>
      </c>
      <c r="E35" s="197" t="s">
        <v>378</v>
      </c>
      <c r="F35" s="199">
        <f ca="1">uxb_profile4!G31</f>
        <v>1</v>
      </c>
      <c r="G35" s="199">
        <f ca="1">uxb_profile4!H31</f>
        <v>0</v>
      </c>
      <c r="H35" s="199">
        <f ca="1">uxb_profile4!I31</f>
        <v>3</v>
      </c>
      <c r="I35" s="199">
        <f ca="1">uxb_profile4!J31</f>
        <v>1</v>
      </c>
    </row>
    <row r="36" spans="2:9">
      <c r="D36" s="67"/>
      <c r="E36" s="197"/>
      <c r="F36" s="67"/>
      <c r="G36" s="67"/>
      <c r="H36" s="67"/>
      <c r="I36" s="67"/>
    </row>
    <row r="37" spans="2:9">
      <c r="D37" s="67"/>
      <c r="E37" s="67"/>
      <c r="F37" s="67"/>
      <c r="G37" s="67"/>
      <c r="H37" s="67"/>
      <c r="I37" s="67"/>
    </row>
    <row r="38" spans="2:9">
      <c r="D38" s="67"/>
      <c r="E38" s="67"/>
      <c r="F38" s="67"/>
      <c r="G38" s="67"/>
      <c r="H38" s="67"/>
      <c r="I38" s="67"/>
    </row>
  </sheetData>
  <phoneticPr fontId="60" type="noConversion"/>
  <conditionalFormatting sqref="B2 D3:D10 D13:D38 E3:I38">
    <cfRule type="expression" dxfId="3" priority="1" stopIfTrue="1">
      <formula>$B2=1</formula>
    </cfRule>
  </conditionalFormatting>
  <conditionalFormatting sqref="D12">
    <cfRule type="expression" dxfId="2" priority="3" stopIfTrue="1">
      <formula>$B11=1</formula>
    </cfRule>
  </conditionalFormatting>
  <pageMargins left="0.7" right="0.7" top="0.75" bottom="0.75" header="0.3" footer="0.3"/>
  <pageSetup orientation="portrait" r:id="rId1"/>
  <legacyDrawing r:id="rId2"/>
</worksheet>
</file>

<file path=xl/worksheets/sheet13.xml><?xml version="1.0" encoding="utf-8"?>
<worksheet xmlns="http://schemas.openxmlformats.org/spreadsheetml/2006/main" xmlns:r="http://schemas.openxmlformats.org/officeDocument/2006/relationships">
  <sheetPr codeName="Sheet10"/>
  <dimension ref="A1:H33"/>
  <sheetViews>
    <sheetView showGridLines="0" showRowColHeaders="0" tabSelected="1" zoomScaleNormal="100" workbookViewId="0">
      <selection activeCell="G4" sqref="G4"/>
    </sheetView>
  </sheetViews>
  <sheetFormatPr defaultRowHeight="12.75"/>
  <cols>
    <col min="1" max="1" width="1.85546875" customWidth="1"/>
    <col min="2" max="2" width="3.7109375" customWidth="1"/>
    <col min="3" max="3" width="9.140625" hidden="1" customWidth="1"/>
    <col min="4" max="4" width="3" hidden="1" customWidth="1"/>
    <col min="5" max="5" width="2" hidden="1" customWidth="1"/>
    <col min="6" max="6" width="57.7109375" bestFit="1" customWidth="1"/>
    <col min="8" max="8" width="11.5703125" bestFit="1" customWidth="1"/>
    <col min="9" max="9" width="7.5703125" customWidth="1"/>
    <col min="13" max="13" width="3.5703125" customWidth="1"/>
  </cols>
  <sheetData>
    <row r="1" spans="1:8" s="18" customFormat="1" ht="22.5" customHeight="1">
      <c r="A1" s="18" t="s">
        <v>577</v>
      </c>
      <c r="G1" s="44"/>
      <c r="H1" s="44"/>
    </row>
    <row r="2" spans="1:8" ht="66" customHeight="1"/>
    <row r="3" spans="1:8">
      <c r="F3" s="42" t="s">
        <v>580</v>
      </c>
      <c r="G3" s="43" t="s">
        <v>579</v>
      </c>
      <c r="H3" s="43" t="s">
        <v>559</v>
      </c>
    </row>
    <row r="4" spans="1:8">
      <c r="C4" t="str">
        <f ca="1">tblSections!A3</f>
        <v>LEGF</v>
      </c>
      <c r="D4" s="35">
        <f ca="1">MATCH(C4,score_indicode,0)</f>
        <v>2</v>
      </c>
      <c r="E4">
        <v>1</v>
      </c>
      <c r="F4" s="38" t="str">
        <f ca="1">tblSections!B3</f>
        <v>Legal and regulatory framework</v>
      </c>
      <c r="G4" s="31">
        <v>5</v>
      </c>
      <c r="H4" s="32">
        <f ca="1">INDEX(WeightsPercent,D4,0)</f>
        <v>0.41666666666666669</v>
      </c>
    </row>
    <row r="5" spans="1:8">
      <c r="C5" t="str">
        <f ca="1">tblSections!A4</f>
        <v>INST</v>
      </c>
      <c r="D5" s="35">
        <f ca="1">MATCH(C5,score_indicode,0)</f>
        <v>7</v>
      </c>
      <c r="E5">
        <v>1</v>
      </c>
      <c r="F5" s="38" t="str">
        <f ca="1">tblSections!B4</f>
        <v>Institutional framework</v>
      </c>
      <c r="G5" s="31">
        <v>3</v>
      </c>
      <c r="H5" s="32">
        <f ca="1">INDEX(WeightsPercent,D5,0)</f>
        <v>0.25</v>
      </c>
    </row>
    <row r="6" spans="1:8">
      <c r="C6" t="str">
        <f ca="1">tblSections!A5</f>
        <v>OPER</v>
      </c>
      <c r="D6" s="35">
        <f ca="1">MATCH(C6,score_indicode,0)</f>
        <v>10</v>
      </c>
      <c r="E6">
        <v>1</v>
      </c>
      <c r="F6" s="38" t="str">
        <f ca="1">tblSections!B5</f>
        <v>Operational maturity</v>
      </c>
      <c r="G6" s="31">
        <v>3</v>
      </c>
      <c r="H6" s="32">
        <f ca="1">INDEX(WeightsPercent,D6,0)</f>
        <v>0.25</v>
      </c>
    </row>
    <row r="7" spans="1:8">
      <c r="C7" t="str">
        <f ca="1">tblSections!A6</f>
        <v>INVT</v>
      </c>
      <c r="D7" s="35">
        <f ca="1">MATCH(C7,score_indicode,0)</f>
        <v>16</v>
      </c>
      <c r="E7">
        <v>1</v>
      </c>
      <c r="F7" s="38" t="str">
        <f ca="1">tblSections!B6</f>
        <v>Investment climate</v>
      </c>
      <c r="G7" s="31">
        <v>0.5</v>
      </c>
      <c r="H7" s="32">
        <f ca="1">INDEX(WeightsPercent,D7,0)</f>
        <v>4.1666666666666664E-2</v>
      </c>
    </row>
    <row r="8" spans="1:8">
      <c r="C8" t="str">
        <f ca="1">tblSections!A7</f>
        <v>FINC</v>
      </c>
      <c r="D8" s="35">
        <f ca="1">MATCH(C8,score_indicode,0)</f>
        <v>20</v>
      </c>
      <c r="E8">
        <v>1</v>
      </c>
      <c r="F8" s="38" t="str">
        <f ca="1">tblSections!B7</f>
        <v>Financial facilities</v>
      </c>
      <c r="G8" s="31">
        <v>0.5</v>
      </c>
      <c r="H8" s="32">
        <f ca="1">INDEX(WeightsPercent,D8,0)</f>
        <v>4.1666666666666664E-2</v>
      </c>
    </row>
    <row r="9" spans="1:8">
      <c r="G9" s="137"/>
    </row>
    <row r="10" spans="1:8">
      <c r="F10" s="40" t="s">
        <v>578</v>
      </c>
      <c r="G10" s="138" t="s">
        <v>579</v>
      </c>
      <c r="H10" s="41" t="s">
        <v>559</v>
      </c>
    </row>
    <row r="11" spans="1:8">
      <c r="C11" s="35" t="str">
        <f ca="1">tblIndicators!A3</f>
        <v>LEGF</v>
      </c>
      <c r="D11" s="35">
        <f ca="1">MATCH(C11,score_indicode,0)</f>
        <v>2</v>
      </c>
      <c r="E11" s="35">
        <f ca="1">tblIndicators!C3</f>
        <v>1</v>
      </c>
      <c r="F11" s="36" t="str">
        <f ca="1">tblIndicators!H3</f>
        <v>Legal and regulatory framework</v>
      </c>
      <c r="G11" s="139"/>
      <c r="H11" s="37"/>
    </row>
    <row r="12" spans="1:8">
      <c r="C12" s="35" t="str">
        <f ca="1">tblIndicators!A4</f>
        <v>LEGF01</v>
      </c>
      <c r="D12" s="35">
        <f t="shared" ref="D12:D33" ca="1" si="0">MATCH(C12,score_indicode,0)</f>
        <v>3</v>
      </c>
      <c r="E12" s="35">
        <f ca="1">tblIndicators!C4</f>
        <v>2</v>
      </c>
      <c r="F12" s="38" t="str">
        <f ca="1">tblIndicators!H4</f>
        <v>Consistency and quality of PPP regulations</v>
      </c>
      <c r="G12" s="31">
        <v>3</v>
      </c>
      <c r="H12" s="32">
        <f ca="1">INDEX(WeightsPercent,D12,0)</f>
        <v>0.33333333333333331</v>
      </c>
    </row>
    <row r="13" spans="1:8">
      <c r="C13" s="35" t="str">
        <f ca="1">tblIndicators!A5</f>
        <v>LEGF02</v>
      </c>
      <c r="D13" s="35">
        <f t="shared" ca="1" si="0"/>
        <v>4</v>
      </c>
      <c r="E13" s="35">
        <f ca="1">tblIndicators!C5</f>
        <v>2</v>
      </c>
      <c r="F13" s="38" t="str">
        <f ca="1">tblIndicators!H5</f>
        <v>Effective PPP selection and decision making</v>
      </c>
      <c r="G13" s="31">
        <v>3</v>
      </c>
      <c r="H13" s="32">
        <f ca="1">INDEX(WeightsPercent,D13,0)</f>
        <v>0.33333333333333331</v>
      </c>
    </row>
    <row r="14" spans="1:8">
      <c r="C14" s="35" t="str">
        <f ca="1">tblIndicators!A6</f>
        <v>LEGF03</v>
      </c>
      <c r="D14" s="35">
        <f t="shared" ca="1" si="0"/>
        <v>5</v>
      </c>
      <c r="E14" s="35">
        <f ca="1">tblIndicators!C6</f>
        <v>2</v>
      </c>
      <c r="F14" s="38" t="str">
        <f ca="1">tblIndicators!H6</f>
        <v>Fairness/openness of bids, contract changes</v>
      </c>
      <c r="G14" s="31">
        <v>1</v>
      </c>
      <c r="H14" s="32">
        <f ca="1">INDEX(WeightsPercent,D14,0)</f>
        <v>0.1111111111111111</v>
      </c>
    </row>
    <row r="15" spans="1:8">
      <c r="C15" s="35" t="str">
        <f ca="1">tblIndicators!A7</f>
        <v>LEGF04</v>
      </c>
      <c r="D15" s="35">
        <f t="shared" ca="1" si="0"/>
        <v>6</v>
      </c>
      <c r="E15" s="35">
        <f ca="1">tblIndicators!C7</f>
        <v>2</v>
      </c>
      <c r="F15" s="38" t="str">
        <f ca="1">tblIndicators!H7</f>
        <v>Dispute resolution mechanisms</v>
      </c>
      <c r="G15" s="31">
        <v>2</v>
      </c>
      <c r="H15" s="32">
        <f ca="1">INDEX(WeightsPercent,D15,0)</f>
        <v>0.22222222222222221</v>
      </c>
    </row>
    <row r="16" spans="1:8" ht="20.25" customHeight="1">
      <c r="C16" s="35" t="str">
        <f ca="1">tblIndicators!A8</f>
        <v>INST</v>
      </c>
      <c r="D16" s="35">
        <f t="shared" ca="1" si="0"/>
        <v>7</v>
      </c>
      <c r="E16" s="35">
        <f ca="1">tblIndicators!C8</f>
        <v>1</v>
      </c>
      <c r="F16" s="36" t="str">
        <f ca="1">tblIndicators!H8</f>
        <v>Institutional framework</v>
      </c>
      <c r="G16" s="139"/>
      <c r="H16" s="32"/>
    </row>
    <row r="17" spans="3:8">
      <c r="C17" s="35" t="str">
        <f ca="1">tblIndicators!A9</f>
        <v>INST01</v>
      </c>
      <c r="D17" s="35">
        <f t="shared" ca="1" si="0"/>
        <v>8</v>
      </c>
      <c r="E17" s="35">
        <f ca="1">tblIndicators!C9</f>
        <v>2</v>
      </c>
      <c r="F17" s="38" t="str">
        <f ca="1">tblIndicators!H9</f>
        <v>Quality of institutional design</v>
      </c>
      <c r="G17" s="31">
        <v>1</v>
      </c>
      <c r="H17" s="32">
        <f ca="1">INDEX(WeightsPercent,D17,0)</f>
        <v>0.5</v>
      </c>
    </row>
    <row r="18" spans="3:8">
      <c r="C18" s="35" t="str">
        <f ca="1">tblIndicators!A10</f>
        <v>INST02</v>
      </c>
      <c r="D18" s="35">
        <f t="shared" ca="1" si="0"/>
        <v>9</v>
      </c>
      <c r="E18" s="35">
        <f ca="1">tblIndicators!C10</f>
        <v>2</v>
      </c>
      <c r="F18" s="38" t="str">
        <f ca="1">tblIndicators!H10</f>
        <v>PPP contract, hold-up and expropriation risk</v>
      </c>
      <c r="G18" s="31">
        <v>1</v>
      </c>
      <c r="H18" s="32">
        <f ca="1">INDEX(WeightsPercent,D18,0)</f>
        <v>0.5</v>
      </c>
    </row>
    <row r="19" spans="3:8" ht="20.25" customHeight="1">
      <c r="C19" s="35" t="str">
        <f ca="1">tblIndicators!A11</f>
        <v>OPER</v>
      </c>
      <c r="D19" s="35">
        <f t="shared" ca="1" si="0"/>
        <v>10</v>
      </c>
      <c r="E19" s="35">
        <f ca="1">tblIndicators!C11</f>
        <v>1</v>
      </c>
      <c r="F19" s="36" t="str">
        <f ca="1">tblIndicators!H11</f>
        <v>Operational maturity</v>
      </c>
      <c r="G19" s="139"/>
      <c r="H19" s="32"/>
    </row>
    <row r="20" spans="3:8">
      <c r="C20" s="35" t="str">
        <f ca="1">tblIndicators!A12</f>
        <v>OPER01</v>
      </c>
      <c r="D20" s="35">
        <f t="shared" ca="1" si="0"/>
        <v>11</v>
      </c>
      <c r="E20" s="35">
        <f ca="1">tblIndicators!C12</f>
        <v>2</v>
      </c>
      <c r="F20" s="38" t="str">
        <f ca="1">tblIndicators!H12</f>
        <v>Public capacity to plan and oversee PPPs</v>
      </c>
      <c r="G20" s="31">
        <v>1</v>
      </c>
      <c r="H20" s="32">
        <f ca="1">INDEX(WeightsPercent,D20,0)</f>
        <v>0.16666666666666666</v>
      </c>
    </row>
    <row r="21" spans="3:8">
      <c r="C21" s="35" t="str">
        <f ca="1">tblIndicators!A13</f>
        <v>OPER02</v>
      </c>
      <c r="D21" s="35">
        <f t="shared" ca="1" si="0"/>
        <v>12</v>
      </c>
      <c r="E21" s="35">
        <f ca="1">tblIndicators!C13</f>
        <v>2</v>
      </c>
      <c r="F21" s="38" t="str">
        <f ca="1">tblIndicators!H13</f>
        <v xml:space="preserve">Methods and criteria for awarding projects </v>
      </c>
      <c r="G21" s="31">
        <v>1</v>
      </c>
      <c r="H21" s="32">
        <f ca="1">INDEX(WeightsPercent,D21,0)</f>
        <v>0.16666666666666666</v>
      </c>
    </row>
    <row r="22" spans="3:8">
      <c r="C22" s="35" t="str">
        <f ca="1">tblIndicators!A14</f>
        <v>OPER03</v>
      </c>
      <c r="D22" s="35">
        <f t="shared" ca="1" si="0"/>
        <v>13</v>
      </c>
      <c r="E22" s="35">
        <f ca="1">tblIndicators!C14</f>
        <v>2</v>
      </c>
      <c r="F22" s="38" t="str">
        <f ca="1">tblIndicators!H14</f>
        <v>Regulators' risk allocation record</v>
      </c>
      <c r="G22" s="31">
        <v>1</v>
      </c>
      <c r="H22" s="32">
        <f ca="1">INDEX(WeightsPercent,D22,0)</f>
        <v>0.16666666666666666</v>
      </c>
    </row>
    <row r="23" spans="3:8">
      <c r="C23" s="35" t="str">
        <f ca="1">tblIndicators!A15</f>
        <v>OPER04</v>
      </c>
      <c r="D23" s="35">
        <f t="shared" ca="1" si="0"/>
        <v>14</v>
      </c>
      <c r="E23" s="35">
        <f ca="1">tblIndicators!C15</f>
        <v>2</v>
      </c>
      <c r="F23" s="38" t="str">
        <f ca="1">tblIndicators!H15</f>
        <v>Experience in transport &amp; water concessions</v>
      </c>
      <c r="G23" s="31">
        <v>1</v>
      </c>
      <c r="H23" s="32">
        <f t="shared" ref="H23:H28" ca="1" si="1">INDEX(WeightsPercent,D23,0)</f>
        <v>0.16666666666666666</v>
      </c>
    </row>
    <row r="24" spans="3:8">
      <c r="C24" s="35" t="str">
        <f ca="1">tblIndicators!A16</f>
        <v>OPER05</v>
      </c>
      <c r="D24" s="35">
        <f ca="1">MATCH(C24,score_indicode,0)</f>
        <v>15</v>
      </c>
      <c r="E24" s="35">
        <f ca="1">tblIndicators!C16</f>
        <v>2</v>
      </c>
      <c r="F24" s="38" t="str">
        <f ca="1">tblIndicators!H16</f>
        <v>Quality of transport and water concessions</v>
      </c>
      <c r="G24" s="31">
        <v>2</v>
      </c>
      <c r="H24" s="32">
        <f t="shared" ca="1" si="1"/>
        <v>0.33333333333333331</v>
      </c>
    </row>
    <row r="25" spans="3:8" ht="20.25" customHeight="1">
      <c r="C25" s="35" t="str">
        <f ca="1">tblIndicators!A17</f>
        <v>INVT</v>
      </c>
      <c r="D25" s="35">
        <f t="shared" ca="1" si="0"/>
        <v>16</v>
      </c>
      <c r="E25" s="35">
        <f ca="1">tblIndicators!C17</f>
        <v>1</v>
      </c>
      <c r="F25" s="36" t="str">
        <f ca="1">tblIndicators!H17</f>
        <v>Investment climate</v>
      </c>
      <c r="G25" s="139"/>
      <c r="H25" s="32"/>
    </row>
    <row r="26" spans="3:8">
      <c r="C26" s="35" t="str">
        <f ca="1">tblIndicators!A18</f>
        <v>INVT01</v>
      </c>
      <c r="D26" s="35">
        <f t="shared" ca="1" si="0"/>
        <v>17</v>
      </c>
      <c r="E26" s="35">
        <f ca="1">tblIndicators!C18</f>
        <v>2</v>
      </c>
      <c r="F26" s="38" t="str">
        <f ca="1">tblIndicators!H18</f>
        <v>Political distortion</v>
      </c>
      <c r="G26" s="31">
        <v>1</v>
      </c>
      <c r="H26" s="32">
        <f t="shared" ca="1" si="1"/>
        <v>0.25</v>
      </c>
    </row>
    <row r="27" spans="3:8">
      <c r="C27" s="35" t="str">
        <f ca="1">tblIndicators!A19</f>
        <v>INVT02</v>
      </c>
      <c r="D27" s="35">
        <f t="shared" ca="1" si="0"/>
        <v>18</v>
      </c>
      <c r="E27" s="35">
        <f ca="1">tblIndicators!C19</f>
        <v>2</v>
      </c>
      <c r="F27" s="38" t="str">
        <f ca="1">tblIndicators!H19</f>
        <v>Business environment</v>
      </c>
      <c r="G27" s="31">
        <v>1</v>
      </c>
      <c r="H27" s="32">
        <f t="shared" ca="1" si="1"/>
        <v>0.25</v>
      </c>
    </row>
    <row r="28" spans="3:8">
      <c r="C28" s="35" t="str">
        <f ca="1">tblIndicators!A20</f>
        <v>INVT03</v>
      </c>
      <c r="D28" s="35">
        <f t="shared" ca="1" si="0"/>
        <v>19</v>
      </c>
      <c r="E28" s="35">
        <f ca="1">tblIndicators!C20</f>
        <v>2</v>
      </c>
      <c r="F28" s="38" t="str">
        <f ca="1">tblIndicators!H20</f>
        <v>Social attitudes towards privatisation</v>
      </c>
      <c r="G28" s="31">
        <v>2</v>
      </c>
      <c r="H28" s="32">
        <f t="shared" ca="1" si="1"/>
        <v>0.5</v>
      </c>
    </row>
    <row r="29" spans="3:8" ht="20.25" customHeight="1">
      <c r="C29" s="35" t="str">
        <f ca="1">tblIndicators!A21</f>
        <v>FINC</v>
      </c>
      <c r="D29" s="35">
        <f t="shared" ca="1" si="0"/>
        <v>20</v>
      </c>
      <c r="E29" s="35">
        <f ca="1">tblIndicators!C21</f>
        <v>1</v>
      </c>
      <c r="F29" s="36" t="str">
        <f ca="1">tblIndicators!H21</f>
        <v>Financial facilities</v>
      </c>
      <c r="G29" s="139"/>
      <c r="H29" s="32"/>
    </row>
    <row r="30" spans="3:8">
      <c r="C30" s="35" t="str">
        <f ca="1">tblIndicators!A22</f>
        <v>FINC01</v>
      </c>
      <c r="D30" s="35">
        <f t="shared" ca="1" si="0"/>
        <v>21</v>
      </c>
      <c r="E30" s="35">
        <f ca="1">tblIndicators!C22</f>
        <v>2</v>
      </c>
      <c r="F30" s="38" t="str">
        <f ca="1">tblIndicators!H22</f>
        <v>Government payment risk</v>
      </c>
      <c r="G30" s="31">
        <v>1</v>
      </c>
      <c r="H30" s="32">
        <f ca="1">INDEX(WeightsPercent,D30,0)</f>
        <v>0.33333333333333331</v>
      </c>
    </row>
    <row r="31" spans="3:8">
      <c r="C31" s="35" t="str">
        <f ca="1">tblIndicators!A23</f>
        <v>FINC02</v>
      </c>
      <c r="D31" s="35">
        <f t="shared" ca="1" si="0"/>
        <v>22</v>
      </c>
      <c r="E31" s="35">
        <f ca="1">tblIndicators!C23</f>
        <v>2</v>
      </c>
      <c r="F31" s="38" t="str">
        <f ca="1">tblIndicators!H23</f>
        <v>Capital market: private infrastructure finance</v>
      </c>
      <c r="G31" s="31">
        <v>1</v>
      </c>
      <c r="H31" s="32">
        <f ca="1">INDEX(WeightsPercent,D31,0)</f>
        <v>0.33333333333333331</v>
      </c>
    </row>
    <row r="32" spans="3:8">
      <c r="C32" s="35" t="str">
        <f ca="1">tblIndicators!A24</f>
        <v>FINC03</v>
      </c>
      <c r="D32" s="35">
        <f t="shared" ca="1" si="0"/>
        <v>23</v>
      </c>
      <c r="E32" s="35">
        <f ca="1">tblIndicators!C24</f>
        <v>2</v>
      </c>
      <c r="F32" s="38" t="str">
        <f ca="1">tblIndicators!H24</f>
        <v>Marketable debt</v>
      </c>
      <c r="G32" s="31">
        <v>0.5</v>
      </c>
      <c r="H32" s="32">
        <f ca="1">INDEX(WeightsPercent,D32,0)</f>
        <v>0.16666666666666666</v>
      </c>
    </row>
    <row r="33" spans="3:8">
      <c r="C33" s="35" t="str">
        <f ca="1">tblIndicators!A25</f>
        <v>FINC04</v>
      </c>
      <c r="D33" s="35">
        <f t="shared" ca="1" si="0"/>
        <v>24</v>
      </c>
      <c r="E33" s="35">
        <f ca="1">tblIndicators!C25</f>
        <v>2</v>
      </c>
      <c r="F33" s="38" t="str">
        <f ca="1">tblIndicators!H25</f>
        <v>Government support for low income users</v>
      </c>
      <c r="G33" s="31">
        <v>0.5</v>
      </c>
      <c r="H33" s="32">
        <f ca="1">INDEX(WeightsPercent,D33,0)</f>
        <v>0.16666666666666666</v>
      </c>
    </row>
  </sheetData>
  <sheetProtection sheet="1" objects="1" scenarios="1"/>
  <phoneticPr fontId="0" type="noConversion"/>
  <pageMargins left="0.7" right="0.7" top="0.75" bottom="0.75" header="0.3" footer="0.3"/>
  <drawing r:id="rId1"/>
  <legacyDrawing r:id="rId2"/>
</worksheet>
</file>

<file path=xl/worksheets/sheet14.xml><?xml version="1.0" encoding="utf-8"?>
<worksheet xmlns="http://schemas.openxmlformats.org/spreadsheetml/2006/main" xmlns:r="http://schemas.openxmlformats.org/officeDocument/2006/relationships">
  <sheetPr codeName="Sheet15"/>
  <dimension ref="A1:AL118"/>
  <sheetViews>
    <sheetView showGridLines="0" showRowColHeaders="0" zoomScale="80" zoomScaleNormal="60" workbookViewId="0">
      <pane xSplit="4" ySplit="4" topLeftCell="E5" activePane="bottomRight" state="frozenSplit"/>
      <selection pane="topRight" activeCell="F1" sqref="F1"/>
      <selection pane="bottomLeft" activeCell="A34" sqref="A34"/>
      <selection pane="bottomRight" activeCell="N34" sqref="N34"/>
    </sheetView>
  </sheetViews>
  <sheetFormatPr defaultRowHeight="12.75"/>
  <cols>
    <col min="1" max="1" width="3.7109375" customWidth="1"/>
    <col min="2" max="2" width="3.28515625" customWidth="1"/>
    <col min="3" max="3" width="0" hidden="1" customWidth="1"/>
    <col min="4" max="4" width="48.85546875" bestFit="1" customWidth="1"/>
    <col min="5" max="5" width="7.85546875" customWidth="1"/>
    <col min="6" max="11" width="10.28515625" bestFit="1" customWidth="1"/>
    <col min="12" max="12" width="9.7109375" customWidth="1"/>
    <col min="13" max="13" width="10.28515625" bestFit="1" customWidth="1"/>
    <col min="14" max="14" width="10.5703125" customWidth="1"/>
    <col min="15" max="15" width="13.28515625" customWidth="1"/>
    <col min="16" max="22" width="10.28515625" bestFit="1" customWidth="1"/>
    <col min="23" max="25" width="9.28515625" bestFit="1" customWidth="1"/>
    <col min="26" max="26" width="9.85546875" bestFit="1" customWidth="1"/>
  </cols>
  <sheetData>
    <row r="1" spans="1:38" s="18" customFormat="1" ht="22.5" customHeight="1">
      <c r="A1" s="18" t="s">
        <v>561</v>
      </c>
      <c r="G1" s="44"/>
      <c r="H1" s="44"/>
    </row>
    <row r="3" spans="1:38">
      <c r="F3" s="13" t="s">
        <v>263</v>
      </c>
      <c r="G3" s="13" t="s">
        <v>518</v>
      </c>
      <c r="H3" s="13" t="s">
        <v>264</v>
      </c>
      <c r="I3" s="13" t="s">
        <v>266</v>
      </c>
      <c r="J3" s="13" t="s">
        <v>267</v>
      </c>
      <c r="K3" s="13" t="s">
        <v>269</v>
      </c>
      <c r="L3" s="13" t="s">
        <v>270</v>
      </c>
      <c r="M3" s="13" t="s">
        <v>271</v>
      </c>
      <c r="N3" s="13" t="s">
        <v>273</v>
      </c>
      <c r="O3" s="13" t="s">
        <v>275</v>
      </c>
      <c r="P3" s="13" t="s">
        <v>276</v>
      </c>
      <c r="Q3" s="13" t="s">
        <v>515</v>
      </c>
      <c r="R3" s="13" t="s">
        <v>278</v>
      </c>
      <c r="S3" s="13" t="s">
        <v>280</v>
      </c>
      <c r="T3" s="13" t="s">
        <v>282</v>
      </c>
      <c r="U3" s="13" t="s">
        <v>283</v>
      </c>
      <c r="V3" s="13" t="s">
        <v>411</v>
      </c>
      <c r="W3" s="13" t="s">
        <v>285</v>
      </c>
      <c r="X3" s="13" t="s">
        <v>287</v>
      </c>
    </row>
    <row r="4" spans="1:38">
      <c r="F4" s="213" t="s">
        <v>248</v>
      </c>
      <c r="G4" s="214" t="s">
        <v>508</v>
      </c>
      <c r="H4" s="213" t="s">
        <v>249</v>
      </c>
      <c r="I4" s="213" t="s">
        <v>250</v>
      </c>
      <c r="J4" s="213" t="s">
        <v>251</v>
      </c>
      <c r="K4" s="215" t="s">
        <v>730</v>
      </c>
      <c r="L4" s="213" t="s">
        <v>252</v>
      </c>
      <c r="M4" s="213" t="s">
        <v>253</v>
      </c>
      <c r="N4" s="213" t="s">
        <v>254</v>
      </c>
      <c r="O4" s="213" t="s">
        <v>255</v>
      </c>
      <c r="P4" s="213" t="s">
        <v>256</v>
      </c>
      <c r="Q4" s="213" t="s">
        <v>507</v>
      </c>
      <c r="R4" s="213" t="s">
        <v>257</v>
      </c>
      <c r="S4" s="213" t="s">
        <v>258</v>
      </c>
      <c r="T4" s="213" t="s">
        <v>259</v>
      </c>
      <c r="U4" s="213" t="s">
        <v>260</v>
      </c>
      <c r="V4" s="213" t="s">
        <v>412</v>
      </c>
      <c r="W4" s="213" t="s">
        <v>261</v>
      </c>
      <c r="X4" s="213" t="s">
        <v>262</v>
      </c>
      <c r="Y4" s="13"/>
    </row>
    <row r="7" spans="1:38" s="9" customFormat="1" ht="9" customHeight="1">
      <c r="H7" s="16"/>
      <c r="I7" s="16"/>
      <c r="J7" s="16"/>
      <c r="M7" s="17"/>
      <c r="N7" s="17"/>
      <c r="O7" s="23"/>
      <c r="P7" s="24"/>
      <c r="Q7" s="24"/>
      <c r="R7" s="126"/>
      <c r="S7" s="126"/>
      <c r="T7" s="126"/>
      <c r="U7" s="126"/>
      <c r="V7" s="126"/>
      <c r="W7" s="126"/>
      <c r="X7" s="126"/>
      <c r="Y7" s="126"/>
      <c r="Z7" s="126"/>
      <c r="AA7" s="126"/>
      <c r="AB7" s="126"/>
      <c r="AC7" s="126"/>
      <c r="AD7" s="126"/>
      <c r="AE7" s="126"/>
      <c r="AF7" s="126"/>
      <c r="AG7" s="126"/>
      <c r="AH7" s="126"/>
      <c r="AI7" s="126"/>
      <c r="AJ7" s="126"/>
      <c r="AK7" s="126"/>
      <c r="AL7" s="126"/>
    </row>
    <row r="8" spans="1:38" s="68" customFormat="1" ht="16.5" customHeight="1">
      <c r="C8" s="68" t="str">
        <f ca="1">tblIndicators!A3</f>
        <v>LEGF</v>
      </c>
      <c r="D8" s="68" t="str">
        <f ca="1">tblIndicators!H3</f>
        <v>Legal and regulatory framework</v>
      </c>
    </row>
    <row r="9" spans="1:38">
      <c r="C9" t="str">
        <f ca="1">tblIndicators!A4</f>
        <v>LEGF01</v>
      </c>
      <c r="D9" t="str">
        <f ca="1">tblIndicators!H4</f>
        <v>Consistency and quality of PPP regulations</v>
      </c>
      <c r="E9" t="str">
        <f ca="1">tblIndicators!I4</f>
        <v>0-4, where 4=best and 0=worst</v>
      </c>
      <c r="F9" s="57">
        <v>2</v>
      </c>
      <c r="G9" s="57">
        <v>2</v>
      </c>
      <c r="H9" s="57">
        <v>3</v>
      </c>
      <c r="I9" s="57">
        <v>1</v>
      </c>
      <c r="J9" s="57">
        <v>2</v>
      </c>
      <c r="K9" s="57">
        <v>1</v>
      </c>
      <c r="L9" s="57">
        <v>0</v>
      </c>
      <c r="M9" s="57">
        <v>0</v>
      </c>
      <c r="N9" s="57">
        <v>1</v>
      </c>
      <c r="O9" s="57">
        <v>1</v>
      </c>
      <c r="P9" s="75">
        <v>1</v>
      </c>
      <c r="Q9" s="57">
        <v>2</v>
      </c>
      <c r="R9" s="57">
        <v>0</v>
      </c>
      <c r="S9" s="57">
        <v>1</v>
      </c>
      <c r="T9" s="75">
        <v>1</v>
      </c>
      <c r="U9" s="57">
        <v>3</v>
      </c>
      <c r="V9" s="75">
        <v>1</v>
      </c>
      <c r="W9" s="57">
        <v>2</v>
      </c>
      <c r="X9" s="57">
        <v>1</v>
      </c>
    </row>
    <row r="10" spans="1:38">
      <c r="C10" t="str">
        <f ca="1">tblIndicators!A5</f>
        <v>LEGF02</v>
      </c>
      <c r="D10" t="str">
        <f ca="1">tblIndicators!H5</f>
        <v>Effective PPP selection and decision making</v>
      </c>
      <c r="E10" t="str">
        <f ca="1">tblIndicators!I5</f>
        <v>0-4, where 4=best and 0=worst</v>
      </c>
      <c r="F10" s="57">
        <v>0</v>
      </c>
      <c r="G10" s="57">
        <v>2</v>
      </c>
      <c r="H10" s="57">
        <v>2</v>
      </c>
      <c r="I10" s="57">
        <v>2</v>
      </c>
      <c r="J10" s="57">
        <v>1</v>
      </c>
      <c r="K10" s="57">
        <v>0</v>
      </c>
      <c r="L10" s="57">
        <v>0</v>
      </c>
      <c r="M10" s="57">
        <v>1</v>
      </c>
      <c r="N10" s="57">
        <v>0</v>
      </c>
      <c r="O10" s="57">
        <v>1</v>
      </c>
      <c r="P10" s="75">
        <v>1</v>
      </c>
      <c r="Q10" s="57">
        <v>1</v>
      </c>
      <c r="R10" s="57">
        <v>0</v>
      </c>
      <c r="S10" s="57">
        <v>1</v>
      </c>
      <c r="T10" s="75">
        <v>1</v>
      </c>
      <c r="U10" s="57">
        <v>2</v>
      </c>
      <c r="V10" s="75">
        <v>0</v>
      </c>
      <c r="W10" s="57">
        <v>1</v>
      </c>
      <c r="X10" s="57">
        <v>0</v>
      </c>
    </row>
    <row r="11" spans="1:38">
      <c r="C11" t="str">
        <f ca="1">tblIndicators!A6</f>
        <v>LEGF03</v>
      </c>
      <c r="D11" t="str">
        <f ca="1">tblIndicators!H6</f>
        <v>Fairness/openness of bids, contract changes</v>
      </c>
      <c r="E11" t="str">
        <f ca="1">tblIndicators!I6</f>
        <v>0-4, where 4=best and 0=worst</v>
      </c>
      <c r="F11" s="57">
        <v>0</v>
      </c>
      <c r="G11" s="57">
        <v>2</v>
      </c>
      <c r="H11" s="57">
        <v>3</v>
      </c>
      <c r="I11" s="57">
        <v>1</v>
      </c>
      <c r="J11" s="57">
        <v>2</v>
      </c>
      <c r="K11" s="57">
        <v>0</v>
      </c>
      <c r="L11" s="57">
        <v>0</v>
      </c>
      <c r="M11" s="57">
        <v>2</v>
      </c>
      <c r="N11" s="57">
        <v>1</v>
      </c>
      <c r="O11" s="57">
        <v>1</v>
      </c>
      <c r="P11" s="75">
        <v>1</v>
      </c>
      <c r="Q11" s="57">
        <v>1</v>
      </c>
      <c r="R11" s="57">
        <v>0</v>
      </c>
      <c r="S11" s="57">
        <v>1</v>
      </c>
      <c r="T11" s="75">
        <v>0</v>
      </c>
      <c r="U11" s="57">
        <v>2</v>
      </c>
      <c r="V11" s="75">
        <v>1</v>
      </c>
      <c r="W11" s="57">
        <v>1</v>
      </c>
      <c r="X11" s="57">
        <v>0</v>
      </c>
    </row>
    <row r="12" spans="1:38">
      <c r="C12" t="str">
        <f ca="1">tblIndicators!A7</f>
        <v>LEGF04</v>
      </c>
      <c r="D12" t="str">
        <f ca="1">tblIndicators!H7</f>
        <v>Dispute resolution mechanisms</v>
      </c>
      <c r="E12" t="str">
        <f ca="1">tblIndicators!I7</f>
        <v>0-4, where 4=best and 0=worst</v>
      </c>
      <c r="F12" s="57">
        <v>0</v>
      </c>
      <c r="G12" s="57">
        <v>2</v>
      </c>
      <c r="H12" s="57">
        <v>2</v>
      </c>
      <c r="I12" s="57">
        <v>1</v>
      </c>
      <c r="J12" s="57">
        <v>2</v>
      </c>
      <c r="K12" s="57">
        <v>1</v>
      </c>
      <c r="L12" s="57">
        <v>1</v>
      </c>
      <c r="M12" s="57">
        <v>1</v>
      </c>
      <c r="N12" s="57">
        <v>1</v>
      </c>
      <c r="O12" s="57">
        <v>1</v>
      </c>
      <c r="P12" s="75">
        <v>1</v>
      </c>
      <c r="Q12" s="57">
        <v>2</v>
      </c>
      <c r="R12" s="57">
        <v>1</v>
      </c>
      <c r="S12" s="57">
        <v>1</v>
      </c>
      <c r="T12" s="75">
        <v>1</v>
      </c>
      <c r="U12" s="57">
        <v>1</v>
      </c>
      <c r="V12" s="75">
        <v>1</v>
      </c>
      <c r="W12" s="57">
        <v>1</v>
      </c>
      <c r="X12" s="57">
        <v>0</v>
      </c>
    </row>
    <row r="13" spans="1:38" s="68" customFormat="1" ht="16.5" customHeight="1">
      <c r="C13" s="68" t="str">
        <f ca="1">tblIndicators!A8</f>
        <v>INST</v>
      </c>
      <c r="D13" s="68" t="str">
        <f ca="1">tblIndicators!H8</f>
        <v>Institutional framework</v>
      </c>
      <c r="E13" s="68" t="str">
        <f ca="1">tblIndicators!I8</f>
        <v>Weighted sum of indicator scores.  0 - 100 where 100 = best and 0 = worst</v>
      </c>
      <c r="F13" s="57"/>
      <c r="G13" s="57"/>
      <c r="H13" s="57"/>
      <c r="I13" s="57"/>
      <c r="J13" s="57"/>
      <c r="K13" s="57"/>
      <c r="L13" s="57"/>
      <c r="M13" s="57"/>
      <c r="N13" s="57"/>
      <c r="O13" s="57"/>
      <c r="P13" s="57"/>
      <c r="Q13" s="57"/>
      <c r="R13" s="57"/>
      <c r="S13" s="57"/>
      <c r="T13" s="75"/>
      <c r="U13" s="57"/>
      <c r="V13" s="57"/>
      <c r="W13" s="57"/>
      <c r="X13" s="57"/>
    </row>
    <row r="14" spans="1:38">
      <c r="C14" t="str">
        <f ca="1">tblIndicators!A9</f>
        <v>INST01</v>
      </c>
      <c r="D14" t="str">
        <f ca="1">tblIndicators!H9</f>
        <v>Quality of institutional design</v>
      </c>
      <c r="F14" s="57">
        <v>1</v>
      </c>
      <c r="G14" s="57">
        <v>3</v>
      </c>
      <c r="H14" s="57">
        <v>2</v>
      </c>
      <c r="I14" s="57">
        <v>1</v>
      </c>
      <c r="J14" s="57">
        <v>1</v>
      </c>
      <c r="K14" s="57">
        <v>1</v>
      </c>
      <c r="L14" s="57">
        <v>0</v>
      </c>
      <c r="M14" s="57">
        <v>0</v>
      </c>
      <c r="N14" s="57">
        <v>1</v>
      </c>
      <c r="O14" s="57">
        <v>1</v>
      </c>
      <c r="P14" s="75">
        <v>2</v>
      </c>
      <c r="Q14" s="57">
        <v>1</v>
      </c>
      <c r="R14" s="57">
        <v>0</v>
      </c>
      <c r="S14" s="57">
        <v>0</v>
      </c>
      <c r="T14" s="75">
        <v>1</v>
      </c>
      <c r="U14" s="57">
        <v>2</v>
      </c>
      <c r="V14" s="75">
        <v>1</v>
      </c>
      <c r="W14" s="57">
        <v>1</v>
      </c>
      <c r="X14" s="57">
        <v>0</v>
      </c>
    </row>
    <row r="15" spans="1:38">
      <c r="C15" t="str">
        <f ca="1">tblIndicators!A10</f>
        <v>INST02</v>
      </c>
      <c r="D15" t="str">
        <f ca="1">tblIndicators!H10</f>
        <v>PPP contract, hold-up and expropriation risk</v>
      </c>
      <c r="E15" t="str">
        <f ca="1">tblIndicators!I10</f>
        <v>0-4, where 4=best and 0=worst</v>
      </c>
      <c r="F15" s="57">
        <v>0</v>
      </c>
      <c r="G15" s="57">
        <v>2</v>
      </c>
      <c r="H15" s="57">
        <v>2</v>
      </c>
      <c r="I15" s="57">
        <v>2</v>
      </c>
      <c r="J15" s="75">
        <v>1</v>
      </c>
      <c r="K15" s="57">
        <v>1</v>
      </c>
      <c r="L15" s="57">
        <v>0</v>
      </c>
      <c r="M15" s="57">
        <v>2</v>
      </c>
      <c r="N15" s="57">
        <v>1</v>
      </c>
      <c r="O15" s="57">
        <v>2</v>
      </c>
      <c r="P15" s="75">
        <v>1</v>
      </c>
      <c r="Q15" s="206">
        <v>2</v>
      </c>
      <c r="R15" s="57">
        <v>1</v>
      </c>
      <c r="S15" s="57">
        <v>1</v>
      </c>
      <c r="T15" s="75">
        <v>1</v>
      </c>
      <c r="U15" s="57">
        <v>2</v>
      </c>
      <c r="V15" s="75">
        <v>1</v>
      </c>
      <c r="W15" s="57">
        <v>2</v>
      </c>
      <c r="X15" s="57">
        <v>0</v>
      </c>
    </row>
    <row r="16" spans="1:38" s="68" customFormat="1" ht="16.5" customHeight="1">
      <c r="C16" s="68" t="str">
        <f ca="1">tblIndicators!A11</f>
        <v>OPER</v>
      </c>
      <c r="D16" s="68" t="str">
        <f ca="1">tblIndicators!H11</f>
        <v>Operational maturity</v>
      </c>
      <c r="E16" s="68" t="str">
        <f ca="1">tblIndicators!I11</f>
        <v>Weighted sum of indicator scores.  0 - 100 where 100 = best and 0 = worst</v>
      </c>
      <c r="F16" s="57"/>
      <c r="G16" s="57"/>
      <c r="H16" s="57"/>
      <c r="I16" s="57"/>
      <c r="J16" s="57"/>
      <c r="K16" s="57"/>
      <c r="L16" s="57"/>
      <c r="M16" s="57"/>
      <c r="N16" s="57"/>
      <c r="O16" s="57"/>
      <c r="P16" s="57"/>
      <c r="Q16" s="57"/>
      <c r="R16" s="57"/>
      <c r="S16" s="57"/>
      <c r="T16" s="75"/>
      <c r="U16" s="57"/>
      <c r="V16" s="57"/>
      <c r="W16" s="57"/>
      <c r="X16" s="57"/>
    </row>
    <row r="17" spans="3:25">
      <c r="C17" t="str">
        <f ca="1">tblIndicators!A12</f>
        <v>OPER01</v>
      </c>
      <c r="D17" t="str">
        <f ca="1">tblIndicators!H12</f>
        <v>Public capacity to plan and oversee PPPs</v>
      </c>
      <c r="E17" t="str">
        <f ca="1">tblIndicators!I12</f>
        <v>0-4, where 4=best and 0=worst</v>
      </c>
      <c r="F17" s="57">
        <v>2</v>
      </c>
      <c r="G17" s="57">
        <v>2</v>
      </c>
      <c r="H17" s="57">
        <v>3</v>
      </c>
      <c r="I17" s="57">
        <v>2</v>
      </c>
      <c r="J17" s="57">
        <v>1</v>
      </c>
      <c r="K17" s="57">
        <v>1</v>
      </c>
      <c r="L17" s="57">
        <v>1</v>
      </c>
      <c r="M17" s="57">
        <v>2</v>
      </c>
      <c r="N17" s="57">
        <v>0</v>
      </c>
      <c r="O17" s="57">
        <v>1</v>
      </c>
      <c r="P17" s="75">
        <v>1</v>
      </c>
      <c r="Q17" s="57">
        <v>1</v>
      </c>
      <c r="R17" s="57">
        <v>0</v>
      </c>
      <c r="S17" s="57">
        <v>0</v>
      </c>
      <c r="T17" s="75">
        <v>0</v>
      </c>
      <c r="U17" s="57">
        <v>1</v>
      </c>
      <c r="V17" s="75">
        <v>0</v>
      </c>
      <c r="W17" s="57">
        <v>1</v>
      </c>
      <c r="X17" s="57">
        <v>1</v>
      </c>
      <c r="Y17" s="136"/>
    </row>
    <row r="18" spans="3:25">
      <c r="C18" t="str">
        <f ca="1">tblIndicators!A13</f>
        <v>OPER02</v>
      </c>
      <c r="D18" t="str">
        <f ca="1">tblIndicators!H13</f>
        <v xml:space="preserve">Methods and criteria for awarding projects </v>
      </c>
      <c r="E18" t="str">
        <f ca="1">tblIndicators!I13</f>
        <v>0-4, where 4=best and 0=worst</v>
      </c>
      <c r="F18" s="57">
        <v>1</v>
      </c>
      <c r="G18" s="57">
        <v>2</v>
      </c>
      <c r="H18" s="57">
        <v>3</v>
      </c>
      <c r="I18" s="57">
        <v>2</v>
      </c>
      <c r="J18" s="57">
        <v>2</v>
      </c>
      <c r="K18" s="57">
        <v>0</v>
      </c>
      <c r="L18" s="57">
        <v>0</v>
      </c>
      <c r="M18" s="57">
        <v>1</v>
      </c>
      <c r="N18" s="57">
        <v>1</v>
      </c>
      <c r="O18" s="57">
        <v>1</v>
      </c>
      <c r="P18" s="75">
        <v>0</v>
      </c>
      <c r="Q18" s="57">
        <v>1</v>
      </c>
      <c r="R18" s="57">
        <v>0</v>
      </c>
      <c r="S18" s="57">
        <v>0</v>
      </c>
      <c r="T18" s="75">
        <v>0</v>
      </c>
      <c r="U18" s="57">
        <v>2</v>
      </c>
      <c r="V18" s="75">
        <v>1</v>
      </c>
      <c r="W18" s="57">
        <v>1</v>
      </c>
      <c r="X18" s="57">
        <v>0</v>
      </c>
      <c r="Y18" s="14"/>
    </row>
    <row r="19" spans="3:25" s="73" customFormat="1">
      <c r="C19" s="73" t="str">
        <f ca="1">tblIndicators!A14</f>
        <v>OPER03</v>
      </c>
      <c r="D19" s="73" t="str">
        <f ca="1">tblIndicators!H14</f>
        <v>Regulators' risk allocation record</v>
      </c>
      <c r="F19" s="75">
        <v>0</v>
      </c>
      <c r="G19" s="75">
        <v>2</v>
      </c>
      <c r="H19" s="75">
        <v>3</v>
      </c>
      <c r="I19" s="75">
        <v>1</v>
      </c>
      <c r="J19" s="75">
        <v>2</v>
      </c>
      <c r="K19" s="75">
        <v>0</v>
      </c>
      <c r="L19" s="75">
        <v>0</v>
      </c>
      <c r="M19" s="75">
        <v>0</v>
      </c>
      <c r="N19" s="75">
        <v>1</v>
      </c>
      <c r="O19" s="75">
        <v>1</v>
      </c>
      <c r="P19" s="75">
        <v>1</v>
      </c>
      <c r="Q19" s="75">
        <v>1</v>
      </c>
      <c r="R19" s="75">
        <v>0</v>
      </c>
      <c r="S19" s="75">
        <v>0</v>
      </c>
      <c r="T19" s="75">
        <v>0</v>
      </c>
      <c r="U19" s="75">
        <v>2</v>
      </c>
      <c r="V19" s="75">
        <v>0</v>
      </c>
      <c r="W19" s="75">
        <v>1</v>
      </c>
      <c r="X19" s="75">
        <v>0</v>
      </c>
    </row>
    <row r="20" spans="3:25" s="68" customFormat="1">
      <c r="C20" t="str">
        <f ca="1">tblIndicators!A15</f>
        <v>OPER04</v>
      </c>
      <c r="D20" s="73" t="str">
        <f ca="1">tblIndicators!H15</f>
        <v>Experience in transport &amp; water concessions</v>
      </c>
      <c r="E20" t="str">
        <f ca="1">tblIndicators!I15</f>
        <v>Normalised: higher=better</v>
      </c>
      <c r="F20" s="145">
        <v>27</v>
      </c>
      <c r="G20" s="145">
        <v>105</v>
      </c>
      <c r="H20" s="145">
        <v>44</v>
      </c>
      <c r="I20" s="145">
        <v>45</v>
      </c>
      <c r="J20" s="145">
        <v>5</v>
      </c>
      <c r="K20" s="145">
        <v>7</v>
      </c>
      <c r="L20" s="145">
        <v>12</v>
      </c>
      <c r="M20" s="145">
        <v>0</v>
      </c>
      <c r="N20" s="145">
        <v>2</v>
      </c>
      <c r="O20" s="145">
        <v>3</v>
      </c>
      <c r="P20" s="145">
        <v>2</v>
      </c>
      <c r="Q20" s="145">
        <v>62</v>
      </c>
      <c r="R20" s="145">
        <v>1</v>
      </c>
      <c r="S20" s="145">
        <v>3</v>
      </c>
      <c r="T20" s="145">
        <v>1</v>
      </c>
      <c r="U20" s="145">
        <v>20</v>
      </c>
      <c r="V20" s="145">
        <v>1</v>
      </c>
      <c r="W20" s="145">
        <v>5</v>
      </c>
      <c r="X20" s="145">
        <v>4</v>
      </c>
    </row>
    <row r="21" spans="3:25" s="68" customFormat="1">
      <c r="C21" t="str">
        <f ca="1">tblIndicators!A16</f>
        <v>OPER05</v>
      </c>
      <c r="D21" s="73" t="str">
        <f ca="1">tblIndicators!H16</f>
        <v>Quality of transport and water concessions</v>
      </c>
      <c r="E21" t="str">
        <f ca="1">tblIndicators!I16</f>
        <v>Normalised: lower=better</v>
      </c>
      <c r="F21">
        <v>25.925925925925924</v>
      </c>
      <c r="G21">
        <v>3.8095238095238098</v>
      </c>
      <c r="H21">
        <v>0</v>
      </c>
      <c r="I21">
        <v>8.8888888888888893</v>
      </c>
      <c r="J21">
        <v>1</v>
      </c>
      <c r="K21">
        <v>1</v>
      </c>
      <c r="L21">
        <v>1</v>
      </c>
      <c r="M21">
        <v>100</v>
      </c>
      <c r="N21">
        <v>50</v>
      </c>
      <c r="O21">
        <v>1</v>
      </c>
      <c r="P21">
        <v>1</v>
      </c>
      <c r="Q21">
        <v>4.838709677419355</v>
      </c>
      <c r="R21">
        <v>1</v>
      </c>
      <c r="S21">
        <v>1</v>
      </c>
      <c r="T21">
        <v>1</v>
      </c>
      <c r="U21">
        <v>5</v>
      </c>
      <c r="V21">
        <v>100</v>
      </c>
      <c r="W21">
        <v>40</v>
      </c>
      <c r="X21">
        <v>25</v>
      </c>
    </row>
    <row r="22" spans="3:25" s="68" customFormat="1" ht="16.5" customHeight="1">
      <c r="C22" s="68" t="str">
        <f ca="1">tblIndicators!A17</f>
        <v>INVT</v>
      </c>
      <c r="D22" s="216" t="str">
        <f ca="1">tblIndicators!H17</f>
        <v>Investment climate</v>
      </c>
      <c r="E22" s="68" t="str">
        <f ca="1">tblIndicators!I17</f>
        <v>Weighted sum of indicator scores.  0 - 100 where 100 = best and 0 = worst</v>
      </c>
      <c r="F22" s="57"/>
      <c r="G22" s="57"/>
      <c r="H22" s="57"/>
      <c r="I22" s="57"/>
      <c r="J22" s="57"/>
      <c r="K22" s="57"/>
      <c r="L22" s="57"/>
      <c r="M22" s="57"/>
      <c r="N22" s="57"/>
      <c r="O22" s="57"/>
      <c r="P22" s="57"/>
      <c r="Q22" s="57"/>
      <c r="R22" s="57"/>
      <c r="S22" s="57"/>
      <c r="T22" s="57"/>
      <c r="U22" s="57"/>
      <c r="V22" s="57"/>
      <c r="W22" s="57"/>
      <c r="X22" s="57"/>
    </row>
    <row r="23" spans="3:25">
      <c r="C23" t="str">
        <f ca="1">tblIndicators!A18</f>
        <v>INVT01</v>
      </c>
      <c r="D23" s="73" t="str">
        <f ca="1">tblIndicators!H18</f>
        <v>Political distortion</v>
      </c>
      <c r="E23" t="str">
        <f ca="1">tblIndicators!I18</f>
        <v>Normalised: higher=better</v>
      </c>
      <c r="F23" s="57">
        <v>35.301009490404851</v>
      </c>
      <c r="G23" s="57">
        <v>41.897202495915479</v>
      </c>
      <c r="H23" s="57">
        <v>73.944616053998573</v>
      </c>
      <c r="I23" s="57">
        <v>34.444584446000015</v>
      </c>
      <c r="J23" s="57">
        <v>54.487153315921553</v>
      </c>
      <c r="K23" s="57">
        <v>24.729844425408608</v>
      </c>
      <c r="L23" s="57">
        <v>12.252525079230292</v>
      </c>
      <c r="M23" s="57">
        <v>42.08253569653651</v>
      </c>
      <c r="N23" s="57">
        <v>21.892085012720777</v>
      </c>
      <c r="O23" s="57">
        <v>16.300960598541245</v>
      </c>
      <c r="P23" s="57">
        <v>39.834574188822558</v>
      </c>
      <c r="Q23" s="57">
        <v>40.712987885642164</v>
      </c>
      <c r="R23" s="57">
        <v>21.848606283801153</v>
      </c>
      <c r="S23" s="57">
        <v>37.528681877845983</v>
      </c>
      <c r="T23" s="57">
        <v>25.871628037437148</v>
      </c>
      <c r="U23" s="57">
        <v>32.015492737199175</v>
      </c>
      <c r="V23" s="57">
        <v>39.288550849935135</v>
      </c>
      <c r="W23" s="57">
        <v>54.755211307958795</v>
      </c>
      <c r="X23" s="57">
        <v>13.745995807127882</v>
      </c>
    </row>
    <row r="24" spans="3:25">
      <c r="C24" t="str">
        <f ca="1">tblIndicators!A19</f>
        <v>INVT02</v>
      </c>
      <c r="D24" s="73" t="str">
        <f ca="1">tblIndicators!H19</f>
        <v>Business environment</v>
      </c>
      <c r="E24" t="str">
        <f ca="1">tblIndicators!I19</f>
        <v>Normalised: higher=better</v>
      </c>
      <c r="F24" s="57">
        <v>53.125638688798539</v>
      </c>
      <c r="G24" s="57">
        <v>59.879816412486079</v>
      </c>
      <c r="H24" s="57">
        <v>68.707589292777584</v>
      </c>
      <c r="I24" s="57">
        <v>53.745149813385005</v>
      </c>
      <c r="J24" s="57">
        <v>41.42744288535151</v>
      </c>
      <c r="K24" s="57">
        <v>35.61868593095673</v>
      </c>
      <c r="L24" s="57">
        <v>55.07629548647521</v>
      </c>
      <c r="M24" s="57">
        <v>65.731717056299871</v>
      </c>
      <c r="N24" s="57">
        <v>46.345729562669646</v>
      </c>
      <c r="O24" s="57">
        <v>42.431393175162832</v>
      </c>
      <c r="P24" s="57">
        <v>38.460934936305151</v>
      </c>
      <c r="Q24" s="57">
        <v>61.814425598440621</v>
      </c>
      <c r="R24" s="57">
        <v>41.945009833266759</v>
      </c>
      <c r="S24" s="57">
        <v>63.50579206788445</v>
      </c>
      <c r="T24" s="57">
        <v>40.748667244139696</v>
      </c>
      <c r="U24" s="57">
        <v>66.116085655095603</v>
      </c>
      <c r="V24" s="57">
        <v>61.579751096714993</v>
      </c>
      <c r="W24" s="57">
        <v>50.263715881875513</v>
      </c>
      <c r="X24" s="57">
        <v>41.021976137748567</v>
      </c>
    </row>
    <row r="25" spans="3:25">
      <c r="C25" t="str">
        <f ca="1">tblIndicators!A20</f>
        <v>INVT03</v>
      </c>
      <c r="D25" s="73" t="str">
        <f ca="1">tblIndicators!H20</f>
        <v>Social attitudes towards privatisation</v>
      </c>
      <c r="E25" t="str">
        <f ca="1">tblIndicators!I20</f>
        <v>Normalised: lower=better</v>
      </c>
      <c r="F25" s="57">
        <v>0.35694444444444445</v>
      </c>
      <c r="G25" s="57">
        <v>0.21096345514950166</v>
      </c>
      <c r="H25" s="57">
        <v>0.24222222222222223</v>
      </c>
      <c r="I25" s="57">
        <v>0.30066666666666669</v>
      </c>
      <c r="J25" s="57">
        <v>0.26833333333333331</v>
      </c>
      <c r="K25" s="57">
        <v>0.34300000000000003</v>
      </c>
      <c r="L25" s="57">
        <v>0.40055555555555555</v>
      </c>
      <c r="M25" s="57">
        <v>0.40166666666666667</v>
      </c>
      <c r="N25" s="57">
        <v>0.41933333333333334</v>
      </c>
      <c r="O25" s="57">
        <v>0.32433333333333331</v>
      </c>
      <c r="P25" s="57">
        <v>0.59385903698534548</v>
      </c>
      <c r="Q25" s="57">
        <v>0.3175</v>
      </c>
      <c r="R25" s="57">
        <v>0.22600000000000001</v>
      </c>
      <c r="S25" s="57">
        <v>0.33630952380952384</v>
      </c>
      <c r="T25" s="57">
        <v>0.18527777777777779</v>
      </c>
      <c r="U25" s="57">
        <v>0.27527777777777779</v>
      </c>
      <c r="V25" s="57">
        <v>0.31853511199690948</v>
      </c>
      <c r="W25" s="57">
        <v>0.20222222222222222</v>
      </c>
      <c r="X25" s="57">
        <v>0.32916666666666666</v>
      </c>
    </row>
    <row r="26" spans="3:25" s="68" customFormat="1" ht="16.5" customHeight="1">
      <c r="C26" s="68" t="str">
        <f ca="1">tblIndicators!A21</f>
        <v>FINC</v>
      </c>
      <c r="D26" s="216" t="str">
        <f ca="1">tblIndicators!H21</f>
        <v>Financial facilities</v>
      </c>
      <c r="E26" s="68" t="str">
        <f ca="1">tblIndicators!I21</f>
        <v>Weighted sum of indicator scores.  0 - 100 where 100 = best and 0 = worst</v>
      </c>
      <c r="F26" s="57"/>
      <c r="G26" s="57"/>
      <c r="H26" s="57"/>
      <c r="I26" s="57"/>
      <c r="J26" s="57"/>
      <c r="K26" s="57"/>
      <c r="L26" s="57"/>
      <c r="M26" s="57"/>
      <c r="N26" s="57"/>
      <c r="O26" s="57"/>
      <c r="P26" s="57"/>
      <c r="Q26" s="57"/>
      <c r="R26" s="57"/>
      <c r="S26" s="57"/>
      <c r="T26" s="57"/>
      <c r="U26" s="57"/>
      <c r="V26" s="57"/>
      <c r="W26" s="57"/>
      <c r="X26" s="57"/>
    </row>
    <row r="27" spans="3:25">
      <c r="C27" t="str">
        <f ca="1">tblIndicators!A22</f>
        <v>FINC01</v>
      </c>
      <c r="D27" s="73" t="str">
        <f ca="1">tblIndicators!H22</f>
        <v>Government payment risk</v>
      </c>
      <c r="E27" s="73" t="str">
        <f ca="1">tblIndicators!I22</f>
        <v>0-4, where 4=best and 0=worst</v>
      </c>
      <c r="F27" s="75">
        <v>0</v>
      </c>
      <c r="G27" s="75">
        <v>3</v>
      </c>
      <c r="H27" s="75">
        <v>4</v>
      </c>
      <c r="I27" s="75">
        <v>2</v>
      </c>
      <c r="J27" s="75">
        <v>2</v>
      </c>
      <c r="K27" s="75">
        <v>0</v>
      </c>
      <c r="L27" s="75">
        <v>1</v>
      </c>
      <c r="M27" s="75">
        <v>2</v>
      </c>
      <c r="N27" s="75">
        <v>2</v>
      </c>
      <c r="O27" s="75">
        <v>0</v>
      </c>
      <c r="P27" s="75">
        <v>1</v>
      </c>
      <c r="Q27" s="75">
        <v>3</v>
      </c>
      <c r="R27" s="75">
        <v>1</v>
      </c>
      <c r="S27" s="75">
        <v>2</v>
      </c>
      <c r="T27" s="75">
        <v>2</v>
      </c>
      <c r="U27" s="75">
        <v>3</v>
      </c>
      <c r="V27" s="75">
        <v>3</v>
      </c>
      <c r="W27" s="75">
        <v>1</v>
      </c>
      <c r="X27" s="75">
        <v>1</v>
      </c>
      <c r="Y27" s="136"/>
    </row>
    <row r="28" spans="3:25" s="68" customFormat="1">
      <c r="C28" t="str">
        <f ca="1">tblIndicators!A23</f>
        <v>FINC02</v>
      </c>
      <c r="D28" s="73" t="str">
        <f ca="1">tblIndicators!H23</f>
        <v>Capital market: private infrastructure finance</v>
      </c>
      <c r="E28" s="73" t="str">
        <f ca="1">tblIndicators!I23</f>
        <v>0-4, where 4=best and 0=worst</v>
      </c>
      <c r="F28" s="57">
        <v>1</v>
      </c>
      <c r="G28" s="57">
        <v>3</v>
      </c>
      <c r="H28" s="57">
        <v>4</v>
      </c>
      <c r="I28" s="57">
        <v>2</v>
      </c>
      <c r="J28" s="75">
        <v>2</v>
      </c>
      <c r="K28" s="57">
        <v>1</v>
      </c>
      <c r="L28" s="57">
        <v>1</v>
      </c>
      <c r="M28" s="57">
        <v>2</v>
      </c>
      <c r="N28" s="57">
        <v>0</v>
      </c>
      <c r="O28" s="57">
        <v>0</v>
      </c>
      <c r="P28" s="75">
        <v>0</v>
      </c>
      <c r="Q28" s="57">
        <v>3</v>
      </c>
      <c r="R28" s="57">
        <v>0</v>
      </c>
      <c r="S28" s="57">
        <v>2</v>
      </c>
      <c r="T28" s="57">
        <v>1</v>
      </c>
      <c r="U28" s="57">
        <v>2</v>
      </c>
      <c r="V28" s="75">
        <v>2</v>
      </c>
      <c r="W28" s="75">
        <v>1</v>
      </c>
      <c r="X28" s="75">
        <v>1</v>
      </c>
    </row>
    <row r="29" spans="3:25">
      <c r="C29" t="str">
        <f ca="1">tblIndicators!A24</f>
        <v>FINC03</v>
      </c>
      <c r="D29" s="73" t="str">
        <f ca="1">tblIndicators!H24</f>
        <v>Marketable debt</v>
      </c>
      <c r="E29" s="73" t="str">
        <f ca="1">tblIndicators!I24</f>
        <v>0-4, where 4=best and 0=worst</v>
      </c>
      <c r="F29" s="57">
        <v>3</v>
      </c>
      <c r="G29" s="57">
        <v>2</v>
      </c>
      <c r="H29" s="57">
        <v>4</v>
      </c>
      <c r="I29" s="57">
        <v>3</v>
      </c>
      <c r="J29" s="75">
        <v>3</v>
      </c>
      <c r="K29" s="57">
        <v>1</v>
      </c>
      <c r="L29" s="57">
        <v>1</v>
      </c>
      <c r="M29" s="57">
        <v>2</v>
      </c>
      <c r="N29" s="57">
        <v>1</v>
      </c>
      <c r="O29" s="57">
        <v>1</v>
      </c>
      <c r="P29" s="75">
        <v>2</v>
      </c>
      <c r="Q29" s="57">
        <v>3</v>
      </c>
      <c r="R29" s="57">
        <v>1</v>
      </c>
      <c r="S29" s="57">
        <v>4</v>
      </c>
      <c r="T29" s="57">
        <v>1</v>
      </c>
      <c r="U29" s="57">
        <v>3</v>
      </c>
      <c r="V29" s="57">
        <v>3</v>
      </c>
      <c r="W29" s="75">
        <v>1</v>
      </c>
      <c r="X29" s="57">
        <v>1</v>
      </c>
    </row>
    <row r="30" spans="3:25">
      <c r="C30" t="str">
        <f ca="1">tblIndicators!A25</f>
        <v>FINC04</v>
      </c>
      <c r="D30" s="73" t="str">
        <f ca="1">tblIndicators!H25</f>
        <v>Government support for low income users</v>
      </c>
      <c r="E30" s="73" t="str">
        <f ca="1">tblIndicators!I25</f>
        <v>0-4, where 4=best and 0=worst</v>
      </c>
      <c r="F30" s="75">
        <v>0</v>
      </c>
      <c r="G30" s="75">
        <v>1</v>
      </c>
      <c r="H30" s="75">
        <v>3</v>
      </c>
      <c r="I30" s="75">
        <v>1</v>
      </c>
      <c r="J30" s="75">
        <v>1</v>
      </c>
      <c r="K30" s="75">
        <v>0</v>
      </c>
      <c r="L30" s="75">
        <v>1</v>
      </c>
      <c r="M30" s="75">
        <v>1</v>
      </c>
      <c r="N30" s="217">
        <v>1</v>
      </c>
      <c r="O30" s="75">
        <v>1</v>
      </c>
      <c r="P30" s="75">
        <v>1</v>
      </c>
      <c r="Q30" s="75">
        <v>1</v>
      </c>
      <c r="R30" s="75">
        <v>0</v>
      </c>
      <c r="S30" s="75">
        <v>2</v>
      </c>
      <c r="T30" s="75">
        <v>2</v>
      </c>
      <c r="U30" s="75">
        <v>1</v>
      </c>
      <c r="V30" s="75">
        <v>1</v>
      </c>
      <c r="W30" s="75">
        <v>0</v>
      </c>
      <c r="X30" s="75">
        <v>2</v>
      </c>
    </row>
    <row r="31" spans="3:25">
      <c r="D31" s="73"/>
      <c r="F31" s="57"/>
      <c r="G31" s="57"/>
      <c r="H31" s="57"/>
      <c r="I31" s="57"/>
      <c r="J31" s="57"/>
      <c r="K31" s="57"/>
      <c r="L31" s="57"/>
      <c r="M31" s="57"/>
      <c r="N31" s="57"/>
      <c r="O31" s="57"/>
      <c r="P31" s="57"/>
      <c r="Q31" s="57"/>
      <c r="R31" s="57"/>
      <c r="S31" s="57"/>
      <c r="T31" s="57"/>
      <c r="U31" s="57"/>
      <c r="V31" s="57"/>
      <c r="W31" s="57"/>
      <c r="X31" s="57"/>
    </row>
    <row r="32" spans="3:25">
      <c r="D32" s="73"/>
      <c r="F32" s="57"/>
      <c r="G32" s="57"/>
      <c r="H32" s="57"/>
      <c r="I32" s="57"/>
      <c r="J32" s="57"/>
      <c r="K32" s="57"/>
      <c r="L32" s="57"/>
      <c r="M32" s="57"/>
      <c r="N32" s="57"/>
      <c r="O32" s="57"/>
      <c r="P32" s="57"/>
      <c r="Q32" s="57"/>
      <c r="R32" s="57"/>
      <c r="S32" s="57"/>
      <c r="T32" s="57"/>
      <c r="U32" s="57"/>
      <c r="V32" s="57"/>
      <c r="W32" s="57"/>
      <c r="X32" s="57"/>
    </row>
    <row r="33" spans="4:36">
      <c r="D33" s="73"/>
      <c r="F33" s="57"/>
      <c r="G33" s="57"/>
      <c r="H33" s="57"/>
      <c r="I33" s="57"/>
      <c r="J33" s="57"/>
      <c r="K33" s="57"/>
      <c r="L33" s="57"/>
      <c r="M33" s="57"/>
      <c r="N33" s="57"/>
      <c r="O33" s="57"/>
      <c r="P33" s="57"/>
      <c r="Q33" s="57"/>
      <c r="R33" s="57"/>
      <c r="S33" s="57"/>
      <c r="T33" s="57"/>
      <c r="U33" s="57"/>
      <c r="V33" s="57"/>
      <c r="W33" s="57"/>
      <c r="X33" s="57"/>
    </row>
    <row r="34" spans="4:36" s="68" customFormat="1" ht="16.5" customHeight="1">
      <c r="D34" s="75"/>
      <c r="E34" s="57"/>
      <c r="F34" s="57"/>
      <c r="G34" s="57"/>
      <c r="H34" s="57"/>
      <c r="I34" s="57"/>
      <c r="J34" s="57"/>
      <c r="K34" s="57"/>
      <c r="L34" s="57"/>
      <c r="M34" s="57"/>
      <c r="N34" s="57"/>
      <c r="O34" s="57"/>
      <c r="P34" s="57"/>
      <c r="Q34" s="57"/>
      <c r="R34" s="57"/>
      <c r="S34" s="57"/>
      <c r="T34" s="57"/>
      <c r="U34" s="57"/>
      <c r="V34" s="57"/>
      <c r="W34" s="57"/>
      <c r="X34" s="57"/>
    </row>
    <row r="35" spans="4:36">
      <c r="D35" s="73"/>
      <c r="F35" s="57"/>
      <c r="G35" s="57"/>
      <c r="H35" s="57"/>
      <c r="I35" s="57"/>
      <c r="J35" s="57"/>
      <c r="K35" s="57"/>
      <c r="L35" s="57"/>
      <c r="M35" s="57"/>
      <c r="N35" s="57"/>
      <c r="O35" s="57"/>
      <c r="P35" s="57"/>
      <c r="Q35" s="57"/>
      <c r="R35" s="57"/>
      <c r="S35" s="57"/>
      <c r="T35" s="57"/>
      <c r="U35" s="57"/>
      <c r="V35" s="57"/>
      <c r="W35" s="57"/>
      <c r="X35" s="57"/>
      <c r="Y35" s="57"/>
      <c r="Z35" s="57"/>
      <c r="AA35" s="57"/>
      <c r="AB35" s="57"/>
      <c r="AC35" s="57"/>
      <c r="AD35" s="57"/>
      <c r="AE35" s="57"/>
      <c r="AF35" s="57"/>
      <c r="AG35" s="57"/>
      <c r="AH35" s="57"/>
      <c r="AI35" s="57"/>
      <c r="AJ35" s="57"/>
    </row>
    <row r="36" spans="4:36">
      <c r="D36" s="73"/>
      <c r="F36" s="57"/>
      <c r="G36" s="57"/>
      <c r="H36" s="57"/>
      <c r="I36" s="57"/>
      <c r="J36" s="57"/>
      <c r="K36" s="57"/>
      <c r="L36" s="57"/>
      <c r="M36" s="57"/>
      <c r="N36" s="57"/>
      <c r="O36" s="57"/>
      <c r="P36" s="57"/>
      <c r="Q36" s="57"/>
      <c r="R36" s="57"/>
      <c r="S36" s="57"/>
      <c r="T36" s="57"/>
      <c r="U36" s="57"/>
      <c r="V36" s="57"/>
      <c r="W36" s="57"/>
      <c r="X36" s="57"/>
      <c r="Y36" s="57"/>
      <c r="Z36" s="57"/>
      <c r="AA36" s="57"/>
      <c r="AB36" s="57"/>
      <c r="AC36" s="57"/>
      <c r="AD36" s="57"/>
      <c r="AE36" s="57"/>
      <c r="AF36" s="57"/>
      <c r="AG36" s="57"/>
      <c r="AH36" s="57"/>
      <c r="AI36" s="57"/>
      <c r="AJ36" s="57"/>
    </row>
    <row r="37" spans="4:36" s="57" customFormat="1">
      <c r="D37" s="75"/>
    </row>
    <row r="38" spans="4:36">
      <c r="D38" s="73"/>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row>
    <row r="39" spans="4:36" s="68" customFormat="1" ht="16.5" customHeight="1">
      <c r="F39" s="57"/>
      <c r="G39" s="57"/>
      <c r="H39" s="57"/>
      <c r="I39" s="57"/>
      <c r="J39" s="57"/>
      <c r="K39" s="57"/>
      <c r="L39" s="57"/>
      <c r="M39" s="57"/>
      <c r="N39" s="57"/>
      <c r="O39" s="57"/>
      <c r="P39" s="57"/>
      <c r="Q39" s="57"/>
      <c r="R39" s="57"/>
      <c r="S39" s="57"/>
      <c r="T39" s="57"/>
      <c r="U39" s="57"/>
      <c r="V39" s="57"/>
      <c r="W39" s="57"/>
      <c r="X39" s="57"/>
      <c r="Y39" s="57"/>
      <c r="Z39" s="57"/>
      <c r="AA39" s="57"/>
      <c r="AB39" s="57"/>
      <c r="AC39" s="57"/>
      <c r="AD39" s="57"/>
      <c r="AE39" s="57"/>
      <c r="AF39" s="57"/>
      <c r="AG39" s="57"/>
      <c r="AH39" s="57"/>
      <c r="AI39" s="57"/>
      <c r="AJ39" s="57"/>
    </row>
    <row r="40" spans="4:36">
      <c r="F40" s="57"/>
      <c r="G40" s="57"/>
      <c r="H40" s="57"/>
      <c r="I40" s="57"/>
      <c r="J40" s="57"/>
      <c r="K40" s="57"/>
      <c r="L40" s="57"/>
      <c r="M40" s="57"/>
      <c r="N40" s="57"/>
      <c r="O40" s="57"/>
      <c r="P40" s="57"/>
      <c r="Q40" s="57"/>
      <c r="R40" s="57"/>
      <c r="S40" s="57"/>
      <c r="T40" s="57"/>
      <c r="U40" s="57"/>
      <c r="V40" s="57"/>
      <c r="W40" s="57"/>
      <c r="X40" s="57"/>
      <c r="Y40" s="57"/>
      <c r="Z40" s="57"/>
      <c r="AA40" s="57"/>
      <c r="AB40" s="57"/>
      <c r="AC40" s="57"/>
      <c r="AD40" s="57"/>
      <c r="AE40" s="57"/>
      <c r="AF40" s="57"/>
      <c r="AG40" s="57"/>
      <c r="AH40" s="57"/>
      <c r="AI40" s="57"/>
      <c r="AJ40" s="57"/>
    </row>
    <row r="41" spans="4:36">
      <c r="F41" s="57"/>
      <c r="G41" s="57"/>
      <c r="H41" s="57"/>
      <c r="I41" s="57"/>
      <c r="J41" s="57"/>
      <c r="K41" s="57"/>
      <c r="L41" s="57"/>
      <c r="M41" s="57"/>
      <c r="N41" s="57"/>
      <c r="O41" s="57"/>
      <c r="P41" s="57"/>
      <c r="Q41" s="57"/>
      <c r="R41" s="57"/>
      <c r="S41" s="57"/>
      <c r="T41" s="57"/>
      <c r="U41" s="57"/>
      <c r="V41" s="57"/>
      <c r="W41" s="57"/>
      <c r="X41" s="57"/>
      <c r="Y41" s="57"/>
      <c r="Z41" s="57"/>
      <c r="AA41" s="57"/>
      <c r="AB41" s="57"/>
      <c r="AC41" s="57"/>
      <c r="AD41" s="57"/>
      <c r="AE41" s="57"/>
      <c r="AF41" s="57"/>
      <c r="AG41" s="57"/>
      <c r="AH41" s="57"/>
      <c r="AI41" s="57"/>
      <c r="AJ41" s="57"/>
    </row>
    <row r="42" spans="4:36">
      <c r="F42" s="57"/>
      <c r="G42" s="57"/>
      <c r="H42" s="57"/>
      <c r="I42" s="57"/>
      <c r="J42" s="57"/>
      <c r="K42" s="57"/>
      <c r="L42" s="57"/>
      <c r="M42" s="57"/>
      <c r="N42" s="57"/>
      <c r="O42" s="57"/>
      <c r="P42" s="57"/>
      <c r="Q42" s="57"/>
      <c r="R42" s="57"/>
      <c r="S42" s="57"/>
      <c r="T42" s="57"/>
      <c r="U42" s="57"/>
      <c r="V42" s="57"/>
      <c r="W42" s="57"/>
      <c r="X42" s="57"/>
      <c r="Y42" s="57"/>
      <c r="Z42" s="57"/>
      <c r="AA42" s="57"/>
      <c r="AB42" s="57"/>
      <c r="AC42" s="57"/>
      <c r="AD42" s="57"/>
      <c r="AE42" s="57"/>
      <c r="AF42" s="57"/>
      <c r="AG42" s="57"/>
      <c r="AH42" s="57"/>
      <c r="AI42" s="57"/>
      <c r="AJ42" s="57"/>
    </row>
    <row r="43" spans="4:36">
      <c r="F43" s="57"/>
      <c r="G43" s="57"/>
      <c r="H43" s="57"/>
      <c r="I43" s="57"/>
      <c r="J43" s="57"/>
      <c r="K43" s="57"/>
      <c r="L43" s="57"/>
      <c r="M43" s="57"/>
      <c r="N43" s="57"/>
      <c r="O43" s="57"/>
      <c r="P43" s="57"/>
      <c r="Q43" s="57"/>
      <c r="R43" s="57"/>
      <c r="S43" s="57"/>
      <c r="T43" s="57"/>
      <c r="U43" s="57"/>
      <c r="V43" s="57"/>
      <c r="W43" s="57"/>
      <c r="X43" s="57"/>
      <c r="Y43" s="57"/>
      <c r="Z43" s="57"/>
      <c r="AA43" s="57"/>
      <c r="AB43" s="57"/>
      <c r="AC43" s="57"/>
      <c r="AD43" s="57"/>
      <c r="AE43" s="57"/>
      <c r="AF43" s="57"/>
      <c r="AG43" s="57"/>
      <c r="AH43" s="57"/>
      <c r="AI43" s="57"/>
      <c r="AJ43" s="57"/>
    </row>
    <row r="44" spans="4:36">
      <c r="F44" s="57"/>
      <c r="G44" s="57"/>
      <c r="H44" s="57"/>
      <c r="I44" s="57"/>
      <c r="J44" s="57"/>
      <c r="K44" s="57"/>
      <c r="L44" s="57"/>
      <c r="M44" s="57"/>
      <c r="N44" s="57"/>
      <c r="O44" s="57"/>
      <c r="P44" s="57"/>
      <c r="Q44" s="57"/>
      <c r="R44" s="57"/>
      <c r="S44" s="57"/>
      <c r="T44" s="57"/>
      <c r="U44" s="57"/>
      <c r="V44" s="57"/>
      <c r="W44" s="57"/>
      <c r="X44" s="57"/>
      <c r="Y44" s="57"/>
      <c r="Z44" s="57"/>
      <c r="AA44" s="57"/>
      <c r="AB44" s="57"/>
      <c r="AC44" s="57"/>
      <c r="AD44" s="57"/>
      <c r="AE44" s="57"/>
      <c r="AF44" s="57"/>
      <c r="AG44" s="57"/>
      <c r="AH44" s="57"/>
      <c r="AI44" s="57"/>
      <c r="AJ44" s="57"/>
    </row>
    <row r="45" spans="4:36">
      <c r="F45" s="57"/>
      <c r="G45" s="57"/>
      <c r="H45" s="57"/>
      <c r="I45" s="57"/>
      <c r="J45" s="57"/>
      <c r="K45" s="57"/>
      <c r="L45" s="57"/>
      <c r="M45" s="57"/>
      <c r="N45" s="57"/>
      <c r="O45" s="57"/>
      <c r="P45" s="57"/>
      <c r="Q45" s="57"/>
      <c r="R45" s="57"/>
      <c r="S45" s="57"/>
      <c r="T45" s="57"/>
      <c r="U45" s="57"/>
      <c r="V45" s="57"/>
      <c r="W45" s="57"/>
      <c r="X45" s="57"/>
      <c r="Y45" s="57"/>
      <c r="Z45" s="57"/>
      <c r="AA45" s="57"/>
      <c r="AB45" s="57"/>
      <c r="AC45" s="57"/>
      <c r="AD45" s="57"/>
      <c r="AE45" s="57"/>
      <c r="AF45" s="57"/>
      <c r="AG45" s="57"/>
      <c r="AH45" s="57"/>
      <c r="AI45" s="57"/>
      <c r="AJ45" s="57"/>
    </row>
    <row r="46" spans="4:36">
      <c r="F46" s="57"/>
      <c r="G46" s="57"/>
      <c r="H46" s="57"/>
      <c r="I46" s="57"/>
      <c r="J46" s="57"/>
      <c r="K46" s="57"/>
      <c r="L46" s="57"/>
      <c r="M46" s="57"/>
      <c r="N46" s="57"/>
      <c r="O46" s="57"/>
      <c r="P46" s="57"/>
      <c r="Q46" s="57"/>
      <c r="R46" s="57"/>
      <c r="S46" s="57"/>
      <c r="T46" s="57"/>
      <c r="U46" s="57"/>
      <c r="V46" s="57"/>
      <c r="W46" s="57"/>
      <c r="X46" s="57"/>
      <c r="Y46" s="57"/>
      <c r="Z46" s="57"/>
      <c r="AA46" s="57"/>
      <c r="AB46" s="57"/>
      <c r="AC46" s="57"/>
      <c r="AD46" s="57"/>
      <c r="AE46" s="57"/>
      <c r="AF46" s="57"/>
      <c r="AG46" s="57"/>
      <c r="AH46" s="57"/>
      <c r="AI46" s="57"/>
      <c r="AJ46" s="57"/>
    </row>
    <row r="47" spans="4:36">
      <c r="F47" s="57"/>
      <c r="G47" s="57"/>
      <c r="H47" s="57"/>
      <c r="I47" s="57"/>
      <c r="J47" s="57"/>
      <c r="K47" s="57"/>
      <c r="L47" s="57"/>
      <c r="M47" s="57"/>
      <c r="N47" s="57"/>
      <c r="O47" s="57"/>
      <c r="P47" s="57"/>
      <c r="Q47" s="57"/>
      <c r="R47" s="57"/>
      <c r="S47" s="57"/>
      <c r="T47" s="57"/>
      <c r="U47" s="57"/>
      <c r="V47" s="57"/>
      <c r="W47" s="57"/>
      <c r="X47" s="57"/>
      <c r="Y47" s="57"/>
      <c r="Z47" s="57"/>
      <c r="AA47" s="57"/>
      <c r="AB47" s="57"/>
      <c r="AC47" s="57"/>
      <c r="AD47" s="57"/>
      <c r="AE47" s="57"/>
      <c r="AF47" s="57"/>
      <c r="AG47" s="57"/>
      <c r="AH47" s="57"/>
      <c r="AI47" s="57"/>
      <c r="AJ47" s="57"/>
    </row>
    <row r="48" spans="4:36">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row>
    <row r="49" spans="6:36">
      <c r="F49" s="57"/>
      <c r="G49" s="57"/>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c r="AI49" s="57"/>
      <c r="AJ49" s="57"/>
    </row>
    <row r="50" spans="6:36">
      <c r="F50" s="57"/>
      <c r="G50" s="57"/>
      <c r="H50" s="57"/>
      <c r="I50" s="57"/>
      <c r="J50" s="57"/>
      <c r="K50" s="57"/>
      <c r="L50" s="57"/>
      <c r="M50" s="57"/>
      <c r="N50" s="57"/>
      <c r="O50" s="57"/>
      <c r="P50" s="57"/>
      <c r="Q50" s="57"/>
      <c r="R50" s="57"/>
      <c r="S50" s="57"/>
      <c r="T50" s="57"/>
      <c r="U50" s="57"/>
      <c r="V50" s="57"/>
      <c r="W50" s="57"/>
      <c r="X50" s="57"/>
    </row>
    <row r="111" spans="5:6">
      <c r="E111" s="57"/>
      <c r="F111" s="107"/>
    </row>
    <row r="112" spans="5:6">
      <c r="E112" s="57"/>
      <c r="F112" s="107"/>
    </row>
    <row r="113" spans="5:6">
      <c r="E113" s="57"/>
      <c r="F113" s="107"/>
    </row>
    <row r="116" spans="5:6">
      <c r="E116" s="57"/>
    </row>
    <row r="118" spans="5:6">
      <c r="E118" s="57"/>
      <c r="F118" s="107"/>
    </row>
  </sheetData>
  <phoneticPr fontId="0" type="noConversion"/>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sheetPr codeName="Sheet11"/>
  <dimension ref="A1:AL91"/>
  <sheetViews>
    <sheetView showGridLines="0" showRowColHeaders="0" zoomScale="80" zoomScaleNormal="90" workbookViewId="0">
      <pane ySplit="4" topLeftCell="A5" activePane="bottomLeft" state="frozen"/>
      <selection pane="bottomLeft" activeCell="AB36" sqref="AB36"/>
    </sheetView>
  </sheetViews>
  <sheetFormatPr defaultRowHeight="11.25"/>
  <cols>
    <col min="1" max="1" width="2" style="9" customWidth="1"/>
    <col min="2" max="2" width="8" style="9" hidden="1" customWidth="1"/>
    <col min="3" max="3" width="2.85546875" style="9" hidden="1" customWidth="1"/>
    <col min="4" max="4" width="4" style="9" hidden="1" customWidth="1"/>
    <col min="5" max="5" width="5.42578125" style="9" hidden="1" customWidth="1"/>
    <col min="6" max="6" width="2.7109375" style="9" hidden="1" customWidth="1"/>
    <col min="7" max="7" width="3.5703125" style="9" hidden="1" customWidth="1"/>
    <col min="8" max="8" width="3" style="9" hidden="1" customWidth="1"/>
    <col min="9" max="9" width="3.42578125" style="9" hidden="1" customWidth="1"/>
    <col min="10" max="11" width="3.7109375" style="9" hidden="1" customWidth="1"/>
    <col min="12" max="12" width="6.28515625" style="9" hidden="1" customWidth="1"/>
    <col min="13" max="13" width="3.5703125" style="9" hidden="1" customWidth="1"/>
    <col min="14" max="14" width="6.85546875" style="9" hidden="1" customWidth="1"/>
    <col min="15" max="15" width="3" style="9" customWidth="1"/>
    <col min="16" max="16" width="52.7109375" style="9" bestFit="1" customWidth="1"/>
    <col min="17" max="17" width="9.140625" style="9"/>
    <col min="18" max="18" width="2.7109375" style="9" customWidth="1"/>
    <col min="19" max="37" width="9.28515625" style="15" customWidth="1"/>
    <col min="38" max="38" width="14.28515625" style="15" bestFit="1" customWidth="1"/>
    <col min="39" max="16384" width="9.140625" style="9"/>
  </cols>
  <sheetData>
    <row r="1" spans="1:38" s="18" customFormat="1" ht="22.5" customHeight="1">
      <c r="A1" s="18" t="s">
        <v>560</v>
      </c>
      <c r="I1" s="44"/>
      <c r="J1" s="44"/>
      <c r="S1" s="125"/>
      <c r="T1" s="125"/>
      <c r="U1" s="125"/>
      <c r="V1" s="125"/>
      <c r="W1" s="125"/>
      <c r="X1" s="125"/>
      <c r="Y1" s="125"/>
      <c r="Z1" s="125"/>
      <c r="AA1" s="125"/>
      <c r="AB1" s="125"/>
      <c r="AC1" s="125"/>
      <c r="AD1" s="125"/>
      <c r="AE1" s="125"/>
      <c r="AF1" s="125"/>
      <c r="AG1" s="125"/>
      <c r="AH1" s="125"/>
      <c r="AI1" s="125"/>
      <c r="AJ1" s="125"/>
      <c r="AK1" s="125"/>
      <c r="AL1" s="125"/>
    </row>
    <row r="3" spans="1:38">
      <c r="S3" s="15" t="str">
        <f ca="1">Data!F3</f>
        <v>AR</v>
      </c>
      <c r="T3" s="15" t="str">
        <f ca="1">Data!G3</f>
        <v>BR</v>
      </c>
      <c r="U3" s="15" t="str">
        <f ca="1">Data!H3</f>
        <v>CL</v>
      </c>
      <c r="V3" s="15" t="str">
        <f ca="1">Data!I3</f>
        <v>CO</v>
      </c>
      <c r="W3" s="15" t="str">
        <f ca="1">Data!J3</f>
        <v>CR</v>
      </c>
      <c r="X3" s="15" t="str">
        <f ca="1">Data!K3</f>
        <v>DO</v>
      </c>
      <c r="Y3" s="15" t="str">
        <f ca="1">Data!L3</f>
        <v>EC</v>
      </c>
      <c r="Z3" s="15" t="str">
        <f ca="1">Data!M3</f>
        <v>SV</v>
      </c>
      <c r="AA3" s="15" t="str">
        <f ca="1">Data!N3</f>
        <v>GT</v>
      </c>
      <c r="AB3" s="15" t="str">
        <f ca="1">Data!O3</f>
        <v>HN</v>
      </c>
      <c r="AC3" s="15" t="str">
        <f ca="1">Data!P3</f>
        <v>JM</v>
      </c>
      <c r="AD3" s="15" t="str">
        <f ca="1">Data!Q3</f>
        <v>MX</v>
      </c>
      <c r="AE3" s="15" t="str">
        <f ca="1">Data!R3</f>
        <v>NI</v>
      </c>
      <c r="AF3" s="15" t="str">
        <f ca="1">Data!S3</f>
        <v>PA</v>
      </c>
      <c r="AG3" s="15" t="str">
        <f ca="1">Data!T3</f>
        <v>PY</v>
      </c>
      <c r="AH3" s="15" t="str">
        <f ca="1">Data!U3</f>
        <v>PE</v>
      </c>
      <c r="AI3" s="15" t="str">
        <f ca="1">Data!V3</f>
        <v>TT</v>
      </c>
      <c r="AJ3" s="15" t="str">
        <f ca="1">Data!W3</f>
        <v>UY</v>
      </c>
      <c r="AK3" s="15" t="str">
        <f ca="1">Data!X3</f>
        <v>VE</v>
      </c>
    </row>
    <row r="4" spans="1:38" ht="21" customHeight="1">
      <c r="Q4" s="103" t="s">
        <v>559</v>
      </c>
      <c r="R4" s="103"/>
      <c r="S4" s="103" t="str">
        <f ca="1">Data!F4</f>
        <v>Argentina</v>
      </c>
      <c r="T4" s="103" t="str">
        <f ca="1">Data!G4</f>
        <v>Brazil</v>
      </c>
      <c r="U4" s="103" t="str">
        <f ca="1">Data!H4</f>
        <v xml:space="preserve">Chile </v>
      </c>
      <c r="V4" s="103" t="str">
        <f ca="1">Data!I4</f>
        <v>Colombia</v>
      </c>
      <c r="W4" s="103" t="str">
        <f ca="1">Data!J4</f>
        <v>Costa Rica</v>
      </c>
      <c r="X4" s="103" t="str">
        <f ca="1">Data!K4</f>
        <v>Dominican Rep.</v>
      </c>
      <c r="Y4" s="103" t="str">
        <f ca="1">Data!L4</f>
        <v>Ecuador</v>
      </c>
      <c r="Z4" s="103" t="str">
        <f ca="1">Data!M4</f>
        <v>El Salvador</v>
      </c>
      <c r="AA4" s="103" t="str">
        <f ca="1">Data!N4</f>
        <v>Guatemala</v>
      </c>
      <c r="AB4" s="103" t="str">
        <f ca="1">Data!O4</f>
        <v>Honduras</v>
      </c>
      <c r="AC4" s="103" t="str">
        <f ca="1">Data!P4</f>
        <v>Jamaica</v>
      </c>
      <c r="AD4" s="103" t="str">
        <f ca="1">Data!Q4</f>
        <v>Mexico</v>
      </c>
      <c r="AE4" s="103" t="str">
        <f ca="1">Data!R4</f>
        <v>Nicaragua</v>
      </c>
      <c r="AF4" s="103" t="str">
        <f ca="1">Data!S4</f>
        <v>Panama</v>
      </c>
      <c r="AG4" s="103" t="str">
        <f ca="1">Data!T4</f>
        <v>Paraguay</v>
      </c>
      <c r="AH4" s="103" t="str">
        <f ca="1">Data!U4</f>
        <v>Peru</v>
      </c>
      <c r="AI4" s="103" t="str">
        <f ca="1">Data!V4</f>
        <v>Trinidad &amp; Tobago</v>
      </c>
      <c r="AJ4" s="103" t="str">
        <f ca="1">Data!W4</f>
        <v>Uruguay</v>
      </c>
      <c r="AK4" s="103" t="str">
        <f ca="1">Data!X4</f>
        <v>Venezuela</v>
      </c>
      <c r="AL4" s="103"/>
    </row>
    <row r="6" spans="1:38" s="8" customFormat="1">
      <c r="B6" s="8" t="str">
        <f ca="1">tblIndicators!A1</f>
        <v>Code</v>
      </c>
      <c r="C6" s="8" t="str">
        <f ca="1">tblIndicators!B1</f>
        <v>Parent</v>
      </c>
      <c r="D6" s="8" t="str">
        <f ca="1">tblIndicators!C1</f>
        <v>Level</v>
      </c>
      <c r="E6" s="8" t="str">
        <f ca="1">tblIndicators!D1</f>
        <v>Process</v>
      </c>
      <c r="F6" s="8" t="str">
        <f ca="1">tblIndicators!E1</f>
        <v>XX_Offset</v>
      </c>
      <c r="G6" s="8" t="str">
        <f ca="1">tblIndicators!F1</f>
        <v>XX_Mult</v>
      </c>
      <c r="H6" s="8" t="str">
        <f ca="1">tblIndicators!G1</f>
        <v>0=High is good,1=High is bad</v>
      </c>
      <c r="I6" s="8" t="s">
        <v>553</v>
      </c>
      <c r="J6" s="8" t="s">
        <v>554</v>
      </c>
      <c r="K6" s="8" t="s">
        <v>555</v>
      </c>
      <c r="L6" s="123" t="s">
        <v>556</v>
      </c>
      <c r="M6" s="8" t="s">
        <v>557</v>
      </c>
      <c r="N6" s="8" t="s">
        <v>558</v>
      </c>
      <c r="S6" s="123"/>
      <c r="T6" s="123"/>
      <c r="U6" s="123"/>
      <c r="V6" s="123"/>
      <c r="W6" s="123"/>
      <c r="X6" s="123"/>
      <c r="Y6" s="123"/>
      <c r="Z6" s="123"/>
      <c r="AA6" s="123"/>
      <c r="AB6" s="123"/>
      <c r="AC6" s="123"/>
      <c r="AD6" s="123"/>
      <c r="AE6" s="123"/>
      <c r="AF6" s="123"/>
      <c r="AG6" s="123"/>
      <c r="AH6" s="123"/>
      <c r="AI6" s="123"/>
      <c r="AJ6" s="123"/>
      <c r="AK6" s="123"/>
      <c r="AL6" s="123"/>
    </row>
    <row r="7" spans="1:38" ht="21.75" customHeight="1">
      <c r="B7" s="9" t="str">
        <f ca="1">tblIndicators!A2</f>
        <v>TOTL</v>
      </c>
      <c r="C7" s="9">
        <f ca="1">tblIndicators!B2</f>
        <v>0</v>
      </c>
      <c r="D7" s="9">
        <f ca="1">tblIndicators!C2</f>
        <v>0</v>
      </c>
      <c r="E7" s="9" t="str">
        <f ca="1">tblIndicators!D2</f>
        <v>WS</v>
      </c>
      <c r="F7" s="9">
        <f ca="1">tblIndicators!E2</f>
        <v>0</v>
      </c>
      <c r="G7" s="9">
        <f ca="1">tblIndicators!F2</f>
        <v>0</v>
      </c>
      <c r="H7" s="9">
        <f ca="1">tblIndicators!G2</f>
        <v>0</v>
      </c>
      <c r="I7" s="16">
        <f ca="1">MIN(Data!F7:Y7)</f>
        <v>0</v>
      </c>
      <c r="J7" s="16">
        <f ca="1">MAX(Data!F7:Y7)</f>
        <v>0</v>
      </c>
      <c r="K7" s="16">
        <f>J7-I7</f>
        <v>0</v>
      </c>
      <c r="N7" s="17"/>
      <c r="O7" s="17"/>
      <c r="P7" s="23" t="str">
        <f ca="1">tblIndicators!H2</f>
        <v>OVERALL SCORE</v>
      </c>
      <c r="Q7" s="24"/>
      <c r="R7" s="24"/>
      <c r="S7" s="126">
        <f ca="1">IF($E7="WS",SUMPRODUCT(($C8:$C$33=$B7)*($Q8:$Q$33)*(S8:S$33)),IF($E7="MM",100*ABS(($H7-(Data!F7-$I7)/$K7)),IF($E7="XX",ABS((100*$H7)-((Data!F7-$F7)*$G7)),"na")))</f>
        <v>23.455088272248759</v>
      </c>
      <c r="T7" s="126">
        <f ca="1">IF($E7="WS",SUMPRODUCT(($C8:$C$33=$B7)*($Q8:$Q$33)*(T8:T$33)),IF($E7="MM",100*ABS(($H7-(Data!G7-$I7)/$K7)),IF($E7="XX",ABS((100*$H7)-((Data!G7-$F7)*$G7)),"na")))</f>
        <v>60.711712388149238</v>
      </c>
      <c r="U7" s="126">
        <f ca="1">IF($E7="WS",SUMPRODUCT(($C8:$C$33=$B7)*($Q8:$Q$33)*(U8:U$33)),IF($E7="MM",100*ABS(($H7-(Data!H7-$I7)/$K7)),IF($E7="XX",ABS((100*$H7)-((Data!H7-$F7)*$G7)),"na")))</f>
        <v>65.286693679205769</v>
      </c>
      <c r="V7" s="126">
        <f ca="1">IF($E7="WS",SUMPRODUCT(($C8:$C$33=$B7)*($Q8:$Q$33)*(V8:V$33)),IF($E7="MM",100*ABS(($H7-(Data!I7-$I7)/$K7)),IF($E7="XX",ABS((100*$H7)-((Data!I7-$F7)*$G7)),"na")))</f>
        <v>42.374181974144157</v>
      </c>
      <c r="W7" s="126">
        <f ca="1">IF($E7="WS",SUMPRODUCT(($C8:$C$33=$B7)*($Q8:$Q$33)*(W8:W$33)),IF($E7="MM",100*ABS(($H7-(Data!J7-$I7)/$K7)),IF($E7="XX",ABS((100*$H7)-((Data!J7-$F7)*$G7)),"na")))</f>
        <v>41.907021450570397</v>
      </c>
      <c r="X7" s="126">
        <f ca="1">IF($E7="WS",SUMPRODUCT(($C8:$C$33=$B7)*($Q8:$Q$33)*(X8:X$33)),IF($E7="MM",100*ABS(($H7-(Data!K7-$I7)/$K7)),IF($E7="XX",ABS((100*$H7)-((Data!K7-$F7)*$G7)),"na")))</f>
        <v>23.61710989503726</v>
      </c>
      <c r="Y7" s="126">
        <f ca="1">IF($E7="WS",SUMPRODUCT(($C8:$C$33=$B7)*($Q8:$Q$33)*(Y8:Y$33)),IF($E7="MM",100*ABS(($H7-(Data!L7-$I7)/$K7)),IF($E7="XX",ABS((100*$H7)-((Data!L7-$F7)*$G7)),"na")))</f>
        <v>14.722524435083418</v>
      </c>
      <c r="Z7" s="126">
        <f ca="1">IF($E7="WS",SUMPRODUCT(($C8:$C$33=$B7)*($Q8:$Q$33)*(Z8:Z$33)),IF($E7="MM",100*ABS(($H7-(Data!M7-$I7)/$K7)),IF($E7="XX",ABS((100*$H7)-((Data!M7-$F7)*$G7)),"na")))</f>
        <v>21.818213729763158</v>
      </c>
      <c r="AA7" s="126">
        <f ca="1">IF($E7="WS",SUMPRODUCT(($C8:$C$33=$B7)*($Q8:$Q$33)*(AA8:AA$33)),IF($E7="MM",100*ABS(($H7-(Data!N7-$I7)/$K7)),IF($E7="XX",ABS((100*$H7)-((Data!N7-$F7)*$G7)),"na")))</f>
        <v>21.955832845790781</v>
      </c>
      <c r="AB7" s="126">
        <f ca="1">IF($E7="WS",SUMPRODUCT(($C8:$C$33=$B7)*($Q8:$Q$33)*(AB8:AB$33)),IF($E7="MM",100*ABS(($H7-(Data!O7-$I7)/$K7)),IF($E7="XX",ABS((100*$H7)-((Data!O7-$F7)*$G7)),"na")))</f>
        <v>33.290060562547922</v>
      </c>
      <c r="AC7" s="126">
        <f ca="1">IF($E7="WS",SUMPRODUCT(($C8:$C$33=$B7)*($Q8:$Q$33)*(AC8:AC$33)),IF($E7="MM",100*ABS(($H7-(Data!P7-$I7)/$K7)),IF($E7="XX",ABS((100*$H7)-((Data!P7-$F7)*$G7)),"na")))</f>
        <v>31.627618019215326</v>
      </c>
      <c r="AD7" s="126">
        <f ca="1">IF($E7="WS",SUMPRODUCT(($C8:$C$33=$B7)*($Q8:$Q$33)*(AD8:AD$33)),IF($E7="MM",100*ABS(($H7-(Data!Q7-$I7)/$K7)),IF($E7="XX",ABS((100*$H7)-((Data!Q7-$F7)*$G7)),"na")))</f>
        <v>44.586262953078325</v>
      </c>
      <c r="AE7" s="126">
        <f ca="1">IF($E7="WS",SUMPRODUCT(($C8:$C$33=$B7)*($Q8:$Q$33)*(AE8:AE$33)),IF($E7="MM",100*ABS(($H7-(Data!R7-$I7)/$K7)),IF($E7="XX",ABS((100*$H7)-((Data!R7-$F7)*$G7)),"na")))</f>
        <v>16.487210844906201</v>
      </c>
      <c r="AF7" s="126">
        <f ca="1">IF($E7="WS",SUMPRODUCT(($C8:$C$33=$B7)*($Q8:$Q$33)*(AF8:AF$33)),IF($E7="MM",100*ABS(($H7-(Data!S7-$I7)/$K7)),IF($E7="XX",ABS((100*$H7)-((Data!S7-$F7)*$G7)),"na")))</f>
        <v>26.959196461509244</v>
      </c>
      <c r="AG7" s="126">
        <f ca="1">IF($E7="WS",SUMPRODUCT(($C8:$C$33=$B7)*($Q8:$Q$33)*(AG8:AG$33)),IF($E7="MM",100*ABS(($H7-(Data!T7-$I7)/$K7)),IF($E7="XX",ABS((100*$H7)-((Data!T7-$F7)*$G7)),"na")))</f>
        <v>27.836228889814965</v>
      </c>
      <c r="AH7" s="126">
        <f ca="1">IF($E7="WS",SUMPRODUCT(($C8:$C$33=$B7)*($Q8:$Q$33)*(AH8:AH$33)),IF($E7="MM",100*ABS(($H7-(Data!U7-$I7)/$K7)),IF($E7="XX",ABS((100*$H7)-((Data!U7-$F7)*$G7)),"na")))</f>
        <v>53.758155655948975</v>
      </c>
      <c r="AI7" s="126">
        <f ca="1">IF($E7="WS",SUMPRODUCT(($C8:$C$33=$B7)*($Q8:$Q$33)*(AI8:AI$33)),IF($E7="MM",100*ABS(($H7-(Data!V7-$I7)/$K7)),IF($E7="XX",ABS((100*$H7)-((Data!V7-$F7)*$G7)),"na")))</f>
        <v>19.38398843957053</v>
      </c>
      <c r="AJ7" s="126">
        <f ca="1">IF($E7="WS",SUMPRODUCT(($C8:$C$33=$B7)*($Q8:$Q$33)*(AJ8:AJ$33)),IF($E7="MM",100*ABS(($H7-(Data!W7-$I7)/$K7)),IF($E7="XX",ABS((100*$H7)-((Data!W7-$F7)*$G7)),"na")))</f>
        <v>35.630984519760609</v>
      </c>
      <c r="AK7" s="126">
        <f ca="1">IF($E7="WS",SUMPRODUCT(($C8:$C$33=$B7)*($Q8:$Q$33)*(AK8:AK$33)),IF($E7="MM",100*ABS(($H7-(Data!X7-$I7)/$K7)),IF($E7="XX",ABS((100*$H7)-((Data!X7-$F7)*$G7)),"na")))</f>
        <v>13.682865936218722</v>
      </c>
      <c r="AL7" s="126"/>
    </row>
    <row r="8" spans="1:38" ht="22.5" customHeight="1">
      <c r="B8" s="21" t="str">
        <f ca="1">tblIndicators!A3</f>
        <v>LEGF</v>
      </c>
      <c r="C8" s="21" t="str">
        <f ca="1">tblIndicators!B3</f>
        <v>TOTL</v>
      </c>
      <c r="D8" s="21">
        <f ca="1">tblIndicators!C3</f>
        <v>1</v>
      </c>
      <c r="E8" s="21" t="str">
        <f ca="1">tblIndicators!D3</f>
        <v>WS</v>
      </c>
      <c r="F8" s="21">
        <f ca="1">tblIndicators!E3</f>
        <v>0</v>
      </c>
      <c r="G8" s="21">
        <f ca="1">tblIndicators!F3</f>
        <v>0</v>
      </c>
      <c r="H8" s="21">
        <f ca="1">tblIndicators!G3</f>
        <v>0</v>
      </c>
      <c r="I8" s="21">
        <f ca="1">MIN(Data!F8:Y8)</f>
        <v>0</v>
      </c>
      <c r="J8" s="21">
        <f ca="1">MAX(Data!F8:Y8)</f>
        <v>0</v>
      </c>
      <c r="K8" s="21">
        <f>J8-I8</f>
        <v>0</v>
      </c>
      <c r="L8" s="21">
        <f ca="1">MATCH(B8,Weights!C$4:C$47,0)</f>
        <v>1</v>
      </c>
      <c r="M8" s="21">
        <f ca="1">INDEX(Weights!G$4:G$46,Scores!L8)</f>
        <v>5</v>
      </c>
      <c r="N8" s="39">
        <f t="shared" ref="N8:N30" si="0">M8/SUMIF(C$6:C$59,C8,M$6:M$59)</f>
        <v>0.41666666666666669</v>
      </c>
      <c r="O8" s="17"/>
      <c r="P8" s="21" t="str">
        <f ca="1">tblIndicators!H3</f>
        <v>Legal and regulatory framework</v>
      </c>
      <c r="Q8" s="22">
        <f>N8</f>
        <v>0.41666666666666669</v>
      </c>
      <c r="R8" s="21"/>
      <c r="S8" s="127">
        <f ca="1">IF($E8="WS",SUMPRODUCT(($C9:$C$33=$B8)*($Q9:$Q$33)*(S9:S$33)),IF($E8="MM",100*ABS(($H8-(Data!F8-$I8)/$K8)),IF($E8="XX",ABS((100*$H8)-((Data!F8-$F8)*$G8)),"na")))</f>
        <v>16.666666666666664</v>
      </c>
      <c r="T8" s="127">
        <f ca="1">IF($E8="WS",SUMPRODUCT(($C9:$C$33=$B8)*($Q9:$Q$33)*(T9:T$33)),IF($E8="MM",100*ABS(($H8-(Data!G8-$I8)/$K8)),IF($E8="XX",ABS((100*$H8)-((Data!G8-$F8)*$G8)),"na")))</f>
        <v>50</v>
      </c>
      <c r="U8" s="127">
        <f ca="1">IF($E8="WS",SUMPRODUCT(($C9:$C$33=$B8)*($Q9:$Q$33)*(U9:U$33)),IF($E8="MM",100*ABS(($H8-(Data!H8-$I8)/$K8)),IF($E8="XX",ABS((100*$H8)-((Data!H8-$F8)*$G8)),"na")))</f>
        <v>61.111111111111114</v>
      </c>
      <c r="V8" s="127">
        <f ca="1">IF($E8="WS",SUMPRODUCT(($C9:$C$33=$B8)*($Q9:$Q$33)*(V9:V$33)),IF($E8="MM",100*ABS(($H8-(Data!I8-$I8)/$K8)),IF($E8="XX",ABS((100*$H8)-((Data!I8-$F8)*$G8)),"na")))</f>
        <v>33.333333333333329</v>
      </c>
      <c r="W8" s="127">
        <f ca="1">IF($E8="WS",SUMPRODUCT(($C9:$C$33=$B8)*($Q9:$Q$33)*(W9:W$33)),IF($E8="MM",100*ABS(($H8-(Data!J8-$I8)/$K8)),IF($E8="XX",ABS((100*$H8)-((Data!J8-$F8)*$G8)),"na")))</f>
        <v>41.666666666666657</v>
      </c>
      <c r="X8" s="127">
        <f ca="1">IF($E8="WS",SUMPRODUCT(($C9:$C$33=$B8)*($Q9:$Q$33)*(X9:X$33)),IF($E8="MM",100*ABS(($H8-(Data!K8-$I8)/$K8)),IF($E8="XX",ABS((100*$H8)-((Data!K8-$F8)*$G8)),"na")))</f>
        <v>13.888888888888888</v>
      </c>
      <c r="Y8" s="127">
        <f ca="1">IF($E8="WS",SUMPRODUCT(($C9:$C$33=$B8)*($Q9:$Q$33)*(Y9:Y$33)),IF($E8="MM",100*ABS(($H8-(Data!L8-$I8)/$K8)),IF($E8="XX",ABS((100*$H8)-((Data!L8-$F8)*$G8)),"na")))</f>
        <v>5.5555555555555554</v>
      </c>
      <c r="Z8" s="127">
        <f ca="1">IF($E8="WS",SUMPRODUCT(($C9:$C$33=$B8)*($Q9:$Q$33)*(Z9:Z$33)),IF($E8="MM",100*ABS(($H8-(Data!M8-$I8)/$K8)),IF($E8="XX",ABS((100*$H8)-((Data!M8-$F8)*$G8)),"na")))</f>
        <v>19.444444444444443</v>
      </c>
      <c r="AA8" s="127">
        <f ca="1">IF($E8="WS",SUMPRODUCT(($C9:$C$33=$B8)*($Q9:$Q$33)*(AA9:AA$33)),IF($E8="MM",100*ABS(($H8-(Data!N8-$I8)/$K8)),IF($E8="XX",ABS((100*$H8)-((Data!N8-$F8)*$G8)),"na")))</f>
        <v>16.666666666666664</v>
      </c>
      <c r="AB8" s="127">
        <f ca="1">IF($E8="WS",SUMPRODUCT(($C9:$C$33=$B8)*($Q9:$Q$33)*(AB9:AB$33)),IF($E8="MM",100*ABS(($H8-(Data!O8-$I8)/$K8)),IF($E8="XX",ABS((100*$H8)-((Data!O8-$F8)*$G8)),"na")))</f>
        <v>25</v>
      </c>
      <c r="AC8" s="127">
        <f ca="1">IF($E8="WS",SUMPRODUCT(($C9:$C$33=$B8)*($Q9:$Q$33)*(AC9:AC$33)),IF($E8="MM",100*ABS(($H8-(Data!P8-$I8)/$K8)),IF($E8="XX",ABS((100*$H8)-((Data!P8-$F8)*$G8)),"na")))</f>
        <v>25</v>
      </c>
      <c r="AD8" s="127">
        <f ca="1">IF($E8="WS",SUMPRODUCT(($C9:$C$33=$B8)*($Q9:$Q$33)*(AD9:AD$33)),IF($E8="MM",100*ABS(($H8-(Data!Q8-$I8)/$K8)),IF($E8="XX",ABS((100*$H8)-((Data!Q8-$F8)*$G8)),"na")))</f>
        <v>38.888888888888886</v>
      </c>
      <c r="AE8" s="127">
        <f ca="1">IF($E8="WS",SUMPRODUCT(($C9:$C$33=$B8)*($Q9:$Q$33)*(AE9:AE$33)),IF($E8="MM",100*ABS(($H8-(Data!R8-$I8)/$K8)),IF($E8="XX",ABS((100*$H8)-((Data!R8-$F8)*$G8)),"na")))</f>
        <v>5.5555555555555554</v>
      </c>
      <c r="AF8" s="127">
        <f ca="1">IF($E8="WS",SUMPRODUCT(($C9:$C$33=$B8)*($Q9:$Q$33)*(AF9:AF$33)),IF($E8="MM",100*ABS(($H8-(Data!S8-$I8)/$K8)),IF($E8="XX",ABS((100*$H8)-((Data!S8-$F8)*$G8)),"na")))</f>
        <v>25</v>
      </c>
      <c r="AG8" s="127">
        <f ca="1">IF($E8="WS",SUMPRODUCT(($C9:$C$33=$B8)*($Q9:$Q$33)*(AG9:AG$33)),IF($E8="MM",100*ABS(($H8-(Data!T8-$I8)/$K8)),IF($E8="XX",ABS((100*$H8)-((Data!T8-$F8)*$G8)),"na")))</f>
        <v>22.222222222222221</v>
      </c>
      <c r="AH8" s="127">
        <f ca="1">IF($E8="WS",SUMPRODUCT(($C9:$C$33=$B8)*($Q9:$Q$33)*(AH9:AH$33)),IF($E8="MM",100*ABS(($H8-(Data!U8-$I8)/$K8)),IF($E8="XX",ABS((100*$H8)-((Data!U8-$F8)*$G8)),"na")))</f>
        <v>52.777777777777779</v>
      </c>
      <c r="AI8" s="127">
        <f ca="1">IF($E8="WS",SUMPRODUCT(($C9:$C$33=$B8)*($Q9:$Q$33)*(AI9:AI$33)),IF($E8="MM",100*ABS(($H8-(Data!V8-$I8)/$K8)),IF($E8="XX",ABS((100*$H8)-((Data!V8-$F8)*$G8)),"na")))</f>
        <v>16.666666666666664</v>
      </c>
      <c r="AJ8" s="127">
        <f ca="1">IF($E8="WS",SUMPRODUCT(($C9:$C$33=$B8)*($Q9:$Q$33)*(AJ9:AJ$33)),IF($E8="MM",100*ABS(($H8-(Data!W8-$I8)/$K8)),IF($E8="XX",ABS((100*$H8)-((Data!W8-$F8)*$G8)),"na")))</f>
        <v>33.333333333333329</v>
      </c>
      <c r="AK8" s="127">
        <f ca="1">IF($E8="WS",SUMPRODUCT(($C9:$C$33=$B8)*($Q9:$Q$33)*(AK9:AK$33)),IF($E8="MM",100*ABS(($H8-(Data!X8-$I8)/$K8)),IF($E8="XX",ABS((100*$H8)-((Data!X8-$F8)*$G8)),"na")))</f>
        <v>8.3333333333333321</v>
      </c>
      <c r="AL8" s="127"/>
    </row>
    <row r="9" spans="1:38" ht="12.75">
      <c r="B9" s="9" t="str">
        <f ca="1">tblIndicators!A4</f>
        <v>LEGF01</v>
      </c>
      <c r="C9" s="9" t="str">
        <f ca="1">tblIndicators!B4</f>
        <v>LEGF</v>
      </c>
      <c r="D9" s="9">
        <f ca="1">tblIndicators!C4</f>
        <v>2</v>
      </c>
      <c r="E9" s="9" t="str">
        <f ca="1">tblIndicators!D4</f>
        <v>XX</v>
      </c>
      <c r="F9" s="9">
        <f ca="1">tblIndicators!E4</f>
        <v>0</v>
      </c>
      <c r="G9" s="9">
        <f ca="1">tblIndicators!F4</f>
        <v>25</v>
      </c>
      <c r="H9" s="9">
        <f ca="1">tblIndicators!G4</f>
        <v>0</v>
      </c>
      <c r="I9" s="16">
        <f ca="1">MIN(Data!F9:Y9)</f>
        <v>0</v>
      </c>
      <c r="J9" s="16">
        <f ca="1">MAX(Data!F9:Y9)</f>
        <v>3</v>
      </c>
      <c r="K9" s="16">
        <f>J9-I9</f>
        <v>3</v>
      </c>
      <c r="L9" s="9">
        <f ca="1">MATCH(B9,Weights!C$4:C$47,0)</f>
        <v>9</v>
      </c>
      <c r="M9" s="9">
        <f ca="1">INDEX(Weights!G$4:G$46,Scores!L9)</f>
        <v>3</v>
      </c>
      <c r="N9" s="17">
        <f t="shared" si="0"/>
        <v>0.33333333333333331</v>
      </c>
      <c r="O9" s="17"/>
      <c r="P9" s="19" t="str">
        <f ca="1">tblIndicators!H4</f>
        <v>Consistency and quality of PPP regulations</v>
      </c>
      <c r="Q9" s="17">
        <f>N9</f>
        <v>0.33333333333333331</v>
      </c>
      <c r="R9" s="20"/>
      <c r="S9" s="128">
        <f ca="1">IF($E9="WS",SUMPRODUCT(($C10:$C$33=$B9)*($Q10:$Q$33)*(S10:S$33)),IF($E9="MM",100*ABS(($H9-(Data!F9-$I9)/$K9)),IF($E9="XX",ABS((100*$H9)-((Data!F9-$F9)*$G9)),"na")))</f>
        <v>50</v>
      </c>
      <c r="T9" s="128">
        <f ca="1">IF($E9="WS",SUMPRODUCT(($C10:$C$33=$B9)*($Q10:$Q$33)*(T10:T$33)),IF($E9="MM",100*ABS(($H9-(Data!G9-$I9)/$K9)),IF($E9="XX",ABS((100*$H9)-((Data!G9-$F9)*$G9)),"na")))</f>
        <v>50</v>
      </c>
      <c r="U9" s="128">
        <f ca="1">IF($E9="WS",SUMPRODUCT(($C10:$C$33=$B9)*($Q10:$Q$33)*(U10:U$33)),IF($E9="MM",100*ABS(($H9-(Data!H9-$I9)/$K9)),IF($E9="XX",ABS((100*$H9)-((Data!H9-$F9)*$G9)),"na")))</f>
        <v>75</v>
      </c>
      <c r="V9" s="128">
        <f ca="1">IF($E9="WS",SUMPRODUCT(($C10:$C$33=$B9)*($Q10:$Q$33)*(V10:V$33)),IF($E9="MM",100*ABS(($H9-(Data!I9-$I9)/$K9)),IF($E9="XX",ABS((100*$H9)-((Data!I9-$F9)*$G9)),"na")))</f>
        <v>25</v>
      </c>
      <c r="W9" s="128">
        <f ca="1">IF($E9="WS",SUMPRODUCT(($C10:$C$33=$B9)*($Q10:$Q$33)*(W10:W$33)),IF($E9="MM",100*ABS(($H9-(Data!J9-$I9)/$K9)),IF($E9="XX",ABS((100*$H9)-((Data!J9-$F9)*$G9)),"na")))</f>
        <v>50</v>
      </c>
      <c r="X9" s="128">
        <f ca="1">IF($E9="WS",SUMPRODUCT(($C10:$C$33=$B9)*($Q10:$Q$33)*(X10:X$33)),IF($E9="MM",100*ABS(($H9-(Data!K9-$I9)/$K9)),IF($E9="XX",ABS((100*$H9)-((Data!K9-$F9)*$G9)),"na")))</f>
        <v>25</v>
      </c>
      <c r="Y9" s="128">
        <f ca="1">IF($E9="WS",SUMPRODUCT(($C10:$C$33=$B9)*($Q10:$Q$33)*(Y10:Y$33)),IF($E9="MM",100*ABS(($H9-(Data!L9-$I9)/$K9)),IF($E9="XX",ABS((100*$H9)-((Data!L9-$F9)*$G9)),"na")))</f>
        <v>0</v>
      </c>
      <c r="Z9" s="128">
        <f ca="1">IF($E9="WS",SUMPRODUCT(($C10:$C$33=$B9)*($Q10:$Q$33)*(Z10:Z$33)),IF($E9="MM",100*ABS(($H9-(Data!M9-$I9)/$K9)),IF($E9="XX",ABS((100*$H9)-((Data!M9-$F9)*$G9)),"na")))</f>
        <v>0</v>
      </c>
      <c r="AA9" s="128">
        <f ca="1">IF($E9="WS",SUMPRODUCT(($C10:$C$33=$B9)*($Q10:$Q$33)*(AA10:AA$33)),IF($E9="MM",100*ABS(($H9-(Data!N9-$I9)/$K9)),IF($E9="XX",ABS((100*$H9)-((Data!N9-$F9)*$G9)),"na")))</f>
        <v>25</v>
      </c>
      <c r="AB9" s="128">
        <f ca="1">IF($E9="WS",SUMPRODUCT(($C10:$C$33=$B9)*($Q10:$Q$33)*(AB10:AB$33)),IF($E9="MM",100*ABS(($H9-(Data!O9-$I9)/$K9)),IF($E9="XX",ABS((100*$H9)-((Data!O9-$F9)*$G9)),"na")))</f>
        <v>25</v>
      </c>
      <c r="AC9" s="128">
        <f ca="1">IF($E9="WS",SUMPRODUCT(($C10:$C$33=$B9)*($Q10:$Q$33)*(AC10:AC$33)),IF($E9="MM",100*ABS(($H9-(Data!P9-$I9)/$K9)),IF($E9="XX",ABS((100*$H9)-((Data!P9-$F9)*$G9)),"na")))</f>
        <v>25</v>
      </c>
      <c r="AD9" s="128">
        <f ca="1">IF($E9="WS",SUMPRODUCT(($C10:$C$33=$B9)*($Q10:$Q$33)*(AD10:AD$33)),IF($E9="MM",100*ABS(($H9-(Data!Q9-$I9)/$K9)),IF($E9="XX",ABS((100*$H9)-((Data!Q9-$F9)*$G9)),"na")))</f>
        <v>50</v>
      </c>
      <c r="AE9" s="128">
        <f ca="1">IF($E9="WS",SUMPRODUCT(($C10:$C$33=$B9)*($Q10:$Q$33)*(AE10:AE$33)),IF($E9="MM",100*ABS(($H9-(Data!R9-$I9)/$K9)),IF($E9="XX",ABS((100*$H9)-((Data!R9-$F9)*$G9)),"na")))</f>
        <v>0</v>
      </c>
      <c r="AF9" s="128">
        <f ca="1">IF($E9="WS",SUMPRODUCT(($C10:$C$33=$B9)*($Q10:$Q$33)*(AF10:AF$33)),IF($E9="MM",100*ABS(($H9-(Data!S9-$I9)/$K9)),IF($E9="XX",ABS((100*$H9)-((Data!S9-$F9)*$G9)),"na")))</f>
        <v>25</v>
      </c>
      <c r="AG9" s="128">
        <f ca="1">IF($E9="WS",SUMPRODUCT(($C10:$C$33=$B9)*($Q10:$Q$33)*(AG10:AG$33)),IF($E9="MM",100*ABS(($H9-(Data!T9-$I9)/$K9)),IF($E9="XX",ABS((100*$H9)-((Data!T9-$F9)*$G9)),"na")))</f>
        <v>25</v>
      </c>
      <c r="AH9" s="128">
        <f ca="1">IF($E9="WS",SUMPRODUCT(($C10:$C$33=$B9)*($Q10:$Q$33)*(AH10:AH$33)),IF($E9="MM",100*ABS(($H9-(Data!U9-$I9)/$K9)),IF($E9="XX",ABS((100*$H9)-((Data!U9-$F9)*$G9)),"na")))</f>
        <v>75</v>
      </c>
      <c r="AI9" s="128">
        <f ca="1">IF($E9="WS",SUMPRODUCT(($C10:$C$33=$B9)*($Q10:$Q$33)*(AI10:AI$33)),IF($E9="MM",100*ABS(($H9-(Data!V9-$I9)/$K9)),IF($E9="XX",ABS((100*$H9)-((Data!V9-$F9)*$G9)),"na")))</f>
        <v>25</v>
      </c>
      <c r="AJ9" s="128">
        <f ca="1">IF($E9="WS",SUMPRODUCT(($C10:$C$33=$B9)*($Q10:$Q$33)*(AJ10:AJ$33)),IF($E9="MM",100*ABS(($H9-(Data!W9-$I9)/$K9)),IF($E9="XX",ABS((100*$H9)-((Data!W9-$F9)*$G9)),"na")))</f>
        <v>50</v>
      </c>
      <c r="AK9" s="128">
        <f ca="1">IF($E9="WS",SUMPRODUCT(($C10:$C$33=$B9)*($Q10:$Q$33)*(AK10:AK$33)),IF($E9="MM",100*ABS(($H9-(Data!X9-$I9)/$K9)),IF($E9="XX",ABS((100*$H9)-((Data!X9-$F9)*$G9)),"na")))</f>
        <v>25</v>
      </c>
      <c r="AL9" s="128"/>
    </row>
    <row r="10" spans="1:38">
      <c r="B10" s="9" t="str">
        <f ca="1">tblIndicators!A5</f>
        <v>LEGF02</v>
      </c>
      <c r="C10" s="9" t="str">
        <f ca="1">tblIndicators!B5</f>
        <v>LEGF</v>
      </c>
      <c r="D10" s="9">
        <f ca="1">tblIndicators!C5</f>
        <v>2</v>
      </c>
      <c r="E10" s="9" t="str">
        <f ca="1">tblIndicators!D5</f>
        <v>XX</v>
      </c>
      <c r="F10" s="9">
        <f ca="1">tblIndicators!E5</f>
        <v>0</v>
      </c>
      <c r="G10" s="9">
        <f ca="1">tblIndicators!F5</f>
        <v>25</v>
      </c>
      <c r="H10" s="9">
        <f ca="1">tblIndicators!G5</f>
        <v>0</v>
      </c>
      <c r="I10" s="16">
        <f ca="1">MIN(Data!F10:Y10)</f>
        <v>0</v>
      </c>
      <c r="J10" s="16">
        <f ca="1">MAX(Data!F10:Y10)</f>
        <v>2</v>
      </c>
      <c r="K10" s="16">
        <f t="shared" ref="K10:K30" si="1">J10-I10</f>
        <v>2</v>
      </c>
      <c r="L10" s="9">
        <f ca="1">MATCH(B10,Weights!C$4:C$47,0)</f>
        <v>10</v>
      </c>
      <c r="M10" s="9">
        <f ca="1">INDEX(Weights!G$4:G$46,Scores!L10)</f>
        <v>3</v>
      </c>
      <c r="N10" s="17">
        <f t="shared" si="0"/>
        <v>0.33333333333333331</v>
      </c>
      <c r="O10" s="17"/>
      <c r="P10" s="19" t="str">
        <f ca="1">tblIndicators!H5</f>
        <v>Effective PPP selection and decision making</v>
      </c>
      <c r="Q10" s="17">
        <f t="shared" ref="Q10:Q30" si="2">N10</f>
        <v>0.33333333333333331</v>
      </c>
      <c r="S10" s="128">
        <f ca="1">IF($E10="WS",SUMPRODUCT(($C11:$C$33=$B10)*($Q11:$Q$33)*(S11:S$33)),IF($E10="MM",100*ABS(($H10-(Data!F10-$I10)/$K10)),IF($E10="XX",ABS((100*$H10)-((Data!F10-$F10)*$G10)),"na")))</f>
        <v>0</v>
      </c>
      <c r="T10" s="128">
        <f ca="1">IF($E10="WS",SUMPRODUCT(($C11:$C$33=$B10)*($Q11:$Q$33)*(T11:T$33)),IF($E10="MM",100*ABS(($H10-(Data!G10-$I10)/$K10)),IF($E10="XX",ABS((100*$H10)-((Data!G10-$F10)*$G10)),"na")))</f>
        <v>50</v>
      </c>
      <c r="U10" s="128">
        <f ca="1">IF($E10="WS",SUMPRODUCT(($C11:$C$33=$B10)*($Q11:$Q$33)*(U11:U$33)),IF($E10="MM",100*ABS(($H10-(Data!H10-$I10)/$K10)),IF($E10="XX",ABS((100*$H10)-((Data!H10-$F10)*$G10)),"na")))</f>
        <v>50</v>
      </c>
      <c r="V10" s="128">
        <f ca="1">IF($E10="WS",SUMPRODUCT(($C11:$C$33=$B10)*($Q11:$Q$33)*(V11:V$33)),IF($E10="MM",100*ABS(($H10-(Data!I10-$I10)/$K10)),IF($E10="XX",ABS((100*$H10)-((Data!I10-$F10)*$G10)),"na")))</f>
        <v>50</v>
      </c>
      <c r="W10" s="128">
        <f ca="1">IF($E10="WS",SUMPRODUCT(($C11:$C$33=$B10)*($Q11:$Q$33)*(W11:W$33)),IF($E10="MM",100*ABS(($H10-(Data!J10-$I10)/$K10)),IF($E10="XX",ABS((100*$H10)-((Data!J10-$F10)*$G10)),"na")))</f>
        <v>25</v>
      </c>
      <c r="X10" s="128">
        <f ca="1">IF($E10="WS",SUMPRODUCT(($C11:$C$33=$B10)*($Q11:$Q$33)*(X11:X$33)),IF($E10="MM",100*ABS(($H10-(Data!K10-$I10)/$K10)),IF($E10="XX",ABS((100*$H10)-((Data!K10-$F10)*$G10)),"na")))</f>
        <v>0</v>
      </c>
      <c r="Y10" s="128">
        <f ca="1">IF($E10="WS",SUMPRODUCT(($C11:$C$33=$B10)*($Q11:$Q$33)*(Y11:Y$33)),IF($E10="MM",100*ABS(($H10-(Data!L10-$I10)/$K10)),IF($E10="XX",ABS((100*$H10)-((Data!L10-$F10)*$G10)),"na")))</f>
        <v>0</v>
      </c>
      <c r="Z10" s="128">
        <f ca="1">IF($E10="WS",SUMPRODUCT(($C11:$C$33=$B10)*($Q11:$Q$33)*(Z11:Z$33)),IF($E10="MM",100*ABS(($H10-(Data!M10-$I10)/$K10)),IF($E10="XX",ABS((100*$H10)-((Data!M10-$F10)*$G10)),"na")))</f>
        <v>25</v>
      </c>
      <c r="AA10" s="128">
        <f ca="1">IF($E10="WS",SUMPRODUCT(($C11:$C$33=$B10)*($Q11:$Q$33)*(AA11:AA$33)),IF($E10="MM",100*ABS(($H10-(Data!N10-$I10)/$K10)),IF($E10="XX",ABS((100*$H10)-((Data!N10-$F10)*$G10)),"na")))</f>
        <v>0</v>
      </c>
      <c r="AB10" s="128">
        <f ca="1">IF($E10="WS",SUMPRODUCT(($C11:$C$33=$B10)*($Q11:$Q$33)*(AB11:AB$33)),IF($E10="MM",100*ABS(($H10-(Data!O10-$I10)/$K10)),IF($E10="XX",ABS((100*$H10)-((Data!O10-$F10)*$G10)),"na")))</f>
        <v>25</v>
      </c>
      <c r="AC10" s="128">
        <f ca="1">IF($E10="WS",SUMPRODUCT(($C11:$C$33=$B10)*($Q11:$Q$33)*(AC11:AC$33)),IF($E10="MM",100*ABS(($H10-(Data!P10-$I10)/$K10)),IF($E10="XX",ABS((100*$H10)-((Data!P10-$F10)*$G10)),"na")))</f>
        <v>25</v>
      </c>
      <c r="AD10" s="128">
        <f ca="1">IF($E10="WS",SUMPRODUCT(($C11:$C$33=$B10)*($Q11:$Q$33)*(AD11:AD$33)),IF($E10="MM",100*ABS(($H10-(Data!Q10-$I10)/$K10)),IF($E10="XX",ABS((100*$H10)-((Data!Q10-$F10)*$G10)),"na")))</f>
        <v>25</v>
      </c>
      <c r="AE10" s="128">
        <f ca="1">IF($E10="WS",SUMPRODUCT(($C11:$C$33=$B10)*($Q11:$Q$33)*(AE11:AE$33)),IF($E10="MM",100*ABS(($H10-(Data!R10-$I10)/$K10)),IF($E10="XX",ABS((100*$H10)-((Data!R10-$F10)*$G10)),"na")))</f>
        <v>0</v>
      </c>
      <c r="AF10" s="128">
        <f ca="1">IF($E10="WS",SUMPRODUCT(($C11:$C$33=$B10)*($Q11:$Q$33)*(AF11:AF$33)),IF($E10="MM",100*ABS(($H10-(Data!S10-$I10)/$K10)),IF($E10="XX",ABS((100*$H10)-((Data!S10-$F10)*$G10)),"na")))</f>
        <v>25</v>
      </c>
      <c r="AG10" s="128">
        <f ca="1">IF($E10="WS",SUMPRODUCT(($C11:$C$33=$B10)*($Q11:$Q$33)*(AG11:AG$33)),IF($E10="MM",100*ABS(($H10-(Data!T10-$I10)/$K10)),IF($E10="XX",ABS((100*$H10)-((Data!T10-$F10)*$G10)),"na")))</f>
        <v>25</v>
      </c>
      <c r="AH10" s="128">
        <f ca="1">IF($E10="WS",SUMPRODUCT(($C11:$C$33=$B10)*($Q11:$Q$33)*(AH11:AH$33)),IF($E10="MM",100*ABS(($H10-(Data!U10-$I10)/$K10)),IF($E10="XX",ABS((100*$H10)-((Data!U10-$F10)*$G10)),"na")))</f>
        <v>50</v>
      </c>
      <c r="AI10" s="128">
        <f ca="1">IF($E10="WS",SUMPRODUCT(($C11:$C$33=$B10)*($Q11:$Q$33)*(AI11:AI$33)),IF($E10="MM",100*ABS(($H10-(Data!V10-$I10)/$K10)),IF($E10="XX",ABS((100*$H10)-((Data!V10-$F10)*$G10)),"na")))</f>
        <v>0</v>
      </c>
      <c r="AJ10" s="128">
        <f ca="1">IF($E10="WS",SUMPRODUCT(($C11:$C$33=$B10)*($Q11:$Q$33)*(AJ11:AJ$33)),IF($E10="MM",100*ABS(($H10-(Data!W10-$I10)/$K10)),IF($E10="XX",ABS((100*$H10)-((Data!W10-$F10)*$G10)),"na")))</f>
        <v>25</v>
      </c>
      <c r="AK10" s="128">
        <f ca="1">IF($E10="WS",SUMPRODUCT(($C11:$C$33=$B10)*($Q11:$Q$33)*(AK11:AK$33)),IF($E10="MM",100*ABS(($H10-(Data!X10-$I10)/$K10)),IF($E10="XX",ABS((100*$H10)-((Data!X10-$F10)*$G10)),"na")))</f>
        <v>0</v>
      </c>
      <c r="AL10" s="128"/>
    </row>
    <row r="11" spans="1:38">
      <c r="B11" s="9" t="str">
        <f ca="1">tblIndicators!A6</f>
        <v>LEGF03</v>
      </c>
      <c r="C11" s="9" t="str">
        <f ca="1">tblIndicators!B6</f>
        <v>LEGF</v>
      </c>
      <c r="D11" s="9">
        <f ca="1">tblIndicators!C6</f>
        <v>2</v>
      </c>
      <c r="E11" s="9" t="str">
        <f ca="1">tblIndicators!D6</f>
        <v>XX</v>
      </c>
      <c r="F11" s="9">
        <f ca="1">tblIndicators!E6</f>
        <v>0</v>
      </c>
      <c r="G11" s="9">
        <f ca="1">tblIndicators!F6</f>
        <v>25</v>
      </c>
      <c r="H11" s="9">
        <f ca="1">tblIndicators!G6</f>
        <v>0</v>
      </c>
      <c r="I11" s="16">
        <f ca="1">MIN(Data!F11:Y11)</f>
        <v>0</v>
      </c>
      <c r="J11" s="16">
        <f ca="1">MAX(Data!F11:Y11)</f>
        <v>3</v>
      </c>
      <c r="K11" s="16">
        <f t="shared" si="1"/>
        <v>3</v>
      </c>
      <c r="L11" s="9">
        <f ca="1">MATCH(B11,Weights!C$4:C$47,0)</f>
        <v>11</v>
      </c>
      <c r="M11" s="9">
        <f ca="1">INDEX(Weights!G$4:G$46,Scores!L11)</f>
        <v>1</v>
      </c>
      <c r="N11" s="17">
        <f t="shared" si="0"/>
        <v>0.1111111111111111</v>
      </c>
      <c r="O11" s="17"/>
      <c r="P11" s="19" t="str">
        <f ca="1">tblIndicators!H6</f>
        <v>Fairness/openness of bids, contract changes</v>
      </c>
      <c r="Q11" s="17">
        <f t="shared" si="2"/>
        <v>0.1111111111111111</v>
      </c>
      <c r="S11" s="128">
        <f ca="1">IF($E11="WS",SUMPRODUCT(($C12:$C$33=$B11)*($Q12:$Q$33)*(S12:S$33)),IF($E11="MM",100*ABS(($H11-(Data!F11-$I11)/$K11)),IF($E11="XX",ABS((100*$H11)-((Data!F11-$F11)*$G11)),"na")))</f>
        <v>0</v>
      </c>
      <c r="T11" s="128">
        <f ca="1">IF($E11="WS",SUMPRODUCT(($C12:$C$33=$B11)*($Q12:$Q$33)*(T12:T$33)),IF($E11="MM",100*ABS(($H11-(Data!G11-$I11)/$K11)),IF($E11="XX",ABS((100*$H11)-((Data!G11-$F11)*$G11)),"na")))</f>
        <v>50</v>
      </c>
      <c r="U11" s="128">
        <f ca="1">IF($E11="WS",SUMPRODUCT(($C12:$C$33=$B11)*($Q12:$Q$33)*(U12:U$33)),IF($E11="MM",100*ABS(($H11-(Data!H11-$I11)/$K11)),IF($E11="XX",ABS((100*$H11)-((Data!H11-$F11)*$G11)),"na")))</f>
        <v>75</v>
      </c>
      <c r="V11" s="128">
        <f ca="1">IF($E11="WS",SUMPRODUCT(($C12:$C$33=$B11)*($Q12:$Q$33)*(V12:V$33)),IF($E11="MM",100*ABS(($H11-(Data!I11-$I11)/$K11)),IF($E11="XX",ABS((100*$H11)-((Data!I11-$F11)*$G11)),"na")))</f>
        <v>25</v>
      </c>
      <c r="W11" s="128">
        <f ca="1">IF($E11="WS",SUMPRODUCT(($C12:$C$33=$B11)*($Q12:$Q$33)*(W12:W$33)),IF($E11="MM",100*ABS(($H11-(Data!J11-$I11)/$K11)),IF($E11="XX",ABS((100*$H11)-((Data!J11-$F11)*$G11)),"na")))</f>
        <v>50</v>
      </c>
      <c r="X11" s="128">
        <f ca="1">IF($E11="WS",SUMPRODUCT(($C12:$C$33=$B11)*($Q12:$Q$33)*(X12:X$33)),IF($E11="MM",100*ABS(($H11-(Data!K11-$I11)/$K11)),IF($E11="XX",ABS((100*$H11)-((Data!K11-$F11)*$G11)),"na")))</f>
        <v>0</v>
      </c>
      <c r="Y11" s="128">
        <f ca="1">IF($E11="WS",SUMPRODUCT(($C12:$C$33=$B11)*($Q12:$Q$33)*(Y12:Y$33)),IF($E11="MM",100*ABS(($H11-(Data!L11-$I11)/$K11)),IF($E11="XX",ABS((100*$H11)-((Data!L11-$F11)*$G11)),"na")))</f>
        <v>0</v>
      </c>
      <c r="Z11" s="128">
        <f ca="1">IF($E11="WS",SUMPRODUCT(($C12:$C$33=$B11)*($Q12:$Q$33)*(Z12:Z$33)),IF($E11="MM",100*ABS(($H11-(Data!M11-$I11)/$K11)),IF($E11="XX",ABS((100*$H11)-((Data!M11-$F11)*$G11)),"na")))</f>
        <v>50</v>
      </c>
      <c r="AA11" s="128">
        <f ca="1">IF($E11="WS",SUMPRODUCT(($C12:$C$33=$B11)*($Q12:$Q$33)*(AA12:AA$33)),IF($E11="MM",100*ABS(($H11-(Data!N11-$I11)/$K11)),IF($E11="XX",ABS((100*$H11)-((Data!N11-$F11)*$G11)),"na")))</f>
        <v>25</v>
      </c>
      <c r="AB11" s="128">
        <f ca="1">IF($E11="WS",SUMPRODUCT(($C12:$C$33=$B11)*($Q12:$Q$33)*(AB12:AB$33)),IF($E11="MM",100*ABS(($H11-(Data!O11-$I11)/$K11)),IF($E11="XX",ABS((100*$H11)-((Data!O11-$F11)*$G11)),"na")))</f>
        <v>25</v>
      </c>
      <c r="AC11" s="128">
        <f ca="1">IF($E11="WS",SUMPRODUCT(($C12:$C$33=$B11)*($Q12:$Q$33)*(AC12:AC$33)),IF($E11="MM",100*ABS(($H11-(Data!P11-$I11)/$K11)),IF($E11="XX",ABS((100*$H11)-((Data!P11-$F11)*$G11)),"na")))</f>
        <v>25</v>
      </c>
      <c r="AD11" s="128">
        <f ca="1">IF($E11="WS",SUMPRODUCT(($C12:$C$33=$B11)*($Q12:$Q$33)*(AD12:AD$33)),IF($E11="MM",100*ABS(($H11-(Data!Q11-$I11)/$K11)),IF($E11="XX",ABS((100*$H11)-((Data!Q11-$F11)*$G11)),"na")))</f>
        <v>25</v>
      </c>
      <c r="AE11" s="128">
        <f ca="1">IF($E11="WS",SUMPRODUCT(($C12:$C$33=$B11)*($Q12:$Q$33)*(AE12:AE$33)),IF($E11="MM",100*ABS(($H11-(Data!R11-$I11)/$K11)),IF($E11="XX",ABS((100*$H11)-((Data!R11-$F11)*$G11)),"na")))</f>
        <v>0</v>
      </c>
      <c r="AF11" s="128">
        <f ca="1">IF($E11="WS",SUMPRODUCT(($C12:$C$33=$B11)*($Q12:$Q$33)*(AF12:AF$33)),IF($E11="MM",100*ABS(($H11-(Data!S11-$I11)/$K11)),IF($E11="XX",ABS((100*$H11)-((Data!S11-$F11)*$G11)),"na")))</f>
        <v>25</v>
      </c>
      <c r="AG11" s="128">
        <f ca="1">IF($E11="WS",SUMPRODUCT(($C12:$C$33=$B11)*($Q12:$Q$33)*(AG12:AG$33)),IF($E11="MM",100*ABS(($H11-(Data!T11-$I11)/$K11)),IF($E11="XX",ABS((100*$H11)-((Data!T11-$F11)*$G11)),"na")))</f>
        <v>0</v>
      </c>
      <c r="AH11" s="128">
        <f ca="1">IF($E11="WS",SUMPRODUCT(($C12:$C$33=$B11)*($Q12:$Q$33)*(AH12:AH$33)),IF($E11="MM",100*ABS(($H11-(Data!U11-$I11)/$K11)),IF($E11="XX",ABS((100*$H11)-((Data!U11-$F11)*$G11)),"na")))</f>
        <v>50</v>
      </c>
      <c r="AI11" s="128">
        <f ca="1">IF($E11="WS",SUMPRODUCT(($C12:$C$33=$B11)*($Q12:$Q$33)*(AI12:AI$33)),IF($E11="MM",100*ABS(($H11-(Data!V11-$I11)/$K11)),IF($E11="XX",ABS((100*$H11)-((Data!V11-$F11)*$G11)),"na")))</f>
        <v>25</v>
      </c>
      <c r="AJ11" s="128">
        <f ca="1">IF($E11="WS",SUMPRODUCT(($C12:$C$33=$B11)*($Q12:$Q$33)*(AJ12:AJ$33)),IF($E11="MM",100*ABS(($H11-(Data!W11-$I11)/$K11)),IF($E11="XX",ABS((100*$H11)-((Data!W11-$F11)*$G11)),"na")))</f>
        <v>25</v>
      </c>
      <c r="AK11" s="128">
        <f ca="1">IF($E11="WS",SUMPRODUCT(($C12:$C$33=$B11)*($Q12:$Q$33)*(AK12:AK$33)),IF($E11="MM",100*ABS(($H11-(Data!X11-$I11)/$K11)),IF($E11="XX",ABS((100*$H11)-((Data!X11-$F11)*$G11)),"na")))</f>
        <v>0</v>
      </c>
      <c r="AL11" s="128"/>
    </row>
    <row r="12" spans="1:38">
      <c r="B12" s="9" t="str">
        <f ca="1">tblIndicators!A7</f>
        <v>LEGF04</v>
      </c>
      <c r="C12" s="9" t="str">
        <f ca="1">tblIndicators!B7</f>
        <v>LEGF</v>
      </c>
      <c r="D12" s="9">
        <f ca="1">tblIndicators!C7</f>
        <v>2</v>
      </c>
      <c r="E12" s="9" t="str">
        <f ca="1">tblIndicators!D7</f>
        <v>XX</v>
      </c>
      <c r="F12" s="9">
        <f ca="1">tblIndicators!E7</f>
        <v>0</v>
      </c>
      <c r="G12" s="9">
        <f ca="1">tblIndicators!F7</f>
        <v>25</v>
      </c>
      <c r="H12" s="9">
        <f ca="1">tblIndicators!G7</f>
        <v>0</v>
      </c>
      <c r="I12" s="16">
        <f ca="1">MIN(Data!F12:Y12)</f>
        <v>0</v>
      </c>
      <c r="J12" s="16">
        <f ca="1">MAX(Data!F12:Y12)</f>
        <v>2</v>
      </c>
      <c r="K12" s="16">
        <f t="shared" si="1"/>
        <v>2</v>
      </c>
      <c r="L12" s="9">
        <f ca="1">MATCH(B12,Weights!C$4:C$47,0)</f>
        <v>12</v>
      </c>
      <c r="M12" s="9">
        <f ca="1">INDEX(Weights!G$4:G$46,Scores!L12)</f>
        <v>2</v>
      </c>
      <c r="N12" s="17">
        <f t="shared" si="0"/>
        <v>0.22222222222222221</v>
      </c>
      <c r="O12" s="17"/>
      <c r="P12" s="19" t="str">
        <f ca="1">tblIndicators!H7</f>
        <v>Dispute resolution mechanisms</v>
      </c>
      <c r="Q12" s="17">
        <f t="shared" si="2"/>
        <v>0.22222222222222221</v>
      </c>
      <c r="S12" s="128">
        <f ca="1">IF($E12="WS",SUMPRODUCT(($C13:$C$33=$B12)*($Q13:$Q$33)*(S13:S$33)),IF($E12="MM",100*ABS(($H12-(Data!F12-$I12)/$K12)),IF($E12="XX",ABS((100*$H12)-((Data!F12-$F12)*$G12)),"na")))</f>
        <v>0</v>
      </c>
      <c r="T12" s="128">
        <f ca="1">IF($E12="WS",SUMPRODUCT(($C13:$C$33=$B12)*($Q13:$Q$33)*(T13:T$33)),IF($E12="MM",100*ABS(($H12-(Data!G12-$I12)/$K12)),IF($E12="XX",ABS((100*$H12)-((Data!G12-$F12)*$G12)),"na")))</f>
        <v>50</v>
      </c>
      <c r="U12" s="128">
        <f ca="1">IF($E12="WS",SUMPRODUCT(($C13:$C$33=$B12)*($Q13:$Q$33)*(U13:U$33)),IF($E12="MM",100*ABS(($H12-(Data!H12-$I12)/$K12)),IF($E12="XX",ABS((100*$H12)-((Data!H12-$F12)*$G12)),"na")))</f>
        <v>50</v>
      </c>
      <c r="V12" s="128">
        <f ca="1">IF($E12="WS",SUMPRODUCT(($C13:$C$33=$B12)*($Q13:$Q$33)*(V13:V$33)),IF($E12="MM",100*ABS(($H12-(Data!I12-$I12)/$K12)),IF($E12="XX",ABS((100*$H12)-((Data!I12-$F12)*$G12)),"na")))</f>
        <v>25</v>
      </c>
      <c r="W12" s="128">
        <f ca="1">IF($E12="WS",SUMPRODUCT(($C13:$C$33=$B12)*($Q13:$Q$33)*(W13:W$33)),IF($E12="MM",100*ABS(($H12-(Data!J12-$I12)/$K12)),IF($E12="XX",ABS((100*$H12)-((Data!J12-$F12)*$G12)),"na")))</f>
        <v>50</v>
      </c>
      <c r="X12" s="128">
        <f ca="1">IF($E12="WS",SUMPRODUCT(($C13:$C$33=$B12)*($Q13:$Q$33)*(X13:X$33)),IF($E12="MM",100*ABS(($H12-(Data!K12-$I12)/$K12)),IF($E12="XX",ABS((100*$H12)-((Data!K12-$F12)*$G12)),"na")))</f>
        <v>25</v>
      </c>
      <c r="Y12" s="128">
        <f ca="1">IF($E12="WS",SUMPRODUCT(($C13:$C$33=$B12)*($Q13:$Q$33)*(Y13:Y$33)),IF($E12="MM",100*ABS(($H12-(Data!L12-$I12)/$K12)),IF($E12="XX",ABS((100*$H12)-((Data!L12-$F12)*$G12)),"na")))</f>
        <v>25</v>
      </c>
      <c r="Z12" s="128">
        <f ca="1">IF($E12="WS",SUMPRODUCT(($C13:$C$33=$B12)*($Q13:$Q$33)*(Z13:Z$33)),IF($E12="MM",100*ABS(($H12-(Data!M12-$I12)/$K12)),IF($E12="XX",ABS((100*$H12)-((Data!M12-$F12)*$G12)),"na")))</f>
        <v>25</v>
      </c>
      <c r="AA12" s="128">
        <f ca="1">IF($E12="WS",SUMPRODUCT(($C13:$C$33=$B12)*($Q13:$Q$33)*(AA13:AA$33)),IF($E12="MM",100*ABS(($H12-(Data!N12-$I12)/$K12)),IF($E12="XX",ABS((100*$H12)-((Data!N12-$F12)*$G12)),"na")))</f>
        <v>25</v>
      </c>
      <c r="AB12" s="128">
        <f ca="1">IF($E12="WS",SUMPRODUCT(($C13:$C$33=$B12)*($Q13:$Q$33)*(AB13:AB$33)),IF($E12="MM",100*ABS(($H12-(Data!O12-$I12)/$K12)),IF($E12="XX",ABS((100*$H12)-((Data!O12-$F12)*$G12)),"na")))</f>
        <v>25</v>
      </c>
      <c r="AC12" s="128">
        <f ca="1">IF($E12="WS",SUMPRODUCT(($C13:$C$33=$B12)*($Q13:$Q$33)*(AC13:AC$33)),IF($E12="MM",100*ABS(($H12-(Data!P12-$I12)/$K12)),IF($E12="XX",ABS((100*$H12)-((Data!P12-$F12)*$G12)),"na")))</f>
        <v>25</v>
      </c>
      <c r="AD12" s="128">
        <f ca="1">IF($E12="WS",SUMPRODUCT(($C13:$C$33=$B12)*($Q13:$Q$33)*(AD13:AD$33)),IF($E12="MM",100*ABS(($H12-(Data!Q12-$I12)/$K12)),IF($E12="XX",ABS((100*$H12)-((Data!Q12-$F12)*$G12)),"na")))</f>
        <v>50</v>
      </c>
      <c r="AE12" s="128">
        <f ca="1">IF($E12="WS",SUMPRODUCT(($C13:$C$33=$B12)*($Q13:$Q$33)*(AE13:AE$33)),IF($E12="MM",100*ABS(($H12-(Data!R12-$I12)/$K12)),IF($E12="XX",ABS((100*$H12)-((Data!R12-$F12)*$G12)),"na")))</f>
        <v>25</v>
      </c>
      <c r="AF12" s="128">
        <f ca="1">IF($E12="WS",SUMPRODUCT(($C13:$C$33=$B12)*($Q13:$Q$33)*(AF13:AF$33)),IF($E12="MM",100*ABS(($H12-(Data!S12-$I12)/$K12)),IF($E12="XX",ABS((100*$H12)-((Data!S12-$F12)*$G12)),"na")))</f>
        <v>25</v>
      </c>
      <c r="AG12" s="128">
        <f ca="1">IF($E12="WS",SUMPRODUCT(($C13:$C$33=$B12)*($Q13:$Q$33)*(AG13:AG$33)),IF($E12="MM",100*ABS(($H12-(Data!T12-$I12)/$K12)),IF($E12="XX",ABS((100*$H12)-((Data!T12-$F12)*$G12)),"na")))</f>
        <v>25</v>
      </c>
      <c r="AH12" s="128">
        <f ca="1">IF($E12="WS",SUMPRODUCT(($C13:$C$33=$B12)*($Q13:$Q$33)*(AH13:AH$33)),IF($E12="MM",100*ABS(($H12-(Data!U12-$I12)/$K12)),IF($E12="XX",ABS((100*$H12)-((Data!U12-$F12)*$G12)),"na")))</f>
        <v>25</v>
      </c>
      <c r="AI12" s="128">
        <f ca="1">IF($E12="WS",SUMPRODUCT(($C13:$C$33=$B12)*($Q13:$Q$33)*(AI13:AI$33)),IF($E12="MM",100*ABS(($H12-(Data!V12-$I12)/$K12)),IF($E12="XX",ABS((100*$H12)-((Data!V12-$F12)*$G12)),"na")))</f>
        <v>25</v>
      </c>
      <c r="AJ12" s="128">
        <f ca="1">IF($E12="WS",SUMPRODUCT(($C13:$C$33=$B12)*($Q13:$Q$33)*(AJ13:AJ$33)),IF($E12="MM",100*ABS(($H12-(Data!W12-$I12)/$K12)),IF($E12="XX",ABS((100*$H12)-((Data!W12-$F12)*$G12)),"na")))</f>
        <v>25</v>
      </c>
      <c r="AK12" s="128">
        <f ca="1">IF($E12="WS",SUMPRODUCT(($C13:$C$33=$B12)*($Q13:$Q$33)*(AK13:AK$33)),IF($E12="MM",100*ABS(($H12-(Data!X12-$I12)/$K12)),IF($E12="XX",ABS((100*$H12)-((Data!X12-$F12)*$G12)),"na")))</f>
        <v>0</v>
      </c>
      <c r="AL12" s="128"/>
    </row>
    <row r="13" spans="1:38" ht="22.5" customHeight="1">
      <c r="B13" s="21" t="str">
        <f ca="1">tblIndicators!A8</f>
        <v>INST</v>
      </c>
      <c r="C13" s="21" t="str">
        <f ca="1">tblIndicators!B8</f>
        <v>TOTL</v>
      </c>
      <c r="D13" s="21">
        <f ca="1">tblIndicators!C8</f>
        <v>1</v>
      </c>
      <c r="E13" s="21" t="str">
        <f ca="1">tblIndicators!D8</f>
        <v>WS</v>
      </c>
      <c r="F13" s="21">
        <f ca="1">tblIndicators!E8</f>
        <v>0</v>
      </c>
      <c r="G13" s="21">
        <f ca="1">tblIndicators!F8</f>
        <v>0</v>
      </c>
      <c r="H13" s="21">
        <f ca="1">tblIndicators!G8</f>
        <v>0</v>
      </c>
      <c r="I13" s="21">
        <f ca="1">MIN(Data!F13:Y13)</f>
        <v>0</v>
      </c>
      <c r="J13" s="21">
        <f ca="1">MAX(Data!F13:Y13)</f>
        <v>0</v>
      </c>
      <c r="K13" s="21">
        <f t="shared" si="1"/>
        <v>0</v>
      </c>
      <c r="L13" s="21">
        <f ca="1">MATCH(B13,Weights!C$4:C$47,0)</f>
        <v>2</v>
      </c>
      <c r="M13" s="21">
        <f ca="1">INDEX(Weights!G$4:G$46,Scores!L13)</f>
        <v>3</v>
      </c>
      <c r="N13" s="39">
        <f t="shared" si="0"/>
        <v>0.25</v>
      </c>
      <c r="O13" s="17"/>
      <c r="P13" s="21" t="str">
        <f ca="1">tblIndicators!H8</f>
        <v>Institutional framework</v>
      </c>
      <c r="Q13" s="22">
        <f t="shared" si="2"/>
        <v>0.25</v>
      </c>
      <c r="R13" s="21"/>
      <c r="S13" s="127">
        <f ca="1">IF($E13="WS",SUMPRODUCT(($C14:$C$33=$B13)*($Q14:$Q$33)*(S14:S$33)),IF($E13="MM",100*ABS(($H13-(Data!F13-$I13)/$K13)),IF($E13="XX",ABS((100*$H13)-((Data!F13-$F13)*$G13)),"na")))</f>
        <v>12.5</v>
      </c>
      <c r="T13" s="127">
        <f ca="1">IF($E13="WS",SUMPRODUCT(($C14:$C$33=$B13)*($Q14:$Q$33)*(T14:T$33)),IF($E13="MM",100*ABS(($H13-(Data!G13-$I13)/$K13)),IF($E13="XX",ABS((100*$H13)-((Data!G13-$F13)*$G13)),"na")))</f>
        <v>62.5</v>
      </c>
      <c r="U13" s="127">
        <f ca="1">IF($E13="WS",SUMPRODUCT(($C14:$C$33=$B13)*($Q14:$Q$33)*(U14:U$33)),IF($E13="MM",100*ABS(($H13-(Data!H13-$I13)/$K13)),IF($E13="XX",ABS((100*$H13)-((Data!H13-$F13)*$G13)),"na")))</f>
        <v>50</v>
      </c>
      <c r="V13" s="127">
        <f ca="1">IF($E13="WS",SUMPRODUCT(($C14:$C$33=$B13)*($Q14:$Q$33)*(V14:V$33)),IF($E13="MM",100*ABS(($H13-(Data!I13-$I13)/$K13)),IF($E13="XX",ABS((100*$H13)-((Data!I13-$F13)*$G13)),"na")))</f>
        <v>37.5</v>
      </c>
      <c r="W13" s="127">
        <f ca="1">IF($E13="WS",SUMPRODUCT(($C14:$C$33=$B13)*($Q14:$Q$33)*(W14:W$33)),IF($E13="MM",100*ABS(($H13-(Data!J13-$I13)/$K13)),IF($E13="XX",ABS((100*$H13)-((Data!J13-$F13)*$G13)),"na")))</f>
        <v>25</v>
      </c>
      <c r="X13" s="127">
        <f ca="1">IF($E13="WS",SUMPRODUCT(($C14:$C$33=$B13)*($Q14:$Q$33)*(X14:X$33)),IF($E13="MM",100*ABS(($H13-(Data!K13-$I13)/$K13)),IF($E13="XX",ABS((100*$H13)-((Data!K13-$F13)*$G13)),"na")))</f>
        <v>25</v>
      </c>
      <c r="Y13" s="127">
        <f ca="1">IF($E13="WS",SUMPRODUCT(($C14:$C$33=$B13)*($Q14:$Q$33)*(Y14:Y$33)),IF($E13="MM",100*ABS(($H13-(Data!L13-$I13)/$K13)),IF($E13="XX",ABS((100*$H13)-((Data!L13-$F13)*$G13)),"na")))</f>
        <v>0</v>
      </c>
      <c r="Z13" s="127">
        <f ca="1">IF($E13="WS",SUMPRODUCT(($C14:$C$33=$B13)*($Q14:$Q$33)*(Z14:Z$33)),IF($E13="MM",100*ABS(($H13-(Data!M13-$I13)/$K13)),IF($E13="XX",ABS((100*$H13)-((Data!M13-$F13)*$G13)),"na")))</f>
        <v>25</v>
      </c>
      <c r="AA13" s="127">
        <f ca="1">IF($E13="WS",SUMPRODUCT(($C14:$C$33=$B13)*($Q14:$Q$33)*(AA14:AA$33)),IF($E13="MM",100*ABS(($H13-(Data!N13-$I13)/$K13)),IF($E13="XX",ABS((100*$H13)-((Data!N13-$F13)*$G13)),"na")))</f>
        <v>25</v>
      </c>
      <c r="AB13" s="127">
        <f ca="1">IF($E13="WS",SUMPRODUCT(($C14:$C$33=$B13)*($Q14:$Q$33)*(AB14:AB$33)),IF($E13="MM",100*ABS(($H13-(Data!O13-$I13)/$K13)),IF($E13="XX",ABS((100*$H13)-((Data!O13-$F13)*$G13)),"na")))</f>
        <v>37.5</v>
      </c>
      <c r="AC13" s="127">
        <f ca="1">IF($E13="WS",SUMPRODUCT(($C14:$C$33=$B13)*($Q14:$Q$33)*(AC14:AC$33)),IF($E13="MM",100*ABS(($H13-(Data!P13-$I13)/$K13)),IF($E13="XX",ABS((100*$H13)-((Data!P13-$F13)*$G13)),"na")))</f>
        <v>37.5</v>
      </c>
      <c r="AD13" s="127">
        <f ca="1">IF($E13="WS",SUMPRODUCT(($C14:$C$33=$B13)*($Q14:$Q$33)*(AD14:AD$33)),IF($E13="MM",100*ABS(($H13-(Data!Q13-$I13)/$K13)),IF($E13="XX",ABS((100*$H13)-((Data!Q13-$F13)*$G13)),"na")))</f>
        <v>37.5</v>
      </c>
      <c r="AE13" s="127">
        <f ca="1">IF($E13="WS",SUMPRODUCT(($C14:$C$33=$B13)*($Q14:$Q$33)*(AE14:AE$33)),IF($E13="MM",100*ABS(($H13-(Data!R13-$I13)/$K13)),IF($E13="XX",ABS((100*$H13)-((Data!R13-$F13)*$G13)),"na")))</f>
        <v>12.5</v>
      </c>
      <c r="AF13" s="127">
        <f ca="1">IF($E13="WS",SUMPRODUCT(($C14:$C$33=$B13)*($Q14:$Q$33)*(AF14:AF$33)),IF($E13="MM",100*ABS(($H13-(Data!S13-$I13)/$K13)),IF($E13="XX",ABS((100*$H13)-((Data!S13-$F13)*$G13)),"na")))</f>
        <v>12.5</v>
      </c>
      <c r="AG13" s="127">
        <f ca="1">IF($E13="WS",SUMPRODUCT(($C14:$C$33=$B13)*($Q14:$Q$33)*(AG14:AG$33)),IF($E13="MM",100*ABS(($H13-(Data!T13-$I13)/$K13)),IF($E13="XX",ABS((100*$H13)-((Data!T13-$F13)*$G13)),"na")))</f>
        <v>25</v>
      </c>
      <c r="AH13" s="127">
        <f ca="1">IF($E13="WS",SUMPRODUCT(($C14:$C$33=$B13)*($Q14:$Q$33)*(AH14:AH$33)),IF($E13="MM",100*ABS(($H13-(Data!U13-$I13)/$K13)),IF($E13="XX",ABS((100*$H13)-((Data!U13-$F13)*$G13)),"na")))</f>
        <v>50</v>
      </c>
      <c r="AI13" s="127">
        <f ca="1">IF($E13="WS",SUMPRODUCT(($C14:$C$33=$B13)*($Q14:$Q$33)*(AI14:AI$33)),IF($E13="MM",100*ABS(($H13-(Data!V13-$I13)/$K13)),IF($E13="XX",ABS((100*$H13)-((Data!V13-$F13)*$G13)),"na")))</f>
        <v>25</v>
      </c>
      <c r="AJ13" s="127">
        <f ca="1">IF($E13="WS",SUMPRODUCT(($C14:$C$33=$B13)*($Q14:$Q$33)*(AJ14:AJ$33)),IF($E13="MM",100*ABS(($H13-(Data!W13-$I13)/$K13)),IF($E13="XX",ABS((100*$H13)-((Data!W13-$F13)*$G13)),"na")))</f>
        <v>37.5</v>
      </c>
      <c r="AK13" s="127">
        <f ca="1">IF($E13="WS",SUMPRODUCT(($C14:$C$33=$B13)*($Q14:$Q$33)*(AK14:AK$33)),IF($E13="MM",100*ABS(($H13-(Data!X13-$I13)/$K13)),IF($E13="XX",ABS((100*$H13)-((Data!X13-$F13)*$G13)),"na")))</f>
        <v>0</v>
      </c>
      <c r="AL13" s="127"/>
    </row>
    <row r="14" spans="1:38">
      <c r="B14" s="9" t="str">
        <f ca="1">tblIndicators!A9</f>
        <v>INST01</v>
      </c>
      <c r="C14" s="9" t="str">
        <f ca="1">tblIndicators!B9</f>
        <v>INST</v>
      </c>
      <c r="D14" s="9">
        <f ca="1">tblIndicators!C9</f>
        <v>2</v>
      </c>
      <c r="E14" s="9" t="str">
        <f ca="1">tblIndicators!D9</f>
        <v>XX</v>
      </c>
      <c r="F14" s="9">
        <f ca="1">tblIndicators!E9</f>
        <v>0</v>
      </c>
      <c r="G14" s="9">
        <f ca="1">tblIndicators!F9</f>
        <v>25</v>
      </c>
      <c r="H14" s="9">
        <f ca="1">tblIndicators!G9</f>
        <v>0</v>
      </c>
      <c r="I14" s="16">
        <f ca="1">MIN(Data!F14:Y14)</f>
        <v>0</v>
      </c>
      <c r="J14" s="16">
        <f ca="1">MAX(Data!F14:Y14)</f>
        <v>3</v>
      </c>
      <c r="K14" s="16">
        <f t="shared" si="1"/>
        <v>3</v>
      </c>
      <c r="L14" s="9">
        <f ca="1">MATCH(B14,Weights!C$4:C$47,0)</f>
        <v>14</v>
      </c>
      <c r="M14" s="9">
        <f ca="1">INDEX(Weights!G$4:G$46,Scores!L14)</f>
        <v>1</v>
      </c>
      <c r="N14" s="17">
        <f t="shared" si="0"/>
        <v>0.5</v>
      </c>
      <c r="O14" s="17"/>
      <c r="P14" s="19" t="str">
        <f ca="1">tblIndicators!H9</f>
        <v>Quality of institutional design</v>
      </c>
      <c r="Q14" s="17">
        <f t="shared" si="2"/>
        <v>0.5</v>
      </c>
      <c r="S14" s="128">
        <f ca="1">IF($E14="WS",SUMPRODUCT(($C15:$C$33=$B14)*($Q15:$Q$33)*(S15:S$33)),IF($E14="MM",100*ABS(($H14-(Data!F14-$I14)/$K14)),IF($E14="XX",ABS((100*$H14)-((Data!F14-$F14)*$G14)),"na")))</f>
        <v>25</v>
      </c>
      <c r="T14" s="128">
        <f ca="1">IF($E14="WS",SUMPRODUCT(($C15:$C$33=$B14)*($Q15:$Q$33)*(T15:T$33)),IF($E14="MM",100*ABS(($H14-(Data!G14-$I14)/$K14)),IF($E14="XX",ABS((100*$H14)-((Data!G14-$F14)*$G14)),"na")))</f>
        <v>75</v>
      </c>
      <c r="U14" s="128">
        <f ca="1">IF($E14="WS",SUMPRODUCT(($C15:$C$33=$B14)*($Q15:$Q$33)*(U15:U$33)),IF($E14="MM",100*ABS(($H14-(Data!H14-$I14)/$K14)),IF($E14="XX",ABS((100*$H14)-((Data!H14-$F14)*$G14)),"na")))</f>
        <v>50</v>
      </c>
      <c r="V14" s="128">
        <f ca="1">IF($E14="WS",SUMPRODUCT(($C15:$C$33=$B14)*($Q15:$Q$33)*(V15:V$33)),IF($E14="MM",100*ABS(($H14-(Data!I14-$I14)/$K14)),IF($E14="XX",ABS((100*$H14)-((Data!I14-$F14)*$G14)),"na")))</f>
        <v>25</v>
      </c>
      <c r="W14" s="128">
        <f ca="1">IF($E14="WS",SUMPRODUCT(($C15:$C$33=$B14)*($Q15:$Q$33)*(W15:W$33)),IF($E14="MM",100*ABS(($H14-(Data!J14-$I14)/$K14)),IF($E14="XX",ABS((100*$H14)-((Data!J14-$F14)*$G14)),"na")))</f>
        <v>25</v>
      </c>
      <c r="X14" s="128">
        <f ca="1">IF($E14="WS",SUMPRODUCT(($C15:$C$33=$B14)*($Q15:$Q$33)*(X15:X$33)),IF($E14="MM",100*ABS(($H14-(Data!K14-$I14)/$K14)),IF($E14="XX",ABS((100*$H14)-((Data!K14-$F14)*$G14)),"na")))</f>
        <v>25</v>
      </c>
      <c r="Y14" s="128">
        <f ca="1">IF($E14="WS",SUMPRODUCT(($C15:$C$33=$B14)*($Q15:$Q$33)*(Y15:Y$33)),IF($E14="MM",100*ABS(($H14-(Data!L14-$I14)/$K14)),IF($E14="XX",ABS((100*$H14)-((Data!L14-$F14)*$G14)),"na")))</f>
        <v>0</v>
      </c>
      <c r="Z14" s="128">
        <f ca="1">IF($E14="WS",SUMPRODUCT(($C15:$C$33=$B14)*($Q15:$Q$33)*(Z15:Z$33)),IF($E14="MM",100*ABS(($H14-(Data!M14-$I14)/$K14)),IF($E14="XX",ABS((100*$H14)-((Data!M14-$F14)*$G14)),"na")))</f>
        <v>0</v>
      </c>
      <c r="AA14" s="128">
        <f ca="1">IF($E14="WS",SUMPRODUCT(($C15:$C$33=$B14)*($Q15:$Q$33)*(AA15:AA$33)),IF($E14="MM",100*ABS(($H14-(Data!N14-$I14)/$K14)),IF($E14="XX",ABS((100*$H14)-((Data!N14-$F14)*$G14)),"na")))</f>
        <v>25</v>
      </c>
      <c r="AB14" s="128">
        <f ca="1">IF($E14="WS",SUMPRODUCT(($C15:$C$33=$B14)*($Q15:$Q$33)*(AB15:AB$33)),IF($E14="MM",100*ABS(($H14-(Data!O14-$I14)/$K14)),IF($E14="XX",ABS((100*$H14)-((Data!O14-$F14)*$G14)),"na")))</f>
        <v>25</v>
      </c>
      <c r="AC14" s="128">
        <f ca="1">IF($E14="WS",SUMPRODUCT(($C15:$C$33=$B14)*($Q15:$Q$33)*(AC15:AC$33)),IF($E14="MM",100*ABS(($H14-(Data!P14-$I14)/$K14)),IF($E14="XX",ABS((100*$H14)-((Data!P14-$F14)*$G14)),"na")))</f>
        <v>50</v>
      </c>
      <c r="AD14" s="128">
        <f ca="1">IF($E14="WS",SUMPRODUCT(($C15:$C$33=$B14)*($Q15:$Q$33)*(AD15:AD$33)),IF($E14="MM",100*ABS(($H14-(Data!Q14-$I14)/$K14)),IF($E14="XX",ABS((100*$H14)-((Data!Q14-$F14)*$G14)),"na")))</f>
        <v>25</v>
      </c>
      <c r="AE14" s="128">
        <f ca="1">IF($E14="WS",SUMPRODUCT(($C15:$C$33=$B14)*($Q15:$Q$33)*(AE15:AE$33)),IF($E14="MM",100*ABS(($H14-(Data!R14-$I14)/$K14)),IF($E14="XX",ABS((100*$H14)-((Data!R14-$F14)*$G14)),"na")))</f>
        <v>0</v>
      </c>
      <c r="AF14" s="128">
        <f ca="1">IF($E14="WS",SUMPRODUCT(($C15:$C$33=$B14)*($Q15:$Q$33)*(AF15:AF$33)),IF($E14="MM",100*ABS(($H14-(Data!S14-$I14)/$K14)),IF($E14="XX",ABS((100*$H14)-((Data!S14-$F14)*$G14)),"na")))</f>
        <v>0</v>
      </c>
      <c r="AG14" s="128">
        <f ca="1">IF($E14="WS",SUMPRODUCT(($C15:$C$33=$B14)*($Q15:$Q$33)*(AG15:AG$33)),IF($E14="MM",100*ABS(($H14-(Data!T14-$I14)/$K14)),IF($E14="XX",ABS((100*$H14)-((Data!T14-$F14)*$G14)),"na")))</f>
        <v>25</v>
      </c>
      <c r="AH14" s="128">
        <f ca="1">IF($E14="WS",SUMPRODUCT(($C15:$C$33=$B14)*($Q15:$Q$33)*(AH15:AH$33)),IF($E14="MM",100*ABS(($H14-(Data!U14-$I14)/$K14)),IF($E14="XX",ABS((100*$H14)-((Data!U14-$F14)*$G14)),"na")))</f>
        <v>50</v>
      </c>
      <c r="AI14" s="128">
        <f ca="1">IF($E14="WS",SUMPRODUCT(($C15:$C$33=$B14)*($Q15:$Q$33)*(AI15:AI$33)),IF($E14="MM",100*ABS(($H14-(Data!V14-$I14)/$K14)),IF($E14="XX",ABS((100*$H14)-((Data!V14-$F14)*$G14)),"na")))</f>
        <v>25</v>
      </c>
      <c r="AJ14" s="128">
        <f ca="1">IF($E14="WS",SUMPRODUCT(($C15:$C$33=$B14)*($Q15:$Q$33)*(AJ15:AJ$33)),IF($E14="MM",100*ABS(($H14-(Data!W14-$I14)/$K14)),IF($E14="XX",ABS((100*$H14)-((Data!W14-$F14)*$G14)),"na")))</f>
        <v>25</v>
      </c>
      <c r="AK14" s="128">
        <f ca="1">IF($E14="WS",SUMPRODUCT(($C15:$C$33=$B14)*($Q15:$Q$33)*(AK15:AK$33)),IF($E14="MM",100*ABS(($H14-(Data!X14-$I14)/$K14)),IF($E14="XX",ABS((100*$H14)-((Data!X14-$F14)*$G14)),"na")))</f>
        <v>0</v>
      </c>
      <c r="AL14" s="128"/>
    </row>
    <row r="15" spans="1:38">
      <c r="B15" s="9" t="str">
        <f ca="1">tblIndicators!A10</f>
        <v>INST02</v>
      </c>
      <c r="C15" s="9" t="str">
        <f ca="1">tblIndicators!B10</f>
        <v>INST</v>
      </c>
      <c r="D15" s="9">
        <f ca="1">tblIndicators!C10</f>
        <v>2</v>
      </c>
      <c r="E15" s="9" t="str">
        <f ca="1">tblIndicators!D10</f>
        <v>XX</v>
      </c>
      <c r="F15" s="9">
        <f ca="1">tblIndicators!E10</f>
        <v>0</v>
      </c>
      <c r="G15" s="9">
        <f ca="1">tblIndicators!F10</f>
        <v>25</v>
      </c>
      <c r="H15" s="9">
        <f ca="1">tblIndicators!G10</f>
        <v>0</v>
      </c>
      <c r="I15" s="16">
        <f ca="1">MIN(Data!F15:Y15)</f>
        <v>0</v>
      </c>
      <c r="J15" s="16">
        <f ca="1">MAX(Data!F15:Y15)</f>
        <v>2</v>
      </c>
      <c r="K15" s="16">
        <f t="shared" si="1"/>
        <v>2</v>
      </c>
      <c r="L15" s="9">
        <f ca="1">MATCH(B15,Weights!C$4:C$47,0)</f>
        <v>15</v>
      </c>
      <c r="M15" s="9">
        <f ca="1">INDEX(Weights!G$4:G$46,Scores!L15)</f>
        <v>1</v>
      </c>
      <c r="N15" s="17">
        <f t="shared" si="0"/>
        <v>0.5</v>
      </c>
      <c r="O15" s="17"/>
      <c r="P15" s="19" t="str">
        <f ca="1">tblIndicators!H10</f>
        <v>PPP contract, hold-up and expropriation risk</v>
      </c>
      <c r="Q15" s="17">
        <f t="shared" si="2"/>
        <v>0.5</v>
      </c>
      <c r="S15" s="128">
        <f ca="1">IF($E15="WS",SUMPRODUCT(($C16:$C$33=$B15)*($Q16:$Q$33)*(S16:S$33)),IF($E15="MM",100*ABS(($H15-(Data!F15-$I15)/$K15)),IF($E15="XX",ABS((100*$H15)-((Data!F15-$F15)*$G15)),"na")))</f>
        <v>0</v>
      </c>
      <c r="T15" s="128">
        <f ca="1">IF($E15="WS",SUMPRODUCT(($C16:$C$33=$B15)*($Q16:$Q$33)*(T16:T$33)),IF($E15="MM",100*ABS(($H15-(Data!G15-$I15)/$K15)),IF($E15="XX",ABS((100*$H15)-((Data!G15-$F15)*$G15)),"na")))</f>
        <v>50</v>
      </c>
      <c r="U15" s="128">
        <f ca="1">IF($E15="WS",SUMPRODUCT(($C16:$C$33=$B15)*($Q16:$Q$33)*(U16:U$33)),IF($E15="MM",100*ABS(($H15-(Data!H15-$I15)/$K15)),IF($E15="XX",ABS((100*$H15)-((Data!H15-$F15)*$G15)),"na")))</f>
        <v>50</v>
      </c>
      <c r="V15" s="128">
        <f ca="1">IF($E15="WS",SUMPRODUCT(($C16:$C$33=$B15)*($Q16:$Q$33)*(V16:V$33)),IF($E15="MM",100*ABS(($H15-(Data!I15-$I15)/$K15)),IF($E15="XX",ABS((100*$H15)-((Data!I15-$F15)*$G15)),"na")))</f>
        <v>50</v>
      </c>
      <c r="W15" s="128">
        <f ca="1">IF($E15="WS",SUMPRODUCT(($C16:$C$33=$B15)*($Q16:$Q$33)*(W16:W$33)),IF($E15="MM",100*ABS(($H15-(Data!J15-$I15)/$K15)),IF($E15="XX",ABS((100*$H15)-((Data!J15-$F15)*$G15)),"na")))</f>
        <v>25</v>
      </c>
      <c r="X15" s="128">
        <f ca="1">IF($E15="WS",SUMPRODUCT(($C16:$C$33=$B15)*($Q16:$Q$33)*(X16:X$33)),IF($E15="MM",100*ABS(($H15-(Data!K15-$I15)/$K15)),IF($E15="XX",ABS((100*$H15)-((Data!K15-$F15)*$G15)),"na")))</f>
        <v>25</v>
      </c>
      <c r="Y15" s="128">
        <f ca="1">IF($E15="WS",SUMPRODUCT(($C16:$C$33=$B15)*($Q16:$Q$33)*(Y16:Y$33)),IF($E15="MM",100*ABS(($H15-(Data!L15-$I15)/$K15)),IF($E15="XX",ABS((100*$H15)-((Data!L15-$F15)*$G15)),"na")))</f>
        <v>0</v>
      </c>
      <c r="Z15" s="128">
        <f ca="1">IF($E15="WS",SUMPRODUCT(($C16:$C$33=$B15)*($Q16:$Q$33)*(Z16:Z$33)),IF($E15="MM",100*ABS(($H15-(Data!M15-$I15)/$K15)),IF($E15="XX",ABS((100*$H15)-((Data!M15-$F15)*$G15)),"na")))</f>
        <v>50</v>
      </c>
      <c r="AA15" s="128">
        <f ca="1">IF($E15="WS",SUMPRODUCT(($C16:$C$33=$B15)*($Q16:$Q$33)*(AA16:AA$33)),IF($E15="MM",100*ABS(($H15-(Data!N15-$I15)/$K15)),IF($E15="XX",ABS((100*$H15)-((Data!N15-$F15)*$G15)),"na")))</f>
        <v>25</v>
      </c>
      <c r="AB15" s="128">
        <f ca="1">IF($E15="WS",SUMPRODUCT(($C16:$C$33=$B15)*($Q16:$Q$33)*(AB16:AB$33)),IF($E15="MM",100*ABS(($H15-(Data!O15-$I15)/$K15)),IF($E15="XX",ABS((100*$H15)-((Data!O15-$F15)*$G15)),"na")))</f>
        <v>50</v>
      </c>
      <c r="AC15" s="128">
        <f ca="1">IF($E15="WS",SUMPRODUCT(($C16:$C$33=$B15)*($Q16:$Q$33)*(AC16:AC$33)),IF($E15="MM",100*ABS(($H15-(Data!P15-$I15)/$K15)),IF($E15="XX",ABS((100*$H15)-((Data!P15-$F15)*$G15)),"na")))</f>
        <v>25</v>
      </c>
      <c r="AD15" s="128">
        <f ca="1">IF($E15="WS",SUMPRODUCT(($C16:$C$33=$B15)*($Q16:$Q$33)*(AD16:AD$33)),IF($E15="MM",100*ABS(($H15-(Data!Q15-$I15)/$K15)),IF($E15="XX",ABS((100*$H15)-((Data!Q15-$F15)*$G15)),"na")))</f>
        <v>50</v>
      </c>
      <c r="AE15" s="128">
        <f ca="1">IF($E15="WS",SUMPRODUCT(($C16:$C$33=$B15)*($Q16:$Q$33)*(AE16:AE$33)),IF($E15="MM",100*ABS(($H15-(Data!R15-$I15)/$K15)),IF($E15="XX",ABS((100*$H15)-((Data!R15-$F15)*$G15)),"na")))</f>
        <v>25</v>
      </c>
      <c r="AF15" s="128">
        <f ca="1">IF($E15="WS",SUMPRODUCT(($C16:$C$33=$B15)*($Q16:$Q$33)*(AF16:AF$33)),IF($E15="MM",100*ABS(($H15-(Data!S15-$I15)/$K15)),IF($E15="XX",ABS((100*$H15)-((Data!S15-$F15)*$G15)),"na")))</f>
        <v>25</v>
      </c>
      <c r="AG15" s="128">
        <f ca="1">IF($E15="WS",SUMPRODUCT(($C16:$C$33=$B15)*($Q16:$Q$33)*(AG16:AG$33)),IF($E15="MM",100*ABS(($H15-(Data!T15-$I15)/$K15)),IF($E15="XX",ABS((100*$H15)-((Data!T15-$F15)*$G15)),"na")))</f>
        <v>25</v>
      </c>
      <c r="AH15" s="128">
        <f ca="1">IF($E15="WS",SUMPRODUCT(($C16:$C$33=$B15)*($Q16:$Q$33)*(AH16:AH$33)),IF($E15="MM",100*ABS(($H15-(Data!U15-$I15)/$K15)),IF($E15="XX",ABS((100*$H15)-((Data!U15-$F15)*$G15)),"na")))</f>
        <v>50</v>
      </c>
      <c r="AI15" s="128">
        <f ca="1">IF($E15="WS",SUMPRODUCT(($C16:$C$33=$B15)*($Q16:$Q$33)*(AI16:AI$33)),IF($E15="MM",100*ABS(($H15-(Data!V15-$I15)/$K15)),IF($E15="XX",ABS((100*$H15)-((Data!V15-$F15)*$G15)),"na")))</f>
        <v>25</v>
      </c>
      <c r="AJ15" s="128">
        <f ca="1">IF($E15="WS",SUMPRODUCT(($C16:$C$33=$B15)*($Q16:$Q$33)*(AJ16:AJ$33)),IF($E15="MM",100*ABS(($H15-(Data!W15-$I15)/$K15)),IF($E15="XX",ABS((100*$H15)-((Data!W15-$F15)*$G15)),"na")))</f>
        <v>50</v>
      </c>
      <c r="AK15" s="128">
        <f ca="1">IF($E15="WS",SUMPRODUCT(($C16:$C$33=$B15)*($Q16:$Q$33)*(AK16:AK$33)),IF($E15="MM",100*ABS(($H15-(Data!X15-$I15)/$K15)),IF($E15="XX",ABS((100*$H15)-((Data!X15-$F15)*$G15)),"na")))</f>
        <v>0</v>
      </c>
      <c r="AL15" s="128"/>
    </row>
    <row r="16" spans="1:38" ht="22.5" customHeight="1">
      <c r="B16" s="21" t="str">
        <f ca="1">tblIndicators!A11</f>
        <v>OPER</v>
      </c>
      <c r="C16" s="21" t="str">
        <f ca="1">tblIndicators!B11</f>
        <v>TOTL</v>
      </c>
      <c r="D16" s="21">
        <f ca="1">tblIndicators!C11</f>
        <v>1</v>
      </c>
      <c r="E16" s="21" t="str">
        <f ca="1">tblIndicators!D11</f>
        <v>WS</v>
      </c>
      <c r="F16" s="21">
        <f ca="1">tblIndicators!E11</f>
        <v>0</v>
      </c>
      <c r="G16" s="21">
        <f ca="1">tblIndicators!F11</f>
        <v>0</v>
      </c>
      <c r="H16" s="21">
        <f ca="1">tblIndicators!G11</f>
        <v>0</v>
      </c>
      <c r="I16" s="21">
        <f ca="1">MIN(Data!F16:Y16)</f>
        <v>0</v>
      </c>
      <c r="J16" s="21">
        <f ca="1">MAX(Data!F16:Y16)</f>
        <v>0</v>
      </c>
      <c r="K16" s="21">
        <f t="shared" si="1"/>
        <v>0</v>
      </c>
      <c r="L16" s="21">
        <f ca="1">MATCH(B16,Weights!C$4:C$47,0)</f>
        <v>3</v>
      </c>
      <c r="M16" s="21">
        <f ca="1">INDEX(Weights!G$4:G$46,Scores!L16)</f>
        <v>3</v>
      </c>
      <c r="N16" s="39">
        <f t="shared" si="0"/>
        <v>0.25</v>
      </c>
      <c r="O16" s="17"/>
      <c r="P16" s="21" t="str">
        <f ca="1">tblIndicators!H11</f>
        <v>Operational maturity</v>
      </c>
      <c r="Q16" s="22">
        <f t="shared" si="2"/>
        <v>0.25</v>
      </c>
      <c r="R16" s="21"/>
      <c r="S16" s="127">
        <f ca="1">IF($E16="WS",SUMPRODUCT(($C17:$C$33=$B16)*($Q17:$Q$33)*(S17:S$33)),IF($E16="MM",100*ABS(($H16-(Data!F16-$I16)/$K16)),IF($E16="XX",ABS((100*$H16)-((Data!F16-$F16)*$G16)),"na")))</f>
        <v>41.477072310405646</v>
      </c>
      <c r="T16" s="127">
        <f ca="1">IF($E16="WS",SUMPRODUCT(($C17:$C$33=$B16)*($Q17:$Q$33)*(T17:T$33)),IF($E16="MM",100*ABS(($H16-(Data!G16-$I16)/$K16)),IF($E16="XX",ABS((100*$H16)-((Data!G16-$F16)*$G16)),"na")))</f>
        <v>73.73015873015872</v>
      </c>
      <c r="U16" s="127">
        <f ca="1">IF($E16="WS",SUMPRODUCT(($C17:$C$33=$B16)*($Q17:$Q$33)*(U17:U$33)),IF($E16="MM",100*ABS(($H16-(Data!H16-$I16)/$K16)),IF($E16="XX",ABS((100*$H16)-((Data!H16-$F16)*$G16)),"na")))</f>
        <v>77.817460317460316</v>
      </c>
      <c r="V16" s="127">
        <f ca="1">IF($E16="WS",SUMPRODUCT(($C17:$C$33=$B16)*($Q17:$Q$33)*(V17:V$33)),IF($E16="MM",100*ABS(($H16-(Data!I16-$I16)/$K16)),IF($E16="XX",ABS((100*$H16)-((Data!I16-$F16)*$G16)),"na")))</f>
        <v>58.346560846560841</v>
      </c>
      <c r="W16" s="127">
        <f ca="1">IF($E16="WS",SUMPRODUCT(($C17:$C$33=$B16)*($Q17:$Q$33)*(W17:W$33)),IF($E16="MM",100*ABS(($H16-(Data!J16-$I16)/$K16)),IF($E16="XX",ABS((100*$H16)-((Data!J16-$F16)*$G16)),"na")))</f>
        <v>54.626984126984127</v>
      </c>
      <c r="X16" s="127">
        <f ca="1">IF($E16="WS",SUMPRODUCT(($C17:$C$33=$B16)*($Q17:$Q$33)*(X17:X$33)),IF($E16="MM",100*ABS(($H16-(Data!K16-$I16)/$K16)),IF($E16="XX",ABS((100*$H16)-((Data!K16-$F16)*$G16)),"na")))</f>
        <v>38.277777777777779</v>
      </c>
      <c r="Y16" s="127">
        <f ca="1">IF($E16="WS",SUMPRODUCT(($C17:$C$33=$B16)*($Q17:$Q$33)*(Y17:Y$33)),IF($E16="MM",100*ABS(($H16-(Data!L16-$I16)/$K16)),IF($E16="XX",ABS((100*$H16)-((Data!L16-$F16)*$G16)),"na")))</f>
        <v>39.071428571428569</v>
      </c>
      <c r="Z16" s="127">
        <f ca="1">IF($E16="WS",SUMPRODUCT(($C17:$C$33=$B16)*($Q17:$Q$33)*(Z17:Z$33)),IF($E16="MM",100*ABS(($H16-(Data!M16-$I16)/$K16)),IF($E16="XX",ABS((100*$H16)-((Data!M16-$F16)*$G16)),"na")))</f>
        <v>12.499999999999998</v>
      </c>
      <c r="AA16" s="127">
        <f ca="1">IF($E16="WS",SUMPRODUCT(($C17:$C$33=$B16)*($Q17:$Q$33)*(AA17:AA$33)),IF($E16="MM",100*ABS(($H16-(Data!N16-$I16)/$K16)),IF($E16="XX",ABS((100*$H16)-((Data!N16-$F16)*$G16)),"na")))</f>
        <v>25.317460317460316</v>
      </c>
      <c r="AB16" s="127">
        <f ca="1">IF($E16="WS",SUMPRODUCT(($C17:$C$33=$B16)*($Q17:$Q$33)*(AB17:AB$33)),IF($E16="MM",100*ABS(($H16-(Data!O16-$I16)/$K16)),IF($E16="XX",ABS((100*$H16)-((Data!O16-$F16)*$G16)),"na")))</f>
        <v>45.976190476190474</v>
      </c>
      <c r="AC16" s="127">
        <f ca="1">IF($E16="WS",SUMPRODUCT(($C17:$C$33=$B16)*($Q17:$Q$33)*(AC17:AC$33)),IF($E16="MM",100*ABS(($H16-(Data!P16-$I16)/$K16)),IF($E16="XX",ABS((100*$H16)-((Data!P16-$F16)*$G16)),"na")))</f>
        <v>41.650793650793652</v>
      </c>
      <c r="AD16" s="127">
        <f ca="1">IF($E16="WS",SUMPRODUCT(($C17:$C$33=$B16)*($Q17:$Q$33)*(AD17:AD$33)),IF($E16="MM",100*ABS(($H16-(Data!Q16-$I16)/$K16)),IF($E16="XX",ABS((100*$H16)-((Data!Q16-$F16)*$G16)),"na")))</f>
        <v>54.061699948796729</v>
      </c>
      <c r="AE16" s="127">
        <f ca="1">IF($E16="WS",SUMPRODUCT(($C17:$C$33=$B16)*($Q17:$Q$33)*(AE17:AE$33)),IF($E16="MM",100*ABS(($H16-(Data!R16-$I16)/$K16)),IF($E16="XX",ABS((100*$H16)-((Data!R16-$F16)*$G16)),"na")))</f>
        <v>33.158730158730158</v>
      </c>
      <c r="AF16" s="127">
        <f ca="1">IF($E16="WS",SUMPRODUCT(($C17:$C$33=$B16)*($Q17:$Q$33)*(AF17:AF$33)),IF($E16="MM",100*ABS(($H16-(Data!S16-$I16)/$K16)),IF($E16="XX",ABS((100*$H16)-((Data!S16-$F16)*$G16)),"na")))</f>
        <v>33.476190476190474</v>
      </c>
      <c r="AG16" s="127">
        <f ca="1">IF($E16="WS",SUMPRODUCT(($C17:$C$33=$B16)*($Q17:$Q$33)*(AG17:AG$33)),IF($E16="MM",100*ABS(($H16-(Data!T16-$I16)/$K16)),IF($E16="XX",ABS((100*$H16)-((Data!T16-$F16)*$G16)),"na")))</f>
        <v>33.158730158730158</v>
      </c>
      <c r="AH16" s="127">
        <f ca="1">IF($E16="WS",SUMPRODUCT(($C17:$C$33=$B16)*($Q17:$Q$33)*(AH17:AH$33)),IF($E16="MM",100*ABS(($H16-(Data!U16-$I16)/$K16)),IF($E16="XX",ABS((100*$H16)-((Data!U16-$F16)*$G16)),"na")))</f>
        <v>55.674603174603163</v>
      </c>
      <c r="AI16" s="127">
        <f ca="1">IF($E16="WS",SUMPRODUCT(($C17:$C$33=$B16)*($Q17:$Q$33)*(AI17:AI$33)),IF($E16="MM",100*ABS(($H16-(Data!V16-$I16)/$K16)),IF($E16="XX",ABS((100*$H16)-((Data!V16-$F16)*$G16)),"na")))</f>
        <v>4.3253968253968251</v>
      </c>
      <c r="AJ16" s="127">
        <f ca="1">IF($E16="WS",SUMPRODUCT(($C17:$C$33=$B16)*($Q17:$Q$33)*(AJ17:AJ$33)),IF($E16="MM",100*ABS(($H16-(Data!W16-$I16)/$K16)),IF($E16="XX",ABS((100*$H16)-((Data!W16-$F16)*$G16)),"na")))</f>
        <v>33.293650793650791</v>
      </c>
      <c r="AK16" s="127">
        <f ca="1">IF($E16="WS",SUMPRODUCT(($C17:$C$33=$B16)*($Q17:$Q$33)*(AK17:AK$33)),IF($E16="MM",100*ABS(($H16-(Data!X16-$I16)/$K16)),IF($E16="XX",ABS((100*$H16)-((Data!X16-$F16)*$G16)),"na")))</f>
        <v>29.801587301587301</v>
      </c>
      <c r="AL16" s="127"/>
    </row>
    <row r="17" spans="2:38">
      <c r="B17" s="9" t="str">
        <f ca="1">tblIndicators!A12</f>
        <v>OPER01</v>
      </c>
      <c r="C17" s="9" t="str">
        <f ca="1">tblIndicators!B12</f>
        <v>OPER</v>
      </c>
      <c r="D17" s="9">
        <f ca="1">tblIndicators!C12</f>
        <v>2</v>
      </c>
      <c r="E17" s="9" t="str">
        <f ca="1">tblIndicators!D12</f>
        <v>XX</v>
      </c>
      <c r="F17" s="9">
        <f ca="1">tblIndicators!E12</f>
        <v>0</v>
      </c>
      <c r="G17" s="9">
        <f ca="1">tblIndicators!F12</f>
        <v>25</v>
      </c>
      <c r="H17" s="9">
        <f ca="1">tblIndicators!G12</f>
        <v>0</v>
      </c>
      <c r="I17" s="16">
        <f ca="1">MIN(Data!F17:Y17)</f>
        <v>0</v>
      </c>
      <c r="J17" s="16">
        <f ca="1">MAX(Data!F17:Y17)</f>
        <v>3</v>
      </c>
      <c r="K17" s="16">
        <f t="shared" si="1"/>
        <v>3</v>
      </c>
      <c r="L17" s="9">
        <f ca="1">MATCH(B17,Weights!C$4:C$47,0)</f>
        <v>17</v>
      </c>
      <c r="M17" s="9">
        <f ca="1">INDEX(Weights!G$4:G$46,Scores!L17)</f>
        <v>1</v>
      </c>
      <c r="N17" s="17">
        <f t="shared" si="0"/>
        <v>0.16666666666666666</v>
      </c>
      <c r="O17" s="17"/>
      <c r="P17" s="19" t="str">
        <f ca="1">tblIndicators!H12</f>
        <v>Public capacity to plan and oversee PPPs</v>
      </c>
      <c r="Q17" s="17">
        <f t="shared" si="2"/>
        <v>0.16666666666666666</v>
      </c>
      <c r="S17" s="128">
        <f ca="1">IF($E17="WS",SUMPRODUCT(($C18:$C$33=$B17)*($Q18:$Q$33)*(S18:S$33)),IF($E17="MM",100*ABS(($H17-(Data!F17-$I17)/$K17)),IF($E17="XX",ABS((100*$H17)-((Data!F17-$F17)*$G17)),"na")))</f>
        <v>50</v>
      </c>
      <c r="T17" s="128">
        <f ca="1">IF($E17="WS",SUMPRODUCT(($C18:$C$33=$B17)*($Q18:$Q$33)*(T18:T$33)),IF($E17="MM",100*ABS(($H17-(Data!G17-$I17)/$K17)),IF($E17="XX",ABS((100*$H17)-((Data!G17-$F17)*$G17)),"na")))</f>
        <v>50</v>
      </c>
      <c r="U17" s="128">
        <f ca="1">IF($E17="WS",SUMPRODUCT(($C18:$C$33=$B17)*($Q18:$Q$33)*(U18:U$33)),IF($E17="MM",100*ABS(($H17-(Data!H17-$I17)/$K17)),IF($E17="XX",ABS((100*$H17)-((Data!H17-$F17)*$G17)),"na")))</f>
        <v>75</v>
      </c>
      <c r="V17" s="128">
        <f ca="1">IF($E17="WS",SUMPRODUCT(($C18:$C$33=$B17)*($Q18:$Q$33)*(V18:V$33)),IF($E17="MM",100*ABS(($H17-(Data!I17-$I17)/$K17)),IF($E17="XX",ABS((100*$H17)-((Data!I17-$F17)*$G17)),"na")))</f>
        <v>50</v>
      </c>
      <c r="W17" s="128">
        <f ca="1">IF($E17="WS",SUMPRODUCT(($C18:$C$33=$B17)*($Q18:$Q$33)*(W18:W$33)),IF($E17="MM",100*ABS(($H17-(Data!J17-$I17)/$K17)),IF($E17="XX",ABS((100*$H17)-((Data!J17-$F17)*$G17)),"na")))</f>
        <v>25</v>
      </c>
      <c r="X17" s="128">
        <f ca="1">IF($E17="WS",SUMPRODUCT(($C18:$C$33=$B17)*($Q18:$Q$33)*(X18:X$33)),IF($E17="MM",100*ABS(($H17-(Data!K17-$I17)/$K17)),IF($E17="XX",ABS((100*$H17)-((Data!K17-$F17)*$G17)),"na")))</f>
        <v>25</v>
      </c>
      <c r="Y17" s="128">
        <f ca="1">IF($E17="WS",SUMPRODUCT(($C18:$C$33=$B17)*($Q18:$Q$33)*(Y18:Y$33)),IF($E17="MM",100*ABS(($H17-(Data!L17-$I17)/$K17)),IF($E17="XX",ABS((100*$H17)-((Data!L17-$F17)*$G17)),"na")))</f>
        <v>25</v>
      </c>
      <c r="Z17" s="128">
        <f ca="1">IF($E17="WS",SUMPRODUCT(($C18:$C$33=$B17)*($Q18:$Q$33)*(Z18:Z$33)),IF($E17="MM",100*ABS(($H17-(Data!M17-$I17)/$K17)),IF($E17="XX",ABS((100*$H17)-((Data!M17-$F17)*$G17)),"na")))</f>
        <v>50</v>
      </c>
      <c r="AA17" s="128">
        <f ca="1">IF($E17="WS",SUMPRODUCT(($C18:$C$33=$B17)*($Q18:$Q$33)*(AA18:AA$33)),IF($E17="MM",100*ABS(($H17-(Data!N17-$I17)/$K17)),IF($E17="XX",ABS((100*$H17)-((Data!N17-$F17)*$G17)),"na")))</f>
        <v>0</v>
      </c>
      <c r="AB17" s="128">
        <f ca="1">IF($E17="WS",SUMPRODUCT(($C18:$C$33=$B17)*($Q18:$Q$33)*(AB18:AB$33)),IF($E17="MM",100*ABS(($H17-(Data!O17-$I17)/$K17)),IF($E17="XX",ABS((100*$H17)-((Data!O17-$F17)*$G17)),"na")))</f>
        <v>25</v>
      </c>
      <c r="AC17" s="128">
        <f ca="1">IF($E17="WS",SUMPRODUCT(($C18:$C$33=$B17)*($Q18:$Q$33)*(AC18:AC$33)),IF($E17="MM",100*ABS(($H17-(Data!P17-$I17)/$K17)),IF($E17="XX",ABS((100*$H17)-((Data!P17-$F17)*$G17)),"na")))</f>
        <v>25</v>
      </c>
      <c r="AD17" s="128">
        <f ca="1">IF($E17="WS",SUMPRODUCT(($C18:$C$33=$B17)*($Q18:$Q$33)*(AD18:AD$33)),IF($E17="MM",100*ABS(($H17-(Data!Q17-$I17)/$K17)),IF($E17="XX",ABS((100*$H17)-((Data!Q17-$F17)*$G17)),"na")))</f>
        <v>25</v>
      </c>
      <c r="AE17" s="128">
        <f ca="1">IF($E17="WS",SUMPRODUCT(($C18:$C$33=$B17)*($Q18:$Q$33)*(AE18:AE$33)),IF($E17="MM",100*ABS(($H17-(Data!R17-$I17)/$K17)),IF($E17="XX",ABS((100*$H17)-((Data!R17-$F17)*$G17)),"na")))</f>
        <v>0</v>
      </c>
      <c r="AF17" s="128">
        <f ca="1">IF($E17="WS",SUMPRODUCT(($C18:$C$33=$B17)*($Q18:$Q$33)*(AF18:AF$33)),IF($E17="MM",100*ABS(($H17-(Data!S17-$I17)/$K17)),IF($E17="XX",ABS((100*$H17)-((Data!S17-$F17)*$G17)),"na")))</f>
        <v>0</v>
      </c>
      <c r="AG17" s="128">
        <f ca="1">IF($E17="WS",SUMPRODUCT(($C18:$C$33=$B17)*($Q18:$Q$33)*(AG18:AG$33)),IF($E17="MM",100*ABS(($H17-(Data!T17-$I17)/$K17)),IF($E17="XX",ABS((100*$H17)-((Data!T17-$F17)*$G17)),"na")))</f>
        <v>0</v>
      </c>
      <c r="AH17" s="128">
        <f ca="1">IF($E17="WS",SUMPRODUCT(($C18:$C$33=$B17)*($Q18:$Q$33)*(AH18:AH$33)),IF($E17="MM",100*ABS(($H17-(Data!U17-$I17)/$K17)),IF($E17="XX",ABS((100*$H17)-((Data!U17-$F17)*$G17)),"na")))</f>
        <v>25</v>
      </c>
      <c r="AI17" s="128">
        <f ca="1">IF($E17="WS",SUMPRODUCT(($C18:$C$33=$B17)*($Q18:$Q$33)*(AI18:AI$33)),IF($E17="MM",100*ABS(($H17-(Data!V17-$I17)/$K17)),IF($E17="XX",ABS((100*$H17)-((Data!V17-$F17)*$G17)),"na")))</f>
        <v>0</v>
      </c>
      <c r="AJ17" s="128">
        <f ca="1">IF($E17="WS",SUMPRODUCT(($C18:$C$33=$B17)*($Q18:$Q$33)*(AJ18:AJ$33)),IF($E17="MM",100*ABS(($H17-(Data!W17-$I17)/$K17)),IF($E17="XX",ABS((100*$H17)-((Data!W17-$F17)*$G17)),"na")))</f>
        <v>25</v>
      </c>
      <c r="AK17" s="128">
        <f ca="1">IF($E17="WS",SUMPRODUCT(($C18:$C$33=$B17)*($Q18:$Q$33)*(AK18:AK$33)),IF($E17="MM",100*ABS(($H17-(Data!X17-$I17)/$K17)),IF($E17="XX",ABS((100*$H17)-((Data!X17-$F17)*$G17)),"na")))</f>
        <v>25</v>
      </c>
      <c r="AL17" s="128"/>
    </row>
    <row r="18" spans="2:38">
      <c r="B18" s="9" t="str">
        <f ca="1">tblIndicators!A13</f>
        <v>OPER02</v>
      </c>
      <c r="C18" s="9" t="str">
        <f ca="1">tblIndicators!B13</f>
        <v>OPER</v>
      </c>
      <c r="D18" s="9">
        <f ca="1">tblIndicators!C13</f>
        <v>2</v>
      </c>
      <c r="E18" s="9" t="str">
        <f ca="1">tblIndicators!D13</f>
        <v>XX</v>
      </c>
      <c r="F18" s="9">
        <f ca="1">tblIndicators!E13</f>
        <v>0</v>
      </c>
      <c r="G18" s="9">
        <f ca="1">tblIndicators!F13</f>
        <v>25</v>
      </c>
      <c r="H18" s="9">
        <f ca="1">tblIndicators!G13</f>
        <v>0</v>
      </c>
      <c r="I18" s="16">
        <f ca="1">MIN(Data!F18:Y18)</f>
        <v>0</v>
      </c>
      <c r="J18" s="16">
        <f ca="1">MAX(Data!F18:Y18)</f>
        <v>3</v>
      </c>
      <c r="K18" s="16">
        <f t="shared" si="1"/>
        <v>3</v>
      </c>
      <c r="L18" s="9">
        <f ca="1">MATCH(B18,Weights!C$4:C$47,0)</f>
        <v>18</v>
      </c>
      <c r="M18" s="9">
        <f ca="1">INDEX(Weights!G$4:G$46,Scores!L18)</f>
        <v>1</v>
      </c>
      <c r="N18" s="17">
        <f t="shared" si="0"/>
        <v>0.16666666666666666</v>
      </c>
      <c r="O18" s="17"/>
      <c r="P18" s="19" t="str">
        <f ca="1">tblIndicators!H13</f>
        <v xml:space="preserve">Methods and criteria for awarding projects </v>
      </c>
      <c r="Q18" s="17">
        <f t="shared" si="2"/>
        <v>0.16666666666666666</v>
      </c>
      <c r="S18" s="128">
        <f ca="1">IF($E18="WS",SUMPRODUCT(($C19:$C$33=$B18)*($Q19:$Q$33)*(S19:S$33)),IF($E18="MM",100*ABS(($H18-(Data!F18-$I18)/$K18)),IF($E18="XX",ABS((100*$H18)-((Data!F18-$F18)*$G18)),"na")))</f>
        <v>25</v>
      </c>
      <c r="T18" s="128">
        <f ca="1">IF($E18="WS",SUMPRODUCT(($C19:$C$33=$B18)*($Q19:$Q$33)*(T19:T$33)),IF($E18="MM",100*ABS(($H18-(Data!G18-$I18)/$K18)),IF($E18="XX",ABS((100*$H18)-((Data!G18-$F18)*$G18)),"na")))</f>
        <v>50</v>
      </c>
      <c r="U18" s="128">
        <f ca="1">IF($E18="WS",SUMPRODUCT(($C19:$C$33=$B18)*($Q19:$Q$33)*(U19:U$33)),IF($E18="MM",100*ABS(($H18-(Data!H18-$I18)/$K18)),IF($E18="XX",ABS((100*$H18)-((Data!H18-$F18)*$G18)),"na")))</f>
        <v>75</v>
      </c>
      <c r="V18" s="128">
        <f ca="1">IF($E18="WS",SUMPRODUCT(($C19:$C$33=$B18)*($Q19:$Q$33)*(V19:V$33)),IF($E18="MM",100*ABS(($H18-(Data!I18-$I18)/$K18)),IF($E18="XX",ABS((100*$H18)-((Data!I18-$F18)*$G18)),"na")))</f>
        <v>50</v>
      </c>
      <c r="W18" s="128">
        <f ca="1">IF($E18="WS",SUMPRODUCT(($C19:$C$33=$B18)*($Q19:$Q$33)*(W19:W$33)),IF($E18="MM",100*ABS(($H18-(Data!J18-$I18)/$K18)),IF($E18="XX",ABS((100*$H18)-((Data!J18-$F18)*$G18)),"na")))</f>
        <v>50</v>
      </c>
      <c r="X18" s="128">
        <f ca="1">IF($E18="WS",SUMPRODUCT(($C19:$C$33=$B18)*($Q19:$Q$33)*(X19:X$33)),IF($E18="MM",100*ABS(($H18-(Data!K18-$I18)/$K18)),IF($E18="XX",ABS((100*$H18)-((Data!K18-$F18)*$G18)),"na")))</f>
        <v>0</v>
      </c>
      <c r="Y18" s="128">
        <f ca="1">IF($E18="WS",SUMPRODUCT(($C19:$C$33=$B18)*($Q19:$Q$33)*(Y19:Y$33)),IF($E18="MM",100*ABS(($H18-(Data!L18-$I18)/$K18)),IF($E18="XX",ABS((100*$H18)-((Data!L18-$F18)*$G18)),"na")))</f>
        <v>0</v>
      </c>
      <c r="Z18" s="128">
        <f ca="1">IF($E18="WS",SUMPRODUCT(($C19:$C$33=$B18)*($Q19:$Q$33)*(Z19:Z$33)),IF($E18="MM",100*ABS(($H18-(Data!M18-$I18)/$K18)),IF($E18="XX",ABS((100*$H18)-((Data!M18-$F18)*$G18)),"na")))</f>
        <v>25</v>
      </c>
      <c r="AA18" s="128">
        <f ca="1">IF($E18="WS",SUMPRODUCT(($C19:$C$33=$B18)*($Q19:$Q$33)*(AA19:AA$33)),IF($E18="MM",100*ABS(($H18-(Data!N18-$I18)/$K18)),IF($E18="XX",ABS((100*$H18)-((Data!N18-$F18)*$G18)),"na")))</f>
        <v>25</v>
      </c>
      <c r="AB18" s="128">
        <f ca="1">IF($E18="WS",SUMPRODUCT(($C19:$C$33=$B18)*($Q19:$Q$33)*(AB19:AB$33)),IF($E18="MM",100*ABS(($H18-(Data!O18-$I18)/$K18)),IF($E18="XX",ABS((100*$H18)-((Data!O18-$F18)*$G18)),"na")))</f>
        <v>25</v>
      </c>
      <c r="AC18" s="128">
        <f ca="1">IF($E18="WS",SUMPRODUCT(($C19:$C$33=$B18)*($Q19:$Q$33)*(AC19:AC$33)),IF($E18="MM",100*ABS(($H18-(Data!P18-$I18)/$K18)),IF($E18="XX",ABS((100*$H18)-((Data!P18-$F18)*$G18)),"na")))</f>
        <v>0</v>
      </c>
      <c r="AD18" s="128">
        <f ca="1">IF($E18="WS",SUMPRODUCT(($C19:$C$33=$B18)*($Q19:$Q$33)*(AD19:AD$33)),IF($E18="MM",100*ABS(($H18-(Data!Q18-$I18)/$K18)),IF($E18="XX",ABS((100*$H18)-((Data!Q18-$F18)*$G18)),"na")))</f>
        <v>25</v>
      </c>
      <c r="AE18" s="128">
        <f ca="1">IF($E18="WS",SUMPRODUCT(($C19:$C$33=$B18)*($Q19:$Q$33)*(AE19:AE$33)),IF($E18="MM",100*ABS(($H18-(Data!R18-$I18)/$K18)),IF($E18="XX",ABS((100*$H18)-((Data!R18-$F18)*$G18)),"na")))</f>
        <v>0</v>
      </c>
      <c r="AF18" s="128">
        <f ca="1">IF($E18="WS",SUMPRODUCT(($C19:$C$33=$B18)*($Q19:$Q$33)*(AF19:AF$33)),IF($E18="MM",100*ABS(($H18-(Data!S18-$I18)/$K18)),IF($E18="XX",ABS((100*$H18)-((Data!S18-$F18)*$G18)),"na")))</f>
        <v>0</v>
      </c>
      <c r="AG18" s="128">
        <f ca="1">IF($E18="WS",SUMPRODUCT(($C19:$C$33=$B18)*($Q19:$Q$33)*(AG19:AG$33)),IF($E18="MM",100*ABS(($H18-(Data!T18-$I18)/$K18)),IF($E18="XX",ABS((100*$H18)-((Data!T18-$F18)*$G18)),"na")))</f>
        <v>0</v>
      </c>
      <c r="AH18" s="128">
        <f ca="1">IF($E18="WS",SUMPRODUCT(($C19:$C$33=$B18)*($Q19:$Q$33)*(AH19:AH$33)),IF($E18="MM",100*ABS(($H18-(Data!U18-$I18)/$K18)),IF($E18="XX",ABS((100*$H18)-((Data!U18-$F18)*$G18)),"na")))</f>
        <v>50</v>
      </c>
      <c r="AI18" s="128">
        <f ca="1">IF($E18="WS",SUMPRODUCT(($C19:$C$33=$B18)*($Q19:$Q$33)*(AI19:AI$33)),IF($E18="MM",100*ABS(($H18-(Data!V18-$I18)/$K18)),IF($E18="XX",ABS((100*$H18)-((Data!V18-$F18)*$G18)),"na")))</f>
        <v>25</v>
      </c>
      <c r="AJ18" s="128">
        <f ca="1">IF($E18="WS",SUMPRODUCT(($C19:$C$33=$B18)*($Q19:$Q$33)*(AJ19:AJ$33)),IF($E18="MM",100*ABS(($H18-(Data!W18-$I18)/$K18)),IF($E18="XX",ABS((100*$H18)-((Data!W18-$F18)*$G18)),"na")))</f>
        <v>25</v>
      </c>
      <c r="AK18" s="128">
        <f ca="1">IF($E18="WS",SUMPRODUCT(($C19:$C$33=$B18)*($Q19:$Q$33)*(AK19:AK$33)),IF($E18="MM",100*ABS(($H18-(Data!X18-$I18)/$K18)),IF($E18="XX",ABS((100*$H18)-((Data!X18-$F18)*$G18)),"na")))</f>
        <v>0</v>
      </c>
      <c r="AL18" s="128"/>
    </row>
    <row r="19" spans="2:38">
      <c r="B19" s="9" t="str">
        <f ca="1">tblIndicators!A14</f>
        <v>OPER03</v>
      </c>
      <c r="C19" s="9" t="str">
        <f ca="1">tblIndicators!B14</f>
        <v>OPER</v>
      </c>
      <c r="D19" s="9">
        <f ca="1">tblIndicators!C14</f>
        <v>2</v>
      </c>
      <c r="E19" s="9" t="str">
        <f ca="1">tblIndicators!D14</f>
        <v>XX</v>
      </c>
      <c r="F19" s="9">
        <f ca="1">tblIndicators!E14</f>
        <v>0</v>
      </c>
      <c r="G19" s="9">
        <f ca="1">tblIndicators!F14</f>
        <v>25</v>
      </c>
      <c r="H19" s="9">
        <f ca="1">tblIndicators!G14</f>
        <v>0</v>
      </c>
      <c r="I19" s="16">
        <f ca="1">MIN(Data!F19:Y19)</f>
        <v>0</v>
      </c>
      <c r="J19" s="16">
        <f ca="1">MAX(Data!F19:Y19)</f>
        <v>3</v>
      </c>
      <c r="K19" s="16">
        <f t="shared" si="1"/>
        <v>3</v>
      </c>
      <c r="L19" s="9">
        <f ca="1">MATCH(B19,Weights!C$4:C$47,0)</f>
        <v>19</v>
      </c>
      <c r="M19" s="9">
        <f ca="1">INDEX(Weights!G$4:G$46,Scores!L19)</f>
        <v>1</v>
      </c>
      <c r="N19" s="17">
        <f t="shared" si="0"/>
        <v>0.16666666666666666</v>
      </c>
      <c r="O19" s="17"/>
      <c r="P19" s="19" t="str">
        <f ca="1">tblIndicators!H14</f>
        <v>Regulators' risk allocation record</v>
      </c>
      <c r="Q19" s="17">
        <f t="shared" si="2"/>
        <v>0.16666666666666666</v>
      </c>
      <c r="S19" s="128">
        <f ca="1">IF($E19="WS",SUMPRODUCT(($C20:$C$33=$B19)*($Q20:$Q$33)*(S20:S$33)),IF($E19="MM",100*ABS(($H19-(Data!F19-$I19)/$K19)),IF($E19="XX",ABS((100*$H19)-((Data!F19-$F19)*$G19)),"na")))</f>
        <v>0</v>
      </c>
      <c r="T19" s="128">
        <f ca="1">IF($E19="WS",SUMPRODUCT(($C20:$C$33=$B19)*($Q20:$Q$33)*(T20:T$33)),IF($E19="MM",100*ABS(($H19-(Data!G19-$I19)/$K19)),IF($E19="XX",ABS((100*$H19)-((Data!G19-$F19)*$G19)),"na")))</f>
        <v>50</v>
      </c>
      <c r="U19" s="128">
        <f ca="1">IF($E19="WS",SUMPRODUCT(($C20:$C$33=$B19)*($Q20:$Q$33)*(U20:U$33)),IF($E19="MM",100*ABS(($H19-(Data!H19-$I19)/$K19)),IF($E19="XX",ABS((100*$H19)-((Data!H19-$F19)*$G19)),"na")))</f>
        <v>75</v>
      </c>
      <c r="V19" s="128">
        <f ca="1">IF($E19="WS",SUMPRODUCT(($C20:$C$33=$B19)*($Q20:$Q$33)*(V20:V$33)),IF($E19="MM",100*ABS(($H19-(Data!I19-$I19)/$K19)),IF($E19="XX",ABS((100*$H19)-((Data!I19-$F19)*$G19)),"na")))</f>
        <v>25</v>
      </c>
      <c r="W19" s="128">
        <f ca="1">IF($E19="WS",SUMPRODUCT(($C20:$C$33=$B19)*($Q20:$Q$33)*(W20:W$33)),IF($E19="MM",100*ABS(($H19-(Data!J19-$I19)/$K19)),IF($E19="XX",ABS((100*$H19)-((Data!J19-$F19)*$G19)),"na")))</f>
        <v>50</v>
      </c>
      <c r="X19" s="128">
        <f ca="1">IF($E19="WS",SUMPRODUCT(($C20:$C$33=$B19)*($Q20:$Q$33)*(X20:X$33)),IF($E19="MM",100*ABS(($H19-(Data!K19-$I19)/$K19)),IF($E19="XX",ABS((100*$H19)-((Data!K19-$F19)*$G19)),"na")))</f>
        <v>0</v>
      </c>
      <c r="Y19" s="128">
        <f ca="1">IF($E19="WS",SUMPRODUCT(($C20:$C$33=$B19)*($Q20:$Q$33)*(Y20:Y$33)),IF($E19="MM",100*ABS(($H19-(Data!L19-$I19)/$K19)),IF($E19="XX",ABS((100*$H19)-((Data!L19-$F19)*$G19)),"na")))</f>
        <v>0</v>
      </c>
      <c r="Z19" s="128">
        <f ca="1">IF($E19="WS",SUMPRODUCT(($C20:$C$33=$B19)*($Q20:$Q$33)*(Z20:Z$33)),IF($E19="MM",100*ABS(($H19-(Data!M19-$I19)/$K19)),IF($E19="XX",ABS((100*$H19)-((Data!M19-$F19)*$G19)),"na")))</f>
        <v>0</v>
      </c>
      <c r="AA19" s="128">
        <f ca="1">IF($E19="WS",SUMPRODUCT(($C20:$C$33=$B19)*($Q20:$Q$33)*(AA20:AA$33)),IF($E19="MM",100*ABS(($H19-(Data!N19-$I19)/$K19)),IF($E19="XX",ABS((100*$H19)-((Data!N19-$F19)*$G19)),"na")))</f>
        <v>25</v>
      </c>
      <c r="AB19" s="128">
        <f ca="1">IF($E19="WS",SUMPRODUCT(($C20:$C$33=$B19)*($Q20:$Q$33)*(AB20:AB$33)),IF($E19="MM",100*ABS(($H19-(Data!O19-$I19)/$K19)),IF($E19="XX",ABS((100*$H19)-((Data!O19-$F19)*$G19)),"na")))</f>
        <v>25</v>
      </c>
      <c r="AC19" s="128">
        <f ca="1">IF($E19="WS",SUMPRODUCT(($C20:$C$33=$B19)*($Q20:$Q$33)*(AC20:AC$33)),IF($E19="MM",100*ABS(($H19-(Data!P19-$I19)/$K19)),IF($E19="XX",ABS((100*$H19)-((Data!P19-$F19)*$G19)),"na")))</f>
        <v>25</v>
      </c>
      <c r="AD19" s="128">
        <f ca="1">IF($E19="WS",SUMPRODUCT(($C20:$C$33=$B19)*($Q20:$Q$33)*(AD20:AD$33)),IF($E19="MM",100*ABS(($H19-(Data!Q19-$I19)/$K19)),IF($E19="XX",ABS((100*$H19)-((Data!Q19-$F19)*$G19)),"na")))</f>
        <v>25</v>
      </c>
      <c r="AE19" s="128">
        <f ca="1">IF($E19="WS",SUMPRODUCT(($C20:$C$33=$B19)*($Q20:$Q$33)*(AE20:AE$33)),IF($E19="MM",100*ABS(($H19-(Data!R19-$I19)/$K19)),IF($E19="XX",ABS((100*$H19)-((Data!R19-$F19)*$G19)),"na")))</f>
        <v>0</v>
      </c>
      <c r="AF19" s="128">
        <f ca="1">IF($E19="WS",SUMPRODUCT(($C20:$C$33=$B19)*($Q20:$Q$33)*(AF20:AF$33)),IF($E19="MM",100*ABS(($H19-(Data!S19-$I19)/$K19)),IF($E19="XX",ABS((100*$H19)-((Data!S19-$F19)*$G19)),"na")))</f>
        <v>0</v>
      </c>
      <c r="AG19" s="128">
        <f ca="1">IF($E19="WS",SUMPRODUCT(($C20:$C$33=$B19)*($Q20:$Q$33)*(AG20:AG$33)),IF($E19="MM",100*ABS(($H19-(Data!T19-$I19)/$K19)),IF($E19="XX",ABS((100*$H19)-((Data!T19-$F19)*$G19)),"na")))</f>
        <v>0</v>
      </c>
      <c r="AH19" s="128">
        <f ca="1">IF($E19="WS",SUMPRODUCT(($C20:$C$33=$B19)*($Q20:$Q$33)*(AH20:AH$33)),IF($E19="MM",100*ABS(($H19-(Data!U19-$I19)/$K19)),IF($E19="XX",ABS((100*$H19)-((Data!U19-$F19)*$G19)),"na")))</f>
        <v>50</v>
      </c>
      <c r="AI19" s="128">
        <f ca="1">IF($E19="WS",SUMPRODUCT(($C20:$C$33=$B19)*($Q20:$Q$33)*(AI20:AI$33)),IF($E19="MM",100*ABS(($H19-(Data!V19-$I19)/$K19)),IF($E19="XX",ABS((100*$H19)-((Data!V19-$F19)*$G19)),"na")))</f>
        <v>0</v>
      </c>
      <c r="AJ19" s="128">
        <f ca="1">IF($E19="WS",SUMPRODUCT(($C20:$C$33=$B19)*($Q20:$Q$33)*(AJ20:AJ$33)),IF($E19="MM",100*ABS(($H19-(Data!W19-$I19)/$K19)),IF($E19="XX",ABS((100*$H19)-((Data!W19-$F19)*$G19)),"na")))</f>
        <v>25</v>
      </c>
      <c r="AK19" s="128">
        <f ca="1">IF($E19="WS",SUMPRODUCT(($C20:$C$33=$B19)*($Q20:$Q$33)*(AK20:AK$33)),IF($E19="MM",100*ABS(($H19-(Data!X19-$I19)/$K19)),IF($E19="XX",ABS((100*$H19)-((Data!X19-$F19)*$G19)),"na")))</f>
        <v>0</v>
      </c>
      <c r="AL19" s="128"/>
    </row>
    <row r="20" spans="2:38">
      <c r="B20" s="9" t="str">
        <f ca="1">tblIndicators!A15</f>
        <v>OPER04</v>
      </c>
      <c r="C20" s="9" t="str">
        <f ca="1">tblIndicators!B15</f>
        <v>OPER</v>
      </c>
      <c r="D20" s="9">
        <f ca="1">tblIndicators!C15</f>
        <v>2</v>
      </c>
      <c r="E20" s="9" t="str">
        <f ca="1">tblIndicators!D15</f>
        <v>MM</v>
      </c>
      <c r="F20" s="9">
        <f ca="1">tblIndicators!E15</f>
        <v>0</v>
      </c>
      <c r="G20" s="9">
        <f ca="1">tblIndicators!F15</f>
        <v>1</v>
      </c>
      <c r="H20" s="9">
        <f ca="1">tblIndicators!G15</f>
        <v>0</v>
      </c>
      <c r="I20" s="16">
        <f ca="1">MIN(Data!F20:Y20)</f>
        <v>0</v>
      </c>
      <c r="J20" s="16">
        <f ca="1">MAX(Data!F20:Y20)</f>
        <v>105</v>
      </c>
      <c r="K20" s="16">
        <f t="shared" si="1"/>
        <v>105</v>
      </c>
      <c r="L20" s="9">
        <f ca="1">MATCH(B20,Weights!C$4:C$47,0)</f>
        <v>20</v>
      </c>
      <c r="M20" s="9">
        <f ca="1">INDEX(Weights!G$4:G$46,Scores!L20)</f>
        <v>1</v>
      </c>
      <c r="N20" s="17">
        <f t="shared" si="0"/>
        <v>0.16666666666666666</v>
      </c>
      <c r="O20" s="17"/>
      <c r="P20" s="19" t="str">
        <f ca="1">tblIndicators!H15</f>
        <v>Experience in transport &amp; water concessions</v>
      </c>
      <c r="Q20" s="17">
        <f t="shared" si="2"/>
        <v>0.16666666666666666</v>
      </c>
      <c r="S20" s="128">
        <f ca="1">IF($E20="WS",SUMPRODUCT(($C22:$C$33=$B20)*($Q22:$Q$33)*(S22:S$33)),IF($E20="MM",100*ABS(($H20-(Data!F20-$I20)/$K20)),IF($E20="XX",ABS((100*$H20)-((Data!F20-$F20)*$G20)),"na")))</f>
        <v>25.714285714285712</v>
      </c>
      <c r="T20" s="128">
        <f ca="1">IF($E20="WS",SUMPRODUCT(($C22:$C$33=$B20)*($Q22:$Q$33)*(T22:T$33)),IF($E20="MM",100*ABS(($H20-(Data!G20-$I20)/$K20)),IF($E20="XX",ABS((100*$H20)-((Data!G20-$F20)*$G20)),"na")))</f>
        <v>100</v>
      </c>
      <c r="U20" s="128">
        <f ca="1">IF($E20="WS",SUMPRODUCT(($C22:$C$33=$B20)*($Q22:$Q$33)*(U22:U$33)),IF($E20="MM",100*ABS(($H20-(Data!H20-$I20)/$K20)),IF($E20="XX",ABS((100*$H20)-((Data!H20-$F20)*$G20)),"na")))</f>
        <v>41.904761904761905</v>
      </c>
      <c r="V20" s="128">
        <f ca="1">IF($E20="WS",SUMPRODUCT(($C22:$C$33=$B20)*($Q22:$Q$33)*(V22:V$33)),IF($E20="MM",100*ABS(($H20-(Data!I20-$I20)/$K20)),IF($E20="XX",ABS((100*$H20)-((Data!I20-$F20)*$G20)),"na")))</f>
        <v>42.857142857142854</v>
      </c>
      <c r="W20" s="128">
        <f ca="1">IF($E20="WS",SUMPRODUCT(($C22:$C$33=$B20)*($Q22:$Q$33)*(W22:W$33)),IF($E20="MM",100*ABS(($H20-(Data!J20-$I20)/$K20)),IF($E20="XX",ABS((100*$H20)-((Data!J20-$F20)*$G20)),"na")))</f>
        <v>4.7619047619047619</v>
      </c>
      <c r="X20" s="128">
        <f ca="1">IF($E20="WS",SUMPRODUCT(($C22:$C$33=$B20)*($Q22:$Q$33)*(X22:X$33)),IF($E20="MM",100*ABS(($H20-(Data!K20-$I20)/$K20)),IF($E20="XX",ABS((100*$H20)-((Data!K20-$F20)*$G20)),"na")))</f>
        <v>6.666666666666667</v>
      </c>
      <c r="Y20" s="128">
        <f ca="1">IF($E20="WS",SUMPRODUCT(($C22:$C$33=$B20)*($Q22:$Q$33)*(Y22:Y$33)),IF($E20="MM",100*ABS(($H20-(Data!L20-$I20)/$K20)),IF($E20="XX",ABS((100*$H20)-((Data!L20-$F20)*$G20)),"na")))</f>
        <v>11.428571428571429</v>
      </c>
      <c r="Z20" s="128">
        <f ca="1">IF($E20="WS",SUMPRODUCT(($C22:$C$33=$B20)*($Q22:$Q$33)*(Z22:Z$33)),IF($E20="MM",100*ABS(($H20-(Data!M20-$I20)/$K20)),IF($E20="XX",ABS((100*$H20)-((Data!M20-$F20)*$G20)),"na")))</f>
        <v>0</v>
      </c>
      <c r="AA20" s="128">
        <f ca="1">IF($E20="WS",SUMPRODUCT(($C22:$C$33=$B20)*($Q22:$Q$33)*(AA22:AA$33)),IF($E20="MM",100*ABS(($H20-(Data!N20-$I20)/$K20)),IF($E20="XX",ABS((100*$H20)-((Data!N20-$F20)*$G20)),"na")))</f>
        <v>1.9047619047619049</v>
      </c>
      <c r="AB20" s="128">
        <f ca="1">IF($E20="WS",SUMPRODUCT(($C22:$C$33=$B20)*($Q22:$Q$33)*(AB22:AB$33)),IF($E20="MM",100*ABS(($H20-(Data!O20-$I20)/$K20)),IF($E20="XX",ABS((100*$H20)-((Data!O20-$F20)*$G20)),"na")))</f>
        <v>2.8571428571428572</v>
      </c>
      <c r="AC20" s="128">
        <f ca="1">IF($E20="WS",SUMPRODUCT(($C22:$C$33=$B20)*($Q22:$Q$33)*(AC22:AC$33)),IF($E20="MM",100*ABS(($H20-(Data!P20-$I20)/$K20)),IF($E20="XX",ABS((100*$H20)-((Data!P20-$F20)*$G20)),"na")))</f>
        <v>1.9047619047619049</v>
      </c>
      <c r="AD20" s="128">
        <f ca="1">IF($E20="WS",SUMPRODUCT(($C22:$C$33=$B20)*($Q22:$Q$33)*(AD22:AD$33)),IF($E20="MM",100*ABS(($H20-(Data!Q20-$I20)/$K20)),IF($E20="XX",ABS((100*$H20)-((Data!Q20-$F20)*$G20)),"na")))</f>
        <v>59.047619047619051</v>
      </c>
      <c r="AE20" s="128">
        <f ca="1">IF($E20="WS",SUMPRODUCT(($C22:$C$33=$B20)*($Q22:$Q$33)*(AE22:AE$33)),IF($E20="MM",100*ABS(($H20-(Data!R20-$I20)/$K20)),IF($E20="XX",ABS((100*$H20)-((Data!R20-$F20)*$G20)),"na")))</f>
        <v>0.95238095238095244</v>
      </c>
      <c r="AF20" s="128">
        <f ca="1">IF($E20="WS",SUMPRODUCT(($C22:$C$33=$B20)*($Q22:$Q$33)*(AF22:AF$33)),IF($E20="MM",100*ABS(($H20-(Data!S20-$I20)/$K20)),IF($E20="XX",ABS((100*$H20)-((Data!S20-$F20)*$G20)),"na")))</f>
        <v>2.8571428571428572</v>
      </c>
      <c r="AG20" s="128">
        <f ca="1">IF($E20="WS",SUMPRODUCT(($C22:$C$33=$B20)*($Q22:$Q$33)*(AG22:AG$33)),IF($E20="MM",100*ABS(($H20-(Data!T20-$I20)/$K20)),IF($E20="XX",ABS((100*$H20)-((Data!T20-$F20)*$G20)),"na")))</f>
        <v>0.95238095238095244</v>
      </c>
      <c r="AH20" s="128">
        <f ca="1">IF($E20="WS",SUMPRODUCT(($C22:$C$33=$B20)*($Q22:$Q$33)*(AH22:AH$33)),IF($E20="MM",100*ABS(($H20-(Data!U20-$I20)/$K20)),IF($E20="XX",ABS((100*$H20)-((Data!U20-$F20)*$G20)),"na")))</f>
        <v>19.047619047619047</v>
      </c>
      <c r="AI20" s="128">
        <f ca="1">IF($E20="WS",SUMPRODUCT(($C22:$C$33=$B20)*($Q22:$Q$33)*(AI22:AI$33)),IF($E20="MM",100*ABS(($H20-(Data!V20-$I20)/$K20)),IF($E20="XX",ABS((100*$H20)-((Data!V20-$F20)*$G20)),"na")))</f>
        <v>0.95238095238095244</v>
      </c>
      <c r="AJ20" s="128">
        <f ca="1">IF($E20="WS",SUMPRODUCT(($C22:$C$33=$B20)*($Q22:$Q$33)*(AJ22:AJ$33)),IF($E20="MM",100*ABS(($H20-(Data!W20-$I20)/$K20)),IF($E20="XX",ABS((100*$H20)-((Data!W20-$F20)*$G20)),"na")))</f>
        <v>4.7619047619047619</v>
      </c>
      <c r="AK20" s="128">
        <f ca="1">IF($E20="WS",SUMPRODUCT(($C22:$C$33=$B20)*($Q22:$Q$33)*(AK22:AK$33)),IF($E20="MM",100*ABS(($H20-(Data!X20-$I20)/$K20)),IF($E20="XX",ABS((100*$H20)-((Data!X20-$F20)*$G20)),"na")))</f>
        <v>3.8095238095238098</v>
      </c>
      <c r="AL20" s="128"/>
    </row>
    <row r="21" spans="2:38">
      <c r="B21" s="9" t="str">
        <f ca="1">tblIndicators!A16</f>
        <v>OPER05</v>
      </c>
      <c r="C21" s="9" t="str">
        <f ca="1">tblIndicators!B16</f>
        <v>OPER</v>
      </c>
      <c r="D21" s="9">
        <f ca="1">tblIndicators!C16</f>
        <v>2</v>
      </c>
      <c r="E21" s="9" t="str">
        <f ca="1">tblIndicators!D16</f>
        <v>MM</v>
      </c>
      <c r="F21" s="9">
        <f ca="1">tblIndicators!E16</f>
        <v>0</v>
      </c>
      <c r="G21" s="9">
        <f ca="1">tblIndicators!F16</f>
        <v>1</v>
      </c>
      <c r="H21" s="9">
        <f ca="1">tblIndicators!G16</f>
        <v>1</v>
      </c>
      <c r="I21" s="16">
        <f ca="1">MIN(Data!F21:Y21)</f>
        <v>0</v>
      </c>
      <c r="J21" s="16">
        <f ca="1">MAX(Data!F21:Y21)</f>
        <v>100</v>
      </c>
      <c r="K21" s="16">
        <f>J21-I21</f>
        <v>100</v>
      </c>
      <c r="L21" s="9">
        <f ca="1">MATCH(B21,Weights!C$4:C$47,0)</f>
        <v>21</v>
      </c>
      <c r="M21" s="9">
        <f ca="1">INDEX(Weights!G$4:G$46,Scores!L21)</f>
        <v>2</v>
      </c>
      <c r="N21" s="17">
        <f t="shared" si="0"/>
        <v>0.33333333333333331</v>
      </c>
      <c r="O21" s="17"/>
      <c r="P21" s="19" t="str">
        <f ca="1">tblIndicators!H16</f>
        <v>Quality of transport and water concessions</v>
      </c>
      <c r="Q21" s="17">
        <f>N21</f>
        <v>0.33333333333333331</v>
      </c>
      <c r="S21" s="128">
        <f ca="1">IF($E21="WS",SUMPRODUCT(($C23:$C$33=$B21)*($Q23:$Q$33)*(S23:S$33)),IF($E21="MM",100*ABS(($H21-(Data!F21-$I21)/$K21)),IF($E21="XX",ABS((100*$H21)-((Data!F21-$F21)*$G21)),"na")))</f>
        <v>74.074074074074076</v>
      </c>
      <c r="T21" s="128">
        <f ca="1">IF($E21="WS",SUMPRODUCT(($C23:$C$33=$B21)*($Q23:$Q$33)*(T23:T$33)),IF($E21="MM",100*ABS(($H21-(Data!G21-$I21)/$K21)),IF($E21="XX",ABS((100*$H21)-((Data!G21-$F21)*$G21)),"na")))</f>
        <v>96.19047619047619</v>
      </c>
      <c r="U21" s="128">
        <f ca="1">IF($E21="WS",SUMPRODUCT(($C23:$C$33=$B21)*($Q23:$Q$33)*(U23:U$33)),IF($E21="MM",100*ABS(($H21-(Data!H21-$I21)/$K21)),IF($E21="XX",ABS((100*$H21)-((Data!H21-$F21)*$G21)),"na")))</f>
        <v>100</v>
      </c>
      <c r="V21" s="128">
        <f ca="1">IF($E21="WS",SUMPRODUCT(($C23:$C$33=$B21)*($Q23:$Q$33)*(V23:V$33)),IF($E21="MM",100*ABS(($H21-(Data!I21-$I21)/$K21)),IF($E21="XX",ABS((100*$H21)-((Data!I21-$F21)*$G21)),"na")))</f>
        <v>91.111111111111114</v>
      </c>
      <c r="W21" s="128">
        <f ca="1">IF($E21="WS",SUMPRODUCT(($C23:$C$33=$B21)*($Q23:$Q$33)*(W23:W$33)),IF($E21="MM",100*ABS(($H21-(Data!J21-$I21)/$K21)),IF($E21="XX",ABS((100*$H21)-((Data!J21-$F21)*$G21)),"na")))</f>
        <v>99</v>
      </c>
      <c r="X21" s="128">
        <f ca="1">IF($E21="WS",SUMPRODUCT(($C23:$C$33=$B21)*($Q23:$Q$33)*(X23:X$33)),IF($E21="MM",100*ABS(($H21-(Data!K21-$I21)/$K21)),IF($E21="XX",ABS((100*$H21)-((Data!K21-$F21)*$G21)),"na")))</f>
        <v>99</v>
      </c>
      <c r="Y21" s="128">
        <f ca="1">IF($E21="WS",SUMPRODUCT(($C23:$C$33=$B21)*($Q23:$Q$33)*(Y23:Y$33)),IF($E21="MM",100*ABS(($H21-(Data!L21-$I21)/$K21)),IF($E21="XX",ABS((100*$H21)-((Data!L21-$F21)*$G21)),"na")))</f>
        <v>99</v>
      </c>
      <c r="Z21" s="128">
        <f ca="1">IF($E21="WS",SUMPRODUCT(($C23:$C$33=$B21)*($Q23:$Q$33)*(Z23:Z$33)),IF($E21="MM",100*ABS(($H21-(Data!M21-$I21)/$K21)),IF($E21="XX",ABS((100*$H21)-((Data!M21-$F21)*$G21)),"na")))</f>
        <v>0</v>
      </c>
      <c r="AA21" s="128">
        <f ca="1">IF($E21="WS",SUMPRODUCT(($C23:$C$33=$B21)*($Q23:$Q$33)*(AA23:AA$33)),IF($E21="MM",100*ABS(($H21-(Data!N21-$I21)/$K21)),IF($E21="XX",ABS((100*$H21)-((Data!N21-$F21)*$G21)),"na")))</f>
        <v>50</v>
      </c>
      <c r="AB21" s="128">
        <f ca="1">IF($E21="WS",SUMPRODUCT(($C23:$C$33=$B21)*($Q23:$Q$33)*(AB23:AB$33)),IF($E21="MM",100*ABS(($H21-(Data!O21-$I21)/$K21)),IF($E21="XX",ABS((100*$H21)-((Data!O21-$F21)*$G21)),"na")))</f>
        <v>99</v>
      </c>
      <c r="AC21" s="128">
        <f ca="1">IF($E21="WS",SUMPRODUCT(($C23:$C$33=$B21)*($Q23:$Q$33)*(AC23:AC$33)),IF($E21="MM",100*ABS(($H21-(Data!P21-$I21)/$K21)),IF($E21="XX",ABS((100*$H21)-((Data!P21-$F21)*$G21)),"na")))</f>
        <v>99</v>
      </c>
      <c r="AD21" s="128">
        <f ca="1">IF($E21="WS",SUMPRODUCT(($C23:$C$33=$B21)*($Q23:$Q$33)*(AD23:AD$33)),IF($E21="MM",100*ABS(($H21-(Data!Q21-$I21)/$K21)),IF($E21="XX",ABS((100*$H21)-((Data!Q21-$F21)*$G21)),"na")))</f>
        <v>95.161290322580655</v>
      </c>
      <c r="AE21" s="128">
        <f ca="1">IF($E21="WS",SUMPRODUCT(($C23:$C$33=$B21)*($Q23:$Q$33)*(AE23:AE$33)),IF($E21="MM",100*ABS(($H21-(Data!R21-$I21)/$K21)),IF($E21="XX",ABS((100*$H21)-((Data!R21-$F21)*$G21)),"na")))</f>
        <v>99</v>
      </c>
      <c r="AF21" s="128">
        <f ca="1">IF($E21="WS",SUMPRODUCT(($C23:$C$33=$B21)*($Q23:$Q$33)*(AF23:AF$33)),IF($E21="MM",100*ABS(($H21-(Data!S21-$I21)/$K21)),IF($E21="XX",ABS((100*$H21)-((Data!S21-$F21)*$G21)),"na")))</f>
        <v>99</v>
      </c>
      <c r="AG21" s="128">
        <f ca="1">IF($E21="WS",SUMPRODUCT(($C23:$C$33=$B21)*($Q23:$Q$33)*(AG23:AG$33)),IF($E21="MM",100*ABS(($H21-(Data!T21-$I21)/$K21)),IF($E21="XX",ABS((100*$H21)-((Data!T21-$F21)*$G21)),"na")))</f>
        <v>99</v>
      </c>
      <c r="AH21" s="128">
        <f ca="1">IF($E21="WS",SUMPRODUCT(($C23:$C$33=$B21)*($Q23:$Q$33)*(AH23:AH$33)),IF($E21="MM",100*ABS(($H21-(Data!U21-$I21)/$K21)),IF($E21="XX",ABS((100*$H21)-((Data!U21-$F21)*$G21)),"na")))</f>
        <v>95</v>
      </c>
      <c r="AI21" s="128">
        <f ca="1">IF($E21="WS",SUMPRODUCT(($C23:$C$33=$B21)*($Q23:$Q$33)*(AI23:AI$33)),IF($E21="MM",100*ABS(($H21-(Data!V21-$I21)/$K21)),IF($E21="XX",ABS((100*$H21)-((Data!V21-$F21)*$G21)),"na")))</f>
        <v>0</v>
      </c>
      <c r="AJ21" s="128">
        <f ca="1">IF($E21="WS",SUMPRODUCT(($C23:$C$33=$B21)*($Q23:$Q$33)*(AJ23:AJ$33)),IF($E21="MM",100*ABS(($H21-(Data!W21-$I21)/$K21)),IF($E21="XX",ABS((100*$H21)-((Data!W21-$F21)*$G21)),"na")))</f>
        <v>60</v>
      </c>
      <c r="AK21" s="128">
        <f ca="1">IF($E21="WS",SUMPRODUCT(($C23:$C$33=$B21)*($Q23:$Q$33)*(AK23:AK$33)),IF($E21="MM",100*ABS(($H21-(Data!X21-$I21)/$K21)),IF($E21="XX",ABS((100*$H21)-((Data!X21-$F21)*$G21)),"na")))</f>
        <v>75</v>
      </c>
      <c r="AL21" s="128"/>
    </row>
    <row r="22" spans="2:38" ht="22.5" customHeight="1">
      <c r="B22" s="21" t="str">
        <f ca="1">tblIndicators!A17</f>
        <v>INVT</v>
      </c>
      <c r="C22" s="21" t="str">
        <f ca="1">tblIndicators!B17</f>
        <v>TOTL</v>
      </c>
      <c r="D22" s="21">
        <f ca="1">tblIndicators!C17</f>
        <v>1</v>
      </c>
      <c r="E22" s="21" t="str">
        <f ca="1">tblIndicators!D17</f>
        <v>WS</v>
      </c>
      <c r="F22" s="21">
        <f ca="1">tblIndicators!E17</f>
        <v>0</v>
      </c>
      <c r="G22" s="21">
        <f ca="1">tblIndicators!F17</f>
        <v>0</v>
      </c>
      <c r="H22" s="21">
        <f ca="1">tblIndicators!G17</f>
        <v>0</v>
      </c>
      <c r="I22" s="21">
        <f ca="1">MIN(Data!F22:Y22)</f>
        <v>0</v>
      </c>
      <c r="J22" s="21">
        <f ca="1">MAX(Data!F22:Y22)</f>
        <v>0</v>
      </c>
      <c r="K22" s="21">
        <f t="shared" si="1"/>
        <v>0</v>
      </c>
      <c r="L22" s="21">
        <f ca="1">MATCH(B22,Weights!C$4:C$47,0)</f>
        <v>4</v>
      </c>
      <c r="M22" s="21">
        <f ca="1">INDEX(Weights!G$4:G$46,Scores!L22)</f>
        <v>0.5</v>
      </c>
      <c r="N22" s="39">
        <f t="shared" si="0"/>
        <v>4.1666666666666664E-2</v>
      </c>
      <c r="O22" s="17"/>
      <c r="P22" s="21" t="str">
        <f ca="1">tblIndicators!H17</f>
        <v>Investment climate</v>
      </c>
      <c r="Q22" s="22">
        <f t="shared" si="2"/>
        <v>4.1666666666666664E-2</v>
      </c>
      <c r="R22" s="21"/>
      <c r="S22" s="127">
        <f ca="1">IF($E22="WS",SUMPRODUCT(($C23:$C$33=$B22)*($Q23:$Q$33)*(S23:S$33)),IF($E22="MM",100*ABS(($H22-(Data!F22-$I22)/$K22)),IF($E22="XX",ABS((100*$H22)-((Data!F22-$F22)*$G22)),"na")))</f>
        <v>51.559684671536345</v>
      </c>
      <c r="T22" s="127">
        <f ca="1">IF($E22="WS",SUMPRODUCT(($C23:$C$33=$B22)*($Q23:$Q$33)*(T23:T$33)),IF($E22="MM",100*ABS(($H22-(Data!G22-$I22)/$K22)),IF($E22="XX",ABS((100*$H22)-((Data!G22-$F22)*$G22)),"na")))</f>
        <v>77.20014493462952</v>
      </c>
      <c r="U22" s="127">
        <f ca="1">IF($E22="WS",SUMPRODUCT(($C23:$C$33=$B22)*($Q23:$Q$33)*(U23:U$33)),IF($E22="MM",100*ABS(($H22-(Data!H22-$I22)/$K22)),IF($E22="XX",ABS((100*$H22)-((Data!H22-$F22)*$G22)),"na")))</f>
        <v>93.031441951732361</v>
      </c>
      <c r="V22" s="127">
        <f ca="1">IF($E22="WS",SUMPRODUCT(($C23:$C$33=$B22)*($Q23:$Q$33)*(V23:V$33)),IF($E22="MM",100*ABS(($H22-(Data!I22-$I22)/$K22)),IF($E22="XX",ABS((100*$H22)-((Data!I22-$F22)*$G22)),"na")))</f>
        <v>58.567668966761417</v>
      </c>
      <c r="W22" s="127">
        <f ca="1">IF($E22="WS",SUMPRODUCT(($C23:$C$33=$B22)*($Q23:$Q$33)*(W23:W$33)),IF($E22="MM",100*ABS(($H22-(Data!J22-$I22)/$K22)),IF($E22="XX",ABS((100*$H22)-((Data!J22-$F22)*$G22)),"na")))</f>
        <v>61.339943385118197</v>
      </c>
      <c r="X22" s="127">
        <f ca="1">IF($E22="WS",SUMPRODUCT(($C23:$C$33=$B22)*($Q23:$Q$33)*(X23:X$33)),IF($E22="MM",100*ABS(($H22-(Data!K22-$I22)/$K22)),IF($E22="XX",ABS((100*$H22)-((Data!K22-$F22)*$G22)),"na")))</f>
        <v>35.755081925338722</v>
      </c>
      <c r="Y22" s="127">
        <f ca="1">IF($E22="WS",SUMPRODUCT(($C23:$C$33=$B22)*($Q23:$Q$33)*(Y23:Y$33)),IF($E22="MM",100*ABS(($H22-(Data!L22-$I22)/$K22)),IF($E22="XX",ABS((100*$H22)-((Data!L22-$F22)*$G22)),"na")))</f>
        <v>38.356459457875069</v>
      </c>
      <c r="Z22" s="127">
        <f ca="1">IF($E22="WS",SUMPRODUCT(($C23:$C$33=$B22)*($Q23:$Q$33)*(Z23:Z$33)),IF($E22="MM",100*ABS(($H22-(Data!M22-$I22)/$K22)),IF($E22="XX",ABS((100*$H22)-((Data!M22-$F22)*$G22)),"na")))</f>
        <v>58.359351736538045</v>
      </c>
      <c r="AA22" s="127">
        <f ca="1">IF($E22="WS",SUMPRODUCT(($C23:$C$33=$B22)*($Q23:$Q$33)*(AA23:AA$33)),IF($E22="MM",100*ABS(($H22-(Data!N22-$I22)/$K22)),IF($E22="XX",ABS((100*$H22)-((Data!N22-$F22)*$G22)),"na")))</f>
        <v>33.368559727550156</v>
      </c>
      <c r="AB22" s="127">
        <f ca="1">IF($E22="WS",SUMPRODUCT(($C23:$C$33=$B22)*($Q23:$Q$33)*(AB23:AB$33)),IF($E22="MM",100*ABS(($H22-(Data!O22-$I22)/$K22)),IF($E22="XX",ABS((100*$H22)-((Data!O22-$F22)*$G22)),"na")))</f>
        <v>39.770977310673892</v>
      </c>
      <c r="AC22" s="127">
        <f ca="1">IF($E22="WS",SUMPRODUCT(($C23:$C$33=$B22)*($Q23:$Q$33)*(AC23:AC$33)),IF($E22="MM",100*ABS(($H22-(Data!P22-$I22)/$K22)),IF($E22="XX",ABS((100*$H22)-((Data!P22-$F22)*$G22)),"na")))</f>
        <v>13.324737223072479</v>
      </c>
      <c r="AD22" s="127">
        <f ca="1">IF($E22="WS",SUMPRODUCT(($C23:$C$33=$B22)*($Q23:$Q$33)*(AD23:AD$33)),IF($E22="MM",100*ABS(($H22-(Data!Q22-$I22)/$K22)),IF($E22="XX",ABS((100*$H22)-((Data!Q22-$F22)*$G22)),"na")))</f>
        <v>65.144555625543859</v>
      </c>
      <c r="AE22" s="127">
        <f ca="1">IF($E22="WS",SUMPRODUCT(($C23:$C$33=$B22)*($Q23:$Q$33)*(AE23:AE$33)),IF($E22="MM",100*ABS(($H22-(Data!R22-$I22)/$K22)),IF($E22="XX",ABS((100*$H22)-((Data!R22-$F22)*$G22)),"na")))</f>
        <v>53.68512376981235</v>
      </c>
      <c r="AF22" s="127">
        <f ca="1">IF($E22="WS",SUMPRODUCT(($C23:$C$33=$B22)*($Q23:$Q$33)*(AF23:AF$33)),IF($E22="MM",100*ABS(($H22-(Data!S22-$I22)/$K22)),IF($E22="XX",ABS((100*$H22)-((Data!S22-$F22)*$G22)),"na")))</f>
        <v>62.830238885745686</v>
      </c>
      <c r="AG22" s="127">
        <f ca="1">IF($E22="WS",SUMPRODUCT(($C23:$C$33=$B22)*($Q23:$Q$33)*(AG23:AG$33)),IF($E22="MM",100*ABS(($H22-(Data!T22-$I22)/$K22)),IF($E22="XX",ABS((100*$H22)-((Data!T22-$F22)*$G22)),"na")))</f>
        <v>59.394890180955997</v>
      </c>
      <c r="AH22" s="127">
        <f ca="1">IF($E22="WS",SUMPRODUCT(($C23:$C$33=$B22)*($Q23:$Q$33)*(AH23:AH$33)),IF($E22="MM",100*ABS(($H22-(Data!U22-$I22)/$K22)),IF($E22="XX",ABS((100*$H22)-((Data!U22-$F22)*$G22)),"na")))</f>
        <v>70.037005584045218</v>
      </c>
      <c r="AI22" s="127">
        <f ca="1">IF($E22="WS",SUMPRODUCT(($C23:$C$33=$B22)*($Q23:$Q$33)*(AI23:AI$33)),IF($E22="MM",100*ABS(($H22-(Data!V22-$I22)/$K22)),IF($E22="XX",ABS((100*$H22)-((Data!V22-$F22)*$G22)),"na")))</f>
        <v>64.26334159731185</v>
      </c>
      <c r="AJ22" s="127">
        <f ca="1">IF($E22="WS",SUMPRODUCT(($C23:$C$33=$B22)*($Q23:$Q$33)*(AJ23:AJ$33)),IF($E22="MM",100*ABS(($H22-(Data!W22-$I22)/$K22)),IF($E22="XX",ABS((100*$H22)-((Data!W22-$F22)*$G22)),"na")))</f>
        <v>76.215057045683224</v>
      </c>
      <c r="AK22" s="127">
        <f ca="1">IF($E22="WS",SUMPRODUCT(($C23:$C$33=$B22)*($Q23:$Q$33)*(AK23:AK$33)),IF($E22="MM",100*ABS(($H22-(Data!X22-$I22)/$K22)),IF($E22="XX",ABS((100*$H22)-((Data!X22-$F22)*$G22)),"na")))</f>
        <v>37.079258659725554</v>
      </c>
      <c r="AL22" s="127"/>
    </row>
    <row r="23" spans="2:38">
      <c r="B23" s="9" t="str">
        <f ca="1">tblIndicators!A18</f>
        <v>INVT01</v>
      </c>
      <c r="C23" s="9" t="str">
        <f ca="1">tblIndicators!B18</f>
        <v>INVT</v>
      </c>
      <c r="D23" s="9">
        <f ca="1">tblIndicators!C18</f>
        <v>2</v>
      </c>
      <c r="E23" s="9" t="str">
        <f ca="1">tblIndicators!D18</f>
        <v>MM</v>
      </c>
      <c r="F23" s="9">
        <f ca="1">tblIndicators!E18</f>
        <v>0</v>
      </c>
      <c r="G23" s="9">
        <f ca="1">tblIndicators!F18</f>
        <v>1</v>
      </c>
      <c r="H23" s="9">
        <f ca="1">tblIndicators!G18</f>
        <v>0</v>
      </c>
      <c r="I23" s="16">
        <f ca="1">MIN(Data!F23:Y23)</f>
        <v>12.252525079230292</v>
      </c>
      <c r="J23" s="16">
        <f ca="1">MAX(Data!F23:Y23)</f>
        <v>73.944616053998573</v>
      </c>
      <c r="K23" s="16">
        <f t="shared" si="1"/>
        <v>61.692090974768277</v>
      </c>
      <c r="L23" s="9">
        <f ca="1">MATCH(B23,Weights!C$4:C$47,0)</f>
        <v>23</v>
      </c>
      <c r="M23" s="9">
        <f ca="1">INDEX(Weights!G$4:G$46,Scores!L23)</f>
        <v>1</v>
      </c>
      <c r="N23" s="17">
        <f t="shared" si="0"/>
        <v>0.25</v>
      </c>
      <c r="O23" s="17"/>
      <c r="P23" s="19" t="str">
        <f ca="1">tblIndicators!H18</f>
        <v>Political distortion</v>
      </c>
      <c r="Q23" s="17">
        <f t="shared" si="2"/>
        <v>0.25</v>
      </c>
      <c r="S23" s="128">
        <f ca="1">IF($E23="WS",SUMPRODUCT(($C25:$C$33=$B23)*($Q25:$Q$33)*(S25:S$33)),IF($E23="MM",100*ABS(($H23-(Data!F23-$I23)/$K23)),IF($E23="XX",ABS((100*$H23)-((Data!F23-$F23)*$G23)),"na")))</f>
        <v>37.360517445585145</v>
      </c>
      <c r="T23" s="128">
        <f ca="1">IF($E23="WS",SUMPRODUCT(($C25:$C$33=$B23)*($Q25:$Q$33)*(T25:T$33)),IF($E23="MM",100*ABS(($H23-(Data!G23-$I23)/$K23)),IF($E23="XX",ABS((100*$H23)-((Data!G23-$F23)*$G23)),"na")))</f>
        <v>48.052638431091104</v>
      </c>
      <c r="U23" s="128">
        <f ca="1">IF($E23="WS",SUMPRODUCT(($C25:$C$33=$B23)*($Q25:$Q$33)*(U25:U$33)),IF($E23="MM",100*ABS(($H23-(Data!H23-$I23)/$K23)),IF($E23="XX",ABS((100*$H23)-((Data!H23-$F23)*$G23)),"na")))</f>
        <v>100</v>
      </c>
      <c r="V23" s="128">
        <f ca="1">IF($E23="WS",SUMPRODUCT(($C25:$C$33=$B23)*($Q25:$Q$33)*(V25:V$33)),IF($E23="MM",100*ABS(($H23-(Data!I23-$I23)/$K23)),IF($E23="XX",ABS((100*$H23)-((Data!I23-$F23)*$G23)),"na")))</f>
        <v>35.972292422129364</v>
      </c>
      <c r="W23" s="128">
        <f ca="1">IF($E23="WS",SUMPRODUCT(($C25:$C$33=$B23)*($Q25:$Q$33)*(W25:W$33)),IF($E23="MM",100*ABS(($H23-(Data!J23-$I23)/$K23)),IF($E23="XX",ABS((100*$H23)-((Data!J23-$F23)*$G23)),"na")))</f>
        <v>68.460361076049423</v>
      </c>
      <c r="X23" s="128">
        <f ca="1">IF($E23="WS",SUMPRODUCT(($C25:$C$33=$B23)*($Q25:$Q$33)*(X25:X$33)),IF($E23="MM",100*ABS(($H23-(Data!K23-$I23)/$K23)),IF($E23="XX",ABS((100*$H23)-((Data!K23-$F23)*$G23)),"na")))</f>
        <v>20.22515228294251</v>
      </c>
      <c r="Y23" s="128">
        <f ca="1">IF($E23="WS",SUMPRODUCT(($C25:$C$33=$B23)*($Q25:$Q$33)*(Y25:Y$33)),IF($E23="MM",100*ABS(($H23-(Data!L23-$I23)/$K23)),IF($E23="XX",ABS((100*$H23)-((Data!L23-$F23)*$G23)),"na")))</f>
        <v>0</v>
      </c>
      <c r="Z23" s="128">
        <f ca="1">IF($E23="WS",SUMPRODUCT(($C25:$C$33=$B23)*($Q25:$Q$33)*(Z25:Z$33)),IF($E23="MM",100*ABS(($H23-(Data!M23-$I23)/$K23)),IF($E23="XX",ABS((100*$H23)-((Data!M23-$F23)*$G23)),"na")))</f>
        <v>48.353054898895429</v>
      </c>
      <c r="AA23" s="128">
        <f ca="1">IF($E23="WS",SUMPRODUCT(($C25:$C$33=$B23)*($Q25:$Q$33)*(AA25:AA$33)),IF($E23="MM",100*ABS(($H23-(Data!N23-$I23)/$K23)),IF($E23="XX",ABS((100*$H23)-((Data!N23-$F23)*$G23)),"na")))</f>
        <v>15.625276727016777</v>
      </c>
      <c r="AB23" s="128">
        <f ca="1">IF($E23="WS",SUMPRODUCT(($C25:$C$33=$B23)*($Q25:$Q$33)*(AB25:AB$33)),IF($E23="MM",100*ABS(($H23-(Data!O23-$I23)/$K23)),IF($E23="XX",ABS((100*$H23)-((Data!O23-$F23)*$G23)),"na")))</f>
        <v>6.5623250166163771</v>
      </c>
      <c r="AC23" s="128">
        <f ca="1">IF($E23="WS",SUMPRODUCT(($C25:$C$33=$B23)*($Q25:$Q$33)*(AC25:AC$33)),IF($E23="MM",100*ABS(($H23-(Data!P23-$I23)/$K23)),IF($E23="XX",ABS((100*$H23)-((Data!P23-$F23)*$G23)),"na")))</f>
        <v>44.709214218193985</v>
      </c>
      <c r="AD23" s="128">
        <f ca="1">IF($E23="WS",SUMPRODUCT(($C25:$C$33=$B23)*($Q25:$Q$33)*(AD25:AD$33)),IF($E23="MM",100*ABS(($H23-(Data!Q23-$I23)/$K23)),IF($E23="XX",ABS((100*$H23)-((Data!Q23-$F23)*$G23)),"na")))</f>
        <v>46.133081820896692</v>
      </c>
      <c r="AE23" s="128">
        <f ca="1">IF($E23="WS",SUMPRODUCT(($C25:$C$33=$B23)*($Q25:$Q$33)*(AE25:AE$33)),IF($E23="MM",100*ABS(($H23-(Data!R23-$I23)/$K23)),IF($E23="XX",ABS((100*$H23)-((Data!R23-$F23)*$G23)),"na")))</f>
        <v>15.554799736801927</v>
      </c>
      <c r="AF23" s="128">
        <f ca="1">IF($E23="WS",SUMPRODUCT(($C25:$C$33=$B23)*($Q25:$Q$33)*(AF25:AF$33)),IF($E23="MM",100*ABS(($H23-(Data!S23-$I23)/$K23)),IF($E23="XX",ABS((100*$H23)-((Data!S23-$F23)*$G23)),"na")))</f>
        <v>40.971470409316325</v>
      </c>
      <c r="AG23" s="128">
        <f ca="1">IF($E23="WS",SUMPRODUCT(($C25:$C$33=$B23)*($Q25:$Q$33)*(AG25:AG$33)),IF($E23="MM",100*ABS(($H23-(Data!T23-$I23)/$K23)),IF($E23="XX",ABS((100*$H23)-((Data!T23-$F23)*$G23)),"na")))</f>
        <v>22.075930225443312</v>
      </c>
      <c r="AH23" s="128">
        <f ca="1">IF($E23="WS",SUMPRODUCT(($C25:$C$33=$B23)*($Q25:$Q$33)*(AH25:AH$33)),IF($E23="MM",100*ABS(($H23-(Data!U23-$I23)/$K23)),IF($E23="XX",ABS((100*$H23)-((Data!U23-$F23)*$G23)),"na")))</f>
        <v>32.034848139693992</v>
      </c>
      <c r="AI23" s="128">
        <f ca="1">IF($E23="WS",SUMPRODUCT(($C25:$C$33=$B23)*($Q25:$Q$33)*(AI25:AI$33)),IF($E23="MM",100*ABS(($H23-(Data!V23-$I23)/$K23)),IF($E23="XX",ABS((100*$H23)-((Data!V23-$F23)*$G23)),"na")))</f>
        <v>43.82413587142382</v>
      </c>
      <c r="AJ23" s="128">
        <f ca="1">IF($E23="WS",SUMPRODUCT(($C25:$C$33=$B23)*($Q25:$Q$33)*(AJ25:AJ$33)),IF($E23="MM",100*ABS(($H23-(Data!W23-$I23)/$K23)),IF($E23="XX",ABS((100*$H23)-((Data!W23-$F23)*$G23)),"na")))</f>
        <v>68.894870569570855</v>
      </c>
      <c r="AK23" s="128">
        <f ca="1">IF($E23="WS",SUMPRODUCT(($C25:$C$33=$B23)*($Q25:$Q$33)*(AK25:AK$33)),IF($E23="MM",100*ABS(($H23-(Data!X23-$I23)/$K23)),IF($E23="XX",ABS((100*$H23)-((Data!X23-$F23)*$G23)),"na")))</f>
        <v>2.4208463423754121</v>
      </c>
      <c r="AL23" s="128"/>
    </row>
    <row r="24" spans="2:38">
      <c r="B24" s="9" t="str">
        <f ca="1">tblIndicators!A19</f>
        <v>INVT02</v>
      </c>
      <c r="C24" s="9" t="str">
        <f ca="1">tblIndicators!B19</f>
        <v>INVT</v>
      </c>
      <c r="D24" s="9">
        <f ca="1">tblIndicators!C19</f>
        <v>2</v>
      </c>
      <c r="E24" s="9" t="str">
        <f ca="1">tblIndicators!D19</f>
        <v>MM</v>
      </c>
      <c r="F24" s="9">
        <f ca="1">tblIndicators!E19</f>
        <v>0</v>
      </c>
      <c r="G24" s="9">
        <f ca="1">tblIndicators!F19</f>
        <v>1</v>
      </c>
      <c r="H24" s="9">
        <f ca="1">tblIndicators!G19</f>
        <v>0</v>
      </c>
      <c r="I24" s="16">
        <f ca="1">MIN(Data!F24:Y24)</f>
        <v>35.61868593095673</v>
      </c>
      <c r="J24" s="16">
        <f ca="1">MAX(Data!F24:Y24)</f>
        <v>68.707589292777584</v>
      </c>
      <c r="K24" s="16">
        <f t="shared" si="1"/>
        <v>33.088903361820854</v>
      </c>
      <c r="L24" s="9">
        <f ca="1">MATCH(B24,Weights!C$4:C$47,0)</f>
        <v>24</v>
      </c>
      <c r="M24" s="9">
        <f ca="1">INDEX(Weights!G$4:G$46,Scores!L24)</f>
        <v>1</v>
      </c>
      <c r="N24" s="17">
        <f t="shared" si="0"/>
        <v>0.25</v>
      </c>
      <c r="O24" s="17"/>
      <c r="P24" s="19" t="str">
        <f ca="1">tblIndicators!H19</f>
        <v>Business environment</v>
      </c>
      <c r="Q24" s="17">
        <f t="shared" si="2"/>
        <v>0.25</v>
      </c>
      <c r="S24" s="128">
        <f ca="1">IF($E24="WS",SUMPRODUCT(($C25:$C$33=$B24)*($Q25:$Q$33)*(S25:S$33)),IF($E24="MM",100*ABS(($H24-(Data!F24-$I24)/$K24)),IF($E24="XX",ABS((100*$H24)-((Data!F24-$F24)*$G24)),"na")))</f>
        <v>52.908833412841204</v>
      </c>
      <c r="T24" s="128">
        <f ca="1">IF($E24="WS",SUMPRODUCT(($C25:$C$33=$B24)*($Q25:$Q$33)*(T25:T$33)),IF($E24="MM",100*ABS(($H24-(Data!G24-$I24)/$K24)),IF($E24="XX",ABS((100*$H24)-((Data!G24-$F24)*$G24)),"na")))</f>
        <v>73.321047289595882</v>
      </c>
      <c r="U24" s="128">
        <f ca="1">IF($E24="WS",SUMPRODUCT(($C25:$C$33=$B24)*($Q25:$Q$33)*(U25:U$33)),IF($E24="MM",100*ABS(($H24-(Data!H24-$I24)/$K24)),IF($E24="XX",ABS((100*$H24)-((Data!H24-$F24)*$G24)),"na")))</f>
        <v>100</v>
      </c>
      <c r="V24" s="128">
        <f ca="1">IF($E24="WS",SUMPRODUCT(($C25:$C$33=$B24)*($Q25:$Q$33)*(V25:V$33)),IF($E24="MM",100*ABS(($H24-(Data!I24-$I24)/$K24)),IF($E24="XX",ABS((100*$H24)-((Data!I24-$F24)*$G24)),"na")))</f>
        <v>54.781095898582208</v>
      </c>
      <c r="W24" s="128">
        <f ca="1">IF($E24="WS",SUMPRODUCT(($C25:$C$33=$B24)*($Q25:$Q$33)*(W25:W$33)),IF($E24="MM",100*ABS(($H24-(Data!J24-$I24)/$K24)),IF($E24="XX",ABS((100*$H24)-((Data!J24-$F24)*$G24)),"na")))</f>
        <v>17.554999906999424</v>
      </c>
      <c r="X24" s="128">
        <f ca="1">IF($E24="WS",SUMPRODUCT(($C25:$C$33=$B24)*($Q25:$Q$33)*(X25:X$33)),IF($E24="MM",100*ABS(($H24-(Data!K24-$I24)/$K24)),IF($E24="XX",ABS((100*$H24)-((Data!K24-$F24)*$G24)),"na")))</f>
        <v>0</v>
      </c>
      <c r="Y24" s="128">
        <f ca="1">IF($E24="WS",SUMPRODUCT(($C25:$C$33=$B24)*($Q25:$Q$33)*(Y25:Y$33)),IF($E24="MM",100*ABS(($H24-(Data!L24-$I24)/$K24)),IF($E24="XX",ABS((100*$H24)-((Data!L24-$F24)*$G24)),"na")))</f>
        <v>58.804032707742614</v>
      </c>
      <c r="Z24" s="128">
        <f ca="1">IF($E24="WS",SUMPRODUCT(($C25:$C$33=$B24)*($Q25:$Q$33)*(Z25:Z$33)),IF($E24="MM",100*ABS(($H24-(Data!M24-$I24)/$K24)),IF($E24="XX",ABS((100*$H24)-((Data!M24-$F24)*$G24)),"na")))</f>
        <v>91.006434380924873</v>
      </c>
      <c r="AA24" s="128">
        <f ca="1">IF($E24="WS",SUMPRODUCT(($C25:$C$33=$B24)*($Q25:$Q$33)*(AA25:AA$33)),IF($E24="MM",100*ABS(($H24-(Data!N24-$I24)/$K24)),IF($E24="XX",ABS((100*$H24)-((Data!N24-$F24)*$G24)),"na")))</f>
        <v>32.418855089921649</v>
      </c>
      <c r="AB24" s="128">
        <f ca="1">IF($E24="WS",SUMPRODUCT(($C25:$C$33=$B24)*($Q25:$Q$33)*(AB25:AB$33)),IF($E24="MM",100*ABS(($H24-(Data!O24-$I24)/$K24)),IF($E24="XX",ABS((100*$H24)-((Data!O24-$F24)*$G24)),"na")))</f>
        <v>20.589099522913909</v>
      </c>
      <c r="AC24" s="128">
        <f ca="1">IF($E24="WS",SUMPRODUCT(($C25:$C$33=$B24)*($Q25:$Q$33)*(AC25:AC$33)),IF($E24="MM",100*ABS(($H24-(Data!P24-$I24)/$K24)),IF($E24="XX",ABS((100*$H24)-((Data!P24-$F24)*$G24)),"na")))</f>
        <v>8.5897346740959328</v>
      </c>
      <c r="AD24" s="128">
        <f ca="1">IF($E24="WS",SUMPRODUCT(($C25:$C$33=$B24)*($Q25:$Q$33)*(AD25:AD$33)),IF($E24="MM",100*ABS(($H24-(Data!Q24-$I24)/$K24)),IF($E24="XX",ABS((100*$H24)-((Data!Q24-$F24)*$G24)),"na")))</f>
        <v>79.16774811494497</v>
      </c>
      <c r="AE24" s="128">
        <f ca="1">IF($E24="WS",SUMPRODUCT(($C25:$C$33=$B24)*($Q25:$Q$33)*(AE25:AE$33)),IF($E24="MM",100*ABS(($H24-(Data!R24-$I24)/$K24)),IF($E24="XX",ABS((100*$H24)-((Data!R24-$F24)*$G24)),"na")))</f>
        <v>19.119170657101815</v>
      </c>
      <c r="AF24" s="128">
        <f ca="1">IF($E24="WS",SUMPRODUCT(($C25:$C$33=$B24)*($Q25:$Q$33)*(AF25:AF$33)),IF($E24="MM",100*ABS(($H24-(Data!S24-$I24)/$K24)),IF($E24="XX",ABS((100*$H24)-((Data!S24-$F24)*$G24)),"na")))</f>
        <v>84.279330239468891</v>
      </c>
      <c r="AG24" s="128">
        <f ca="1">IF($E24="WS",SUMPRODUCT(($C25:$C$33=$B24)*($Q25:$Q$33)*(AG25:AG$33)),IF($E24="MM",100*ABS(($H24-(Data!T24-$I24)/$K24)),IF($E24="XX",ABS((100*$H24)-((Data!T24-$F24)*$G24)),"na")))</f>
        <v>15.503630498380675</v>
      </c>
      <c r="AH24" s="128">
        <f ca="1">IF($E24="WS",SUMPRODUCT(($C25:$C$33=$B24)*($Q25:$Q$33)*(AH25:AH$33)),IF($E24="MM",100*ABS(($H24-(Data!U24-$I24)/$K24)),IF($E24="XX",ABS((100*$H24)-((Data!U24-$F24)*$G24)),"na")))</f>
        <v>92.168058247974002</v>
      </c>
      <c r="AI24" s="128">
        <f ca="1">IF($E24="WS",SUMPRODUCT(($C25:$C$33=$B24)*($Q25:$Q$33)*(AI25:AI$33)),IF($E24="MM",100*ABS(($H24-(Data!V24-$I24)/$K24)),IF($E24="XX",ABS((100*$H24)-((Data!V24-$F24)*$G24)),"na")))</f>
        <v>78.458523940424868</v>
      </c>
      <c r="AJ24" s="128">
        <f ca="1">IF($E24="WS",SUMPRODUCT(($C25:$C$33=$B24)*($Q25:$Q$33)*(AJ25:AJ$33)),IF($E24="MM",100*ABS(($H24-(Data!W24-$I24)/$K24)),IF($E24="XX",ABS((100*$H24)-((Data!W24-$F24)*$G24)),"na")))</f>
        <v>44.259641338904984</v>
      </c>
      <c r="AK24" s="128">
        <f ca="1">IF($E24="WS",SUMPRODUCT(($C25:$C$33=$B24)*($Q25:$Q$33)*(AK25:AK$33)),IF($E24="MM",100*ABS(($H24-(Data!X24-$I24)/$K24)),IF($E24="XX",ABS((100*$H24)-((Data!X24-$F24)*$G24)),"na")))</f>
        <v>16.32961403316359</v>
      </c>
      <c r="AL24" s="128"/>
    </row>
    <row r="25" spans="2:38">
      <c r="B25" s="9" t="str">
        <f ca="1">tblIndicators!A20</f>
        <v>INVT03</v>
      </c>
      <c r="C25" s="9" t="str">
        <f ca="1">tblIndicators!B20</f>
        <v>INVT</v>
      </c>
      <c r="D25" s="9">
        <f ca="1">tblIndicators!C20</f>
        <v>2</v>
      </c>
      <c r="E25" s="9" t="str">
        <f ca="1">tblIndicators!D20</f>
        <v>MM</v>
      </c>
      <c r="F25" s="9">
        <f ca="1">tblIndicators!E20</f>
        <v>0</v>
      </c>
      <c r="G25" s="9">
        <f ca="1">tblIndicators!F20</f>
        <v>1</v>
      </c>
      <c r="H25" s="9">
        <f ca="1">tblIndicators!G20</f>
        <v>1</v>
      </c>
      <c r="I25" s="16">
        <f ca="1">MIN(Data!F25:Y25)</f>
        <v>0.18527777777777779</v>
      </c>
      <c r="J25" s="16">
        <f ca="1">MAX(Data!F25:Y25)</f>
        <v>0.59385903698534548</v>
      </c>
      <c r="K25" s="16">
        <f t="shared" si="1"/>
        <v>0.40858125920756772</v>
      </c>
      <c r="L25" s="9">
        <f ca="1">MATCH(B25,Weights!C$4:C$47,0)</f>
        <v>25</v>
      </c>
      <c r="M25" s="9">
        <f ca="1">INDEX(Weights!G$4:G$46,Scores!L25)</f>
        <v>2</v>
      </c>
      <c r="N25" s="17">
        <f t="shared" si="0"/>
        <v>0.5</v>
      </c>
      <c r="O25" s="17"/>
      <c r="P25" s="19" t="str">
        <f ca="1">tblIndicators!H20</f>
        <v>Social attitudes towards privatisation</v>
      </c>
      <c r="Q25" s="17">
        <f t="shared" si="2"/>
        <v>0.5</v>
      </c>
      <c r="S25" s="128">
        <f ca="1">IF($E25="WS",SUMPRODUCT(($C26:$C$33=$B25)*($Q26:$Q$33)*(S26:S$33)),IF($E25="MM",100*ABS(($H25-(Data!F25-$I25)/$K25)),IF($E25="XX",ABS((100*$H25)-((Data!F25-$F25)*$G25)),"na")))</f>
        <v>57.984693913859509</v>
      </c>
      <c r="T25" s="128">
        <f ca="1">IF($E25="WS",SUMPRODUCT(($C26:$C$33=$B25)*($Q26:$Q$33)*(T26:T$33)),IF($E25="MM",100*ABS(($H25-(Data!G25-$I25)/$K25)),IF($E25="XX",ABS((100*$H25)-((Data!G25-$F25)*$G25)),"na")))</f>
        <v>93.713447008915551</v>
      </c>
      <c r="U25" s="128">
        <f ca="1">IF($E25="WS",SUMPRODUCT(($C26:$C$33=$B25)*($Q26:$Q$33)*(U26:U$33)),IF($E25="MM",100*ABS(($H25-(Data!H25-$I25)/$K25)),IF($E25="XX",ABS((100*$H25)-((Data!H25-$F25)*$G25)),"na")))</f>
        <v>86.062883903464723</v>
      </c>
      <c r="V25" s="128">
        <f ca="1">IF($E25="WS",SUMPRODUCT(($C26:$C$33=$B25)*($Q26:$Q$33)*(V26:V$33)),IF($E25="MM",100*ABS(($H25-(Data!I25-$I25)/$K25)),IF($E25="XX",ABS((100*$H25)-((Data!I25-$F25)*$G25)),"na")))</f>
        <v>71.758643773167051</v>
      </c>
      <c r="W25" s="128">
        <f ca="1">IF($E25="WS",SUMPRODUCT(($C26:$C$33=$B25)*($Q26:$Q$33)*(W26:W$33)),IF($E25="MM",100*ABS(($H25-(Data!J25-$I25)/$K25)),IF($E25="XX",ABS((100*$H25)-((Data!J25-$F25)*$G25)),"na")))</f>
        <v>79.672206278711968</v>
      </c>
      <c r="X25" s="128">
        <f ca="1">IF($E25="WS",SUMPRODUCT(($C26:$C$33=$B25)*($Q26:$Q$33)*(X26:X$33)),IF($E25="MM",100*ABS(($H25-(Data!K25-$I25)/$K25)),IF($E25="XX",ABS((100*$H25)-((Data!K25-$F25)*$G25)),"na")))</f>
        <v>61.397587709206192</v>
      </c>
      <c r="Y25" s="128">
        <f ca="1">IF($E25="WS",SUMPRODUCT(($C26:$C$33=$B25)*($Q26:$Q$33)*(Y26:Y$33)),IF($E25="MM",100*ABS(($H25-(Data!L25-$I25)/$K25)),IF($E25="XX",ABS((100*$H25)-((Data!L25-$F25)*$G25)),"na")))</f>
        <v>47.310902561878834</v>
      </c>
      <c r="Z25" s="128">
        <f ca="1">IF($E25="WS",SUMPRODUCT(($C26:$C$33=$B25)*($Q26:$Q$33)*(Z26:Z$33)),IF($E25="MM",100*ABS(($H25-(Data!M25-$I25)/$K25)),IF($E25="XX",ABS((100*$H25)-((Data!M25-$F25)*$G25)),"na")))</f>
        <v>47.038958833165943</v>
      </c>
      <c r="AA25" s="128">
        <f ca="1">IF($E25="WS",SUMPRODUCT(($C26:$C$33=$B25)*($Q26:$Q$33)*(AA26:AA$33)),IF($E25="MM",100*ABS(($H25-(Data!N25-$I25)/$K25)),IF($E25="XX",ABS((100*$H25)-((Data!N25-$F25)*$G25)),"na")))</f>
        <v>42.715053546631097</v>
      </c>
      <c r="AB25" s="128">
        <f ca="1">IF($E25="WS",SUMPRODUCT(($C26:$C$33=$B25)*($Q26:$Q$33)*(AB26:AB$33)),IF($E25="MM",100*ABS(($H25-(Data!O25-$I25)/$K25)),IF($E25="XX",ABS((100*$H25)-((Data!O25-$F25)*$G25)),"na")))</f>
        <v>65.966242351582636</v>
      </c>
      <c r="AC25" s="128">
        <f ca="1">IF($E25="WS",SUMPRODUCT(($C26:$C$33=$B25)*($Q26:$Q$33)*(AC26:AC$33)),IF($E25="MM",100*ABS(($H25-(Data!P25-$I25)/$K25)),IF($E25="XX",ABS((100*$H25)-((Data!P25-$F25)*$G25)),"na")))</f>
        <v>0</v>
      </c>
      <c r="AD25" s="128">
        <f ca="1">IF($E25="WS",SUMPRODUCT(($C26:$C$33=$B25)*($Q26:$Q$33)*(AD26:AD$33)),IF($E25="MM",100*ABS(($H25-(Data!Q25-$I25)/$K25)),IF($E25="XX",ABS((100*$H25)-((Data!Q25-$F25)*$G25)),"na")))</f>
        <v>67.63869628316688</v>
      </c>
      <c r="AE25" s="128">
        <f ca="1">IF($E25="WS",SUMPRODUCT(($C26:$C$33=$B25)*($Q26:$Q$33)*(AE26:AE$33)),IF($E25="MM",100*ABS(($H25-(Data!R25-$I25)/$K25)),IF($E25="XX",ABS((100*$H25)-((Data!R25-$F25)*$G25)),"na")))</f>
        <v>90.033262342672828</v>
      </c>
      <c r="AF25" s="128">
        <f ca="1">IF($E25="WS",SUMPRODUCT(($C26:$C$33=$B25)*($Q26:$Q$33)*(AF26:AF$33)),IF($E25="MM",100*ABS(($H25-(Data!S25-$I25)/$K25)),IF($E25="XX",ABS((100*$H25)-((Data!S25-$F25)*$G25)),"na")))</f>
        <v>63.035077447098772</v>
      </c>
      <c r="AG25" s="128">
        <f ca="1">IF($E25="WS",SUMPRODUCT(($C26:$C$33=$B25)*($Q26:$Q$33)*(AG26:AG$33)),IF($E25="MM",100*ABS(($H25-(Data!T25-$I25)/$K25)),IF($E25="XX",ABS((100*$H25)-((Data!T25-$F25)*$G25)),"na")))</f>
        <v>100</v>
      </c>
      <c r="AH25" s="128">
        <f ca="1">IF($E25="WS",SUMPRODUCT(($C26:$C$33=$B25)*($Q26:$Q$33)*(AH26:AH$33)),IF($E25="MM",100*ABS(($H25-(Data!U25-$I25)/$K25)),IF($E25="XX",ABS((100*$H25)-((Data!U25-$F25)*$G25)),"na")))</f>
        <v>77.972557974256446</v>
      </c>
      <c r="AI25" s="128">
        <f ca="1">IF($E25="WS",SUMPRODUCT(($C26:$C$33=$B25)*($Q26:$Q$33)*(AI26:AI$33)),IF($E25="MM",100*ABS(($H25-(Data!V25-$I25)/$K25)),IF($E25="XX",ABS((100*$H25)-((Data!V25-$F25)*$G25)),"na")))</f>
        <v>67.385353288699363</v>
      </c>
      <c r="AJ25" s="128">
        <f ca="1">IF($E25="WS",SUMPRODUCT(($C26:$C$33=$B25)*($Q26:$Q$33)*(AJ26:AJ$33)),IF($E25="MM",100*ABS(($H25-(Data!W25-$I25)/$K25)),IF($E25="XX",ABS((100*$H25)-((Data!W25-$F25)*$G25)),"na")))</f>
        <v>95.852858137128521</v>
      </c>
      <c r="AK25" s="128">
        <f ca="1">IF($E25="WS",SUMPRODUCT(($C26:$C$33=$B25)*($Q26:$Q$33)*(AK26:AK$33)),IF($E25="MM",100*ABS(($H25-(Data!X25-$I25)/$K25)),IF($E25="XX",ABS((100*$H25)-((Data!X25-$F25)*$G25)),"na")))</f>
        <v>64.783287131681604</v>
      </c>
      <c r="AL25" s="128"/>
    </row>
    <row r="26" spans="2:38" ht="22.5" customHeight="1">
      <c r="B26" s="21" t="str">
        <f ca="1">tblIndicators!A21</f>
        <v>FINC</v>
      </c>
      <c r="C26" s="21" t="str">
        <f ca="1">tblIndicators!B21</f>
        <v>TOTL</v>
      </c>
      <c r="D26" s="21">
        <f ca="1">tblIndicators!C21</f>
        <v>1</v>
      </c>
      <c r="E26" s="21" t="str">
        <f ca="1">tblIndicators!D21</f>
        <v>WS</v>
      </c>
      <c r="F26" s="21">
        <f ca="1">tblIndicators!E21</f>
        <v>0</v>
      </c>
      <c r="G26" s="21">
        <f ca="1">tblIndicators!F21</f>
        <v>0</v>
      </c>
      <c r="H26" s="21">
        <f ca="1">tblIndicators!G21</f>
        <v>0</v>
      </c>
      <c r="I26" s="21">
        <f ca="1">MIN(Data!F26:Y26)</f>
        <v>0</v>
      </c>
      <c r="J26" s="21">
        <f ca="1">MAX(Data!F26:Y26)</f>
        <v>0</v>
      </c>
      <c r="K26" s="21">
        <f t="shared" si="1"/>
        <v>0</v>
      </c>
      <c r="L26" s="21">
        <f ca="1">MATCH(B26,Weights!C$4:C$47,0)</f>
        <v>5</v>
      </c>
      <c r="M26" s="21">
        <f ca="1">INDEX(Weights!G$4:G$46,Scores!L26)</f>
        <v>0.5</v>
      </c>
      <c r="N26" s="39">
        <f t="shared" si="0"/>
        <v>4.1666666666666664E-2</v>
      </c>
      <c r="O26" s="17"/>
      <c r="P26" s="21" t="str">
        <f ca="1">tblIndicators!H21</f>
        <v>Financial facilities</v>
      </c>
      <c r="Q26" s="22">
        <f t="shared" si="2"/>
        <v>4.1666666666666664E-2</v>
      </c>
      <c r="R26" s="21"/>
      <c r="S26" s="127">
        <f ca="1">IF($E26="WS",SUMPRODUCT(($C27:$C$33=$B26)*($Q27:$Q$33)*(S27:S$33)),IF($E26="MM",100*ABS(($H26-(Data!F26-$I26)/$K26)),IF($E26="XX",ABS((100*$H26)-((Data!F26-$F26)*$G26)),"na")))</f>
        <v>20.833333333333332</v>
      </c>
      <c r="T26" s="127">
        <f ca="1">IF($E26="WS",SUMPRODUCT(($C27:$C$33=$B26)*($Q27:$Q$33)*(T27:T$33)),IF($E26="MM",100*ABS(($H26-(Data!G26-$I26)/$K26)),IF($E26="XX",ABS((100*$H26)-((Data!G26-$F26)*$G26)),"na")))</f>
        <v>62.499999999999993</v>
      </c>
      <c r="U26" s="127">
        <f ca="1">IF($E26="WS",SUMPRODUCT(($C27:$C$33=$B26)*($Q27:$Q$33)*(U27:U$33)),IF($E26="MM",100*ABS(($H26-(Data!H26-$I26)/$K26)),IF($E26="XX",ABS((100*$H26)-((Data!H26-$F26)*$G26)),"na")))</f>
        <v>95.833333333333314</v>
      </c>
      <c r="V26" s="127">
        <f ca="1">IF($E26="WS",SUMPRODUCT(($C27:$C$33=$B26)*($Q27:$Q$33)*(V27:V$33)),IF($E26="MM",100*ABS(($H26-(Data!I26-$I26)/$K26)),IF($E26="XX",ABS((100*$H26)-((Data!I26-$F26)*$G26)),"na")))</f>
        <v>49.999999999999993</v>
      </c>
      <c r="W26" s="127">
        <f ca="1">IF($E26="WS",SUMPRODUCT(($C27:$C$33=$B26)*($Q27:$Q$33)*(W27:W$33)),IF($E26="MM",100*ABS(($H26-(Data!J26-$I26)/$K26)),IF($E26="XX",ABS((100*$H26)-((Data!J26-$F26)*$G26)),"na")))</f>
        <v>49.999999999999993</v>
      </c>
      <c r="X26" s="127">
        <f ca="1">IF($E26="WS",SUMPRODUCT(($C27:$C$33=$B26)*($Q27:$Q$33)*(X27:X$33)),IF($E26="MM",100*ABS(($H26-(Data!K26-$I26)/$K26)),IF($E26="XX",ABS((100*$H26)-((Data!K26-$F26)*$G26)),"na")))</f>
        <v>12.499999999999998</v>
      </c>
      <c r="Y26" s="127">
        <f ca="1">IF($E26="WS",SUMPRODUCT(($C27:$C$33=$B26)*($Q27:$Q$33)*(Y27:Y$33)),IF($E26="MM",100*ABS(($H26-(Data!L26-$I26)/$K26)),IF($E26="XX",ABS((100*$H26)-((Data!L26-$F26)*$G26)),"na")))</f>
        <v>24.999999999999993</v>
      </c>
      <c r="Z26" s="127">
        <f ca="1">IF($E26="WS",SUMPRODUCT(($C27:$C$33=$B26)*($Q27:$Q$33)*(Z27:Z$33)),IF($E26="MM",100*ABS(($H26-(Data!M26-$I26)/$K26)),IF($E26="XX",ABS((100*$H26)-((Data!M26-$F26)*$G26)),"na")))</f>
        <v>45.833333333333321</v>
      </c>
      <c r="AA26" s="127">
        <f ca="1">IF($E26="WS",SUMPRODUCT(($C27:$C$33=$B26)*($Q27:$Q$33)*(AA27:AA$33)),IF($E26="MM",100*ABS(($H26-(Data!N26-$I26)/$K26)),IF($E26="XX",ABS((100*$H26)-((Data!N26-$F26)*$G26)),"na")))</f>
        <v>24.999999999999993</v>
      </c>
      <c r="AB26" s="127">
        <f ca="1">IF($E26="WS",SUMPRODUCT(($C27:$C$33=$B26)*($Q27:$Q$33)*(AB27:AB$33)),IF($E26="MM",100*ABS(($H26-(Data!O26-$I26)/$K26)),IF($E26="XX",ABS((100*$H26)-((Data!O26-$F26)*$G26)),"na")))</f>
        <v>8.3333333333333321</v>
      </c>
      <c r="AC26" s="127">
        <f ca="1">IF($E26="WS",SUMPRODUCT(($C27:$C$33=$B26)*($Q27:$Q$33)*(AC27:AC$33)),IF($E26="MM",100*ABS(($H26-(Data!P26-$I26)/$K26)),IF($E26="XX",ABS((100*$H26)-((Data!P26-$F26)*$G26)),"na")))</f>
        <v>20.833333333333329</v>
      </c>
      <c r="AD26" s="127">
        <f ca="1">IF($E26="WS",SUMPRODUCT(($C27:$C$33=$B26)*($Q27:$Q$33)*(AD27:AD$33)),IF($E26="MM",100*ABS(($H26-(Data!Q26-$I26)/$K26)),IF($E26="XX",ABS((100*$H26)-((Data!Q26-$F26)*$G26)),"na")))</f>
        <v>66.666666666666671</v>
      </c>
      <c r="AE26" s="127">
        <f ca="1">IF($E26="WS",SUMPRODUCT(($C27:$C$33=$B26)*($Q27:$Q$33)*(AE27:AE$33)),IF($E26="MM",100*ABS(($H26-(Data!R26-$I26)/$K26)),IF($E26="XX",ABS((100*$H26)-((Data!R26-$F26)*$G26)),"na")))</f>
        <v>12.499999999999998</v>
      </c>
      <c r="AF26" s="127">
        <f ca="1">IF($E26="WS",SUMPRODUCT(($C27:$C$33=$B26)*($Q27:$Q$33)*(AF27:AF$33)),IF($E26="MM",100*ABS(($H26-(Data!S26-$I26)/$K26)),IF($E26="XX",ABS((100*$H26)-((Data!S26-$F26)*$G26)),"na")))</f>
        <v>58.333333333333329</v>
      </c>
      <c r="AG26" s="127">
        <f ca="1">IF($E26="WS",SUMPRODUCT(($C27:$C$33=$B26)*($Q27:$Q$33)*(AG27:AG$33)),IF($E26="MM",100*ABS(($H26-(Data!T26-$I26)/$K26)),IF($E26="XX",ABS((100*$H26)-((Data!T26-$F26)*$G26)),"na")))</f>
        <v>37.5</v>
      </c>
      <c r="AH26" s="127">
        <f ca="1">IF($E26="WS",SUMPRODUCT(($C27:$C$33=$B26)*($Q27:$Q$33)*(AH27:AH$33)),IF($E26="MM",100*ABS(($H26-(Data!U26-$I26)/$K26)),IF($E26="XX",ABS((100*$H26)-((Data!U26-$F26)*$G26)),"na")))</f>
        <v>58.333333333333329</v>
      </c>
      <c r="AI26" s="127">
        <f ca="1">IF($E26="WS",SUMPRODUCT(($C27:$C$33=$B26)*($Q27:$Q$33)*(AI27:AI$33)),IF($E26="MM",100*ABS(($H26-(Data!V26-$I26)/$K26)),IF($E26="XX",ABS((100*$H26)-((Data!V26-$F26)*$G26)),"na")))</f>
        <v>58.333333333333329</v>
      </c>
      <c r="AJ26" s="127">
        <f ca="1">IF($E26="WS",SUMPRODUCT(($C27:$C$33=$B26)*($Q27:$Q$33)*(AJ27:AJ$33)),IF($E26="MM",100*ABS(($H26-(Data!W26-$I26)/$K26)),IF($E26="XX",ABS((100*$H26)-((Data!W26-$F26)*$G26)),"na")))</f>
        <v>20.833333333333329</v>
      </c>
      <c r="AK26" s="127">
        <f ca="1">IF($E26="WS",SUMPRODUCT(($C27:$C$33=$B26)*($Q27:$Q$33)*(AK27:AK$33)),IF($E26="MM",100*ABS(($H26-(Data!X26-$I26)/$K26)),IF($E26="XX",ABS((100*$H26)-((Data!X26-$F26)*$G26)),"na")))</f>
        <v>29.166666666666661</v>
      </c>
      <c r="AL26" s="127"/>
    </row>
    <row r="27" spans="2:38">
      <c r="B27" s="9" t="str">
        <f ca="1">tblIndicators!A22</f>
        <v>FINC01</v>
      </c>
      <c r="C27" s="9" t="str">
        <f ca="1">tblIndicators!B22</f>
        <v>FINC</v>
      </c>
      <c r="D27" s="9">
        <f ca="1">tblIndicators!C22</f>
        <v>2</v>
      </c>
      <c r="E27" s="9" t="str">
        <f ca="1">tblIndicators!D22</f>
        <v>XX</v>
      </c>
      <c r="F27" s="9">
        <f ca="1">tblIndicators!E22</f>
        <v>0</v>
      </c>
      <c r="G27" s="9">
        <f ca="1">tblIndicators!F22</f>
        <v>25</v>
      </c>
      <c r="H27" s="9">
        <f ca="1">tblIndicators!G22</f>
        <v>0</v>
      </c>
      <c r="I27" s="16">
        <f ca="1">MIN(Data!F27:Y27)</f>
        <v>0</v>
      </c>
      <c r="J27" s="16">
        <f ca="1">MAX(Data!F27:Y27)</f>
        <v>4</v>
      </c>
      <c r="K27" s="16">
        <f t="shared" si="1"/>
        <v>4</v>
      </c>
      <c r="L27" s="9">
        <f ca="1">MATCH(B27,Weights!C$4:C$47,0)</f>
        <v>27</v>
      </c>
      <c r="M27" s="9">
        <f ca="1">INDEX(Weights!G$4:G$46,Scores!L27)</f>
        <v>1</v>
      </c>
      <c r="N27" s="17">
        <f t="shared" si="0"/>
        <v>0.33333333333333331</v>
      </c>
      <c r="O27" s="17"/>
      <c r="P27" s="19" t="str">
        <f ca="1">tblIndicators!H22</f>
        <v>Government payment risk</v>
      </c>
      <c r="Q27" s="17">
        <f t="shared" si="2"/>
        <v>0.33333333333333331</v>
      </c>
      <c r="S27" s="128">
        <f ca="1">IF($E27="WS",SUMPRODUCT(($C28:$C$33=$B27)*($Q28:$Q$33)*(S28:S$33)),IF($E27="MM",100*ABS(($H27-(Data!F27-$I27)/$K27)),IF($E27="XX",ABS((100*$H27)-((Data!F27-$F27)*$G27)),"na")))</f>
        <v>0</v>
      </c>
      <c r="T27" s="128">
        <f ca="1">IF($E27="WS",SUMPRODUCT(($C28:$C$33=$B27)*($Q28:$Q$33)*(T28:T$33)),IF($E27="MM",100*ABS(($H27-(Data!G27-$I27)/$K27)),IF($E27="XX",ABS((100*$H27)-((Data!G27-$F27)*$G27)),"na")))</f>
        <v>75</v>
      </c>
      <c r="U27" s="128">
        <f ca="1">IF($E27="WS",SUMPRODUCT(($C28:$C$33=$B27)*($Q28:$Q$33)*(U28:U$33)),IF($E27="MM",100*ABS(($H27-(Data!H27-$I27)/$K27)),IF($E27="XX",ABS((100*$H27)-((Data!H27-$F27)*$G27)),"na")))</f>
        <v>100</v>
      </c>
      <c r="V27" s="128">
        <f ca="1">IF($E27="WS",SUMPRODUCT(($C28:$C$33=$B27)*($Q28:$Q$33)*(V28:V$33)),IF($E27="MM",100*ABS(($H27-(Data!I27-$I27)/$K27)),IF($E27="XX",ABS((100*$H27)-((Data!I27-$F27)*$G27)),"na")))</f>
        <v>50</v>
      </c>
      <c r="W27" s="128">
        <f ca="1">IF($E27="WS",SUMPRODUCT(($C28:$C$33=$B27)*($Q28:$Q$33)*(W28:W$33)),IF($E27="MM",100*ABS(($H27-(Data!J27-$I27)/$K27)),IF($E27="XX",ABS((100*$H27)-((Data!J27-$F27)*$G27)),"na")))</f>
        <v>50</v>
      </c>
      <c r="X27" s="128">
        <f ca="1">IF($E27="WS",SUMPRODUCT(($C28:$C$33=$B27)*($Q28:$Q$33)*(X28:X$33)),IF($E27="MM",100*ABS(($H27-(Data!K27-$I27)/$K27)),IF($E27="XX",ABS((100*$H27)-((Data!K27-$F27)*$G27)),"na")))</f>
        <v>0</v>
      </c>
      <c r="Y27" s="128">
        <f ca="1">IF($E27="WS",SUMPRODUCT(($C28:$C$33=$B27)*($Q28:$Q$33)*(Y28:Y$33)),IF($E27="MM",100*ABS(($H27-(Data!L27-$I27)/$K27)),IF($E27="XX",ABS((100*$H27)-((Data!L27-$F27)*$G27)),"na")))</f>
        <v>25</v>
      </c>
      <c r="Z27" s="128">
        <f ca="1">IF($E27="WS",SUMPRODUCT(($C28:$C$33=$B27)*($Q28:$Q$33)*(Z28:Z$33)),IF($E27="MM",100*ABS(($H27-(Data!M27-$I27)/$K27)),IF($E27="XX",ABS((100*$H27)-((Data!M27-$F27)*$G27)),"na")))</f>
        <v>50</v>
      </c>
      <c r="AA27" s="128">
        <f ca="1">IF($E27="WS",SUMPRODUCT(($C28:$C$33=$B27)*($Q28:$Q$33)*(AA28:AA$33)),IF($E27="MM",100*ABS(($H27-(Data!N27-$I27)/$K27)),IF($E27="XX",ABS((100*$H27)-((Data!N27-$F27)*$G27)),"na")))</f>
        <v>50</v>
      </c>
      <c r="AB27" s="128">
        <f ca="1">IF($E27="WS",SUMPRODUCT(($C28:$C$33=$B27)*($Q28:$Q$33)*(AB28:AB$33)),IF($E27="MM",100*ABS(($H27-(Data!O27-$I27)/$K27)),IF($E27="XX",ABS((100*$H27)-((Data!O27-$F27)*$G27)),"na")))</f>
        <v>0</v>
      </c>
      <c r="AC27" s="128">
        <f ca="1">IF($E27="WS",SUMPRODUCT(($C28:$C$33=$B27)*($Q28:$Q$33)*(AC28:AC$33)),IF($E27="MM",100*ABS(($H27-(Data!P27-$I27)/$K27)),IF($E27="XX",ABS((100*$H27)-((Data!P27-$F27)*$G27)),"na")))</f>
        <v>25</v>
      </c>
      <c r="AD27" s="128">
        <f ca="1">IF($E27="WS",SUMPRODUCT(($C28:$C$33=$B27)*($Q28:$Q$33)*(AD28:AD$33)),IF($E27="MM",100*ABS(($H27-(Data!Q27-$I27)/$K27)),IF($E27="XX",ABS((100*$H27)-((Data!Q27-$F27)*$G27)),"na")))</f>
        <v>75</v>
      </c>
      <c r="AE27" s="128">
        <f ca="1">IF($E27="WS",SUMPRODUCT(($C28:$C$33=$B27)*($Q28:$Q$33)*(AE28:AE$33)),IF($E27="MM",100*ABS(($H27-(Data!R27-$I27)/$K27)),IF($E27="XX",ABS((100*$H27)-((Data!R27-$F27)*$G27)),"na")))</f>
        <v>25</v>
      </c>
      <c r="AF27" s="128">
        <f ca="1">IF($E27="WS",SUMPRODUCT(($C28:$C$33=$B27)*($Q28:$Q$33)*(AF28:AF$33)),IF($E27="MM",100*ABS(($H27-(Data!S27-$I27)/$K27)),IF($E27="XX",ABS((100*$H27)-((Data!S27-$F27)*$G27)),"na")))</f>
        <v>50</v>
      </c>
      <c r="AG27" s="128">
        <f ca="1">IF($E27="WS",SUMPRODUCT(($C28:$C$33=$B27)*($Q28:$Q$33)*(AG28:AG$33)),IF($E27="MM",100*ABS(($H27-(Data!T27-$I27)/$K27)),IF($E27="XX",ABS((100*$H27)-((Data!T27-$F27)*$G27)),"na")))</f>
        <v>50</v>
      </c>
      <c r="AH27" s="128">
        <f ca="1">IF($E27="WS",SUMPRODUCT(($C28:$C$33=$B27)*($Q28:$Q$33)*(AH28:AH$33)),IF($E27="MM",100*ABS(($H27-(Data!U27-$I27)/$K27)),IF($E27="XX",ABS((100*$H27)-((Data!U27-$F27)*$G27)),"na")))</f>
        <v>75</v>
      </c>
      <c r="AI27" s="128">
        <f ca="1">IF($E27="WS",SUMPRODUCT(($C28:$C$33=$B27)*($Q28:$Q$33)*(AI28:AI$33)),IF($E27="MM",100*ABS(($H27-(Data!V27-$I27)/$K27)),IF($E27="XX",ABS((100*$H27)-((Data!V27-$F27)*$G27)),"na")))</f>
        <v>75</v>
      </c>
      <c r="AJ27" s="128">
        <f ca="1">IF($E27="WS",SUMPRODUCT(($C28:$C$33=$B27)*($Q28:$Q$33)*(AJ28:AJ$33)),IF($E27="MM",100*ABS(($H27-(Data!W27-$I27)/$K27)),IF($E27="XX",ABS((100*$H27)-((Data!W27-$F27)*$G27)),"na")))</f>
        <v>25</v>
      </c>
      <c r="AK27" s="128">
        <f ca="1">IF($E27="WS",SUMPRODUCT(($C28:$C$33=$B27)*($Q28:$Q$33)*(AK28:AK$33)),IF($E27="MM",100*ABS(($H27-(Data!X27-$I27)/$K27)),IF($E27="XX",ABS((100*$H27)-((Data!X27-$F27)*$G27)),"na")))</f>
        <v>25</v>
      </c>
      <c r="AL27" s="128"/>
    </row>
    <row r="28" spans="2:38">
      <c r="B28" s="9" t="str">
        <f ca="1">tblIndicators!A23</f>
        <v>FINC02</v>
      </c>
      <c r="C28" s="9" t="str">
        <f ca="1">tblIndicators!B23</f>
        <v>FINC</v>
      </c>
      <c r="D28" s="9">
        <f ca="1">tblIndicators!C23</f>
        <v>2</v>
      </c>
      <c r="E28" s="9" t="str">
        <f ca="1">tblIndicators!D23</f>
        <v>XX</v>
      </c>
      <c r="F28" s="9">
        <f ca="1">tblIndicators!E23</f>
        <v>0</v>
      </c>
      <c r="G28" s="9">
        <f ca="1">tblIndicators!F23</f>
        <v>25</v>
      </c>
      <c r="H28" s="9">
        <f ca="1">tblIndicators!G23</f>
        <v>0</v>
      </c>
      <c r="I28" s="16">
        <f ca="1">MIN(Data!F28:Y28)</f>
        <v>0</v>
      </c>
      <c r="J28" s="16">
        <f ca="1">MAX(Data!F28:Y28)</f>
        <v>4</v>
      </c>
      <c r="K28" s="16">
        <f t="shared" si="1"/>
        <v>4</v>
      </c>
      <c r="L28" s="9">
        <f ca="1">MATCH(B28,Weights!C$4:C$47,0)</f>
        <v>28</v>
      </c>
      <c r="M28" s="9">
        <f ca="1">INDEX(Weights!G$4:G$46,Scores!L28)</f>
        <v>1</v>
      </c>
      <c r="N28" s="17">
        <f t="shared" si="0"/>
        <v>0.33333333333333331</v>
      </c>
      <c r="O28" s="17"/>
      <c r="P28" s="19" t="str">
        <f ca="1">tblIndicators!H23</f>
        <v>Capital market: private infrastructure finance</v>
      </c>
      <c r="Q28" s="17">
        <f t="shared" si="2"/>
        <v>0.33333333333333331</v>
      </c>
      <c r="S28" s="128">
        <f ca="1">IF($E28="WS",SUMPRODUCT(($C29:$C$33=$B28)*($Q29:$Q$33)*(S29:S$33)),IF($E28="MM",100*ABS(($H28-(Data!F28-$I28)/$K28)),IF($E28="XX",ABS((100*$H28)-((Data!F28-$F28)*$G28)),"na")))</f>
        <v>25</v>
      </c>
      <c r="T28" s="128">
        <f ca="1">IF($E28="WS",SUMPRODUCT(($C29:$C$33=$B28)*($Q29:$Q$33)*(T29:T$33)),IF($E28="MM",100*ABS(($H28-(Data!G28-$I28)/$K28)),IF($E28="XX",ABS((100*$H28)-((Data!G28-$F28)*$G28)),"na")))</f>
        <v>75</v>
      </c>
      <c r="U28" s="128">
        <f ca="1">IF($E28="WS",SUMPRODUCT(($C29:$C$33=$B28)*($Q29:$Q$33)*(U29:U$33)),IF($E28="MM",100*ABS(($H28-(Data!H28-$I28)/$K28)),IF($E28="XX",ABS((100*$H28)-((Data!H28-$F28)*$G28)),"na")))</f>
        <v>100</v>
      </c>
      <c r="V28" s="128">
        <f ca="1">IF($E28="WS",SUMPRODUCT(($C29:$C$33=$B28)*($Q29:$Q$33)*(V29:V$33)),IF($E28="MM",100*ABS(($H28-(Data!I28-$I28)/$K28)),IF($E28="XX",ABS((100*$H28)-((Data!I28-$F28)*$G28)),"na")))</f>
        <v>50</v>
      </c>
      <c r="W28" s="128">
        <f ca="1">IF($E28="WS",SUMPRODUCT(($C29:$C$33=$B28)*($Q29:$Q$33)*(W29:W$33)),IF($E28="MM",100*ABS(($H28-(Data!J28-$I28)/$K28)),IF($E28="XX",ABS((100*$H28)-((Data!J28-$F28)*$G28)),"na")))</f>
        <v>50</v>
      </c>
      <c r="X28" s="128">
        <f ca="1">IF($E28="WS",SUMPRODUCT(($C29:$C$33=$B28)*($Q29:$Q$33)*(X29:X$33)),IF($E28="MM",100*ABS(($H28-(Data!K28-$I28)/$K28)),IF($E28="XX",ABS((100*$H28)-((Data!K28-$F28)*$G28)),"na")))</f>
        <v>25</v>
      </c>
      <c r="Y28" s="128">
        <f ca="1">IF($E28="WS",SUMPRODUCT(($C29:$C$33=$B28)*($Q29:$Q$33)*(Y29:Y$33)),IF($E28="MM",100*ABS(($H28-(Data!L28-$I28)/$K28)),IF($E28="XX",ABS((100*$H28)-((Data!L28-$F28)*$G28)),"na")))</f>
        <v>25</v>
      </c>
      <c r="Z28" s="128">
        <f ca="1">IF($E28="WS",SUMPRODUCT(($C29:$C$33=$B28)*($Q29:$Q$33)*(Z29:Z$33)),IF($E28="MM",100*ABS(($H28-(Data!M28-$I28)/$K28)),IF($E28="XX",ABS((100*$H28)-((Data!M28-$F28)*$G28)),"na")))</f>
        <v>50</v>
      </c>
      <c r="AA28" s="128">
        <f ca="1">IF($E28="WS",SUMPRODUCT(($C29:$C$33=$B28)*($Q29:$Q$33)*(AA29:AA$33)),IF($E28="MM",100*ABS(($H28-(Data!N28-$I28)/$K28)),IF($E28="XX",ABS((100*$H28)-((Data!N28-$F28)*$G28)),"na")))</f>
        <v>0</v>
      </c>
      <c r="AB28" s="128">
        <f ca="1">IF($E28="WS",SUMPRODUCT(($C29:$C$33=$B28)*($Q29:$Q$33)*(AB29:AB$33)),IF($E28="MM",100*ABS(($H28-(Data!O28-$I28)/$K28)),IF($E28="XX",ABS((100*$H28)-((Data!O28-$F28)*$G28)),"na")))</f>
        <v>0</v>
      </c>
      <c r="AC28" s="128">
        <f ca="1">IF($E28="WS",SUMPRODUCT(($C29:$C$33=$B28)*($Q29:$Q$33)*(AC29:AC$33)),IF($E28="MM",100*ABS(($H28-(Data!P28-$I28)/$K28)),IF($E28="XX",ABS((100*$H28)-((Data!P28-$F28)*$G28)),"na")))</f>
        <v>0</v>
      </c>
      <c r="AD28" s="128">
        <f ca="1">IF($E28="WS",SUMPRODUCT(($C29:$C$33=$B28)*($Q29:$Q$33)*(AD29:AD$33)),IF($E28="MM",100*ABS(($H28-(Data!Q28-$I28)/$K28)),IF($E28="XX",ABS((100*$H28)-((Data!Q28-$F28)*$G28)),"na")))</f>
        <v>75</v>
      </c>
      <c r="AE28" s="128">
        <f ca="1">IF($E28="WS",SUMPRODUCT(($C29:$C$33=$B28)*($Q29:$Q$33)*(AE29:AE$33)),IF($E28="MM",100*ABS(($H28-(Data!R28-$I28)/$K28)),IF($E28="XX",ABS((100*$H28)-((Data!R28-$F28)*$G28)),"na")))</f>
        <v>0</v>
      </c>
      <c r="AF28" s="128">
        <f ca="1">IF($E28="WS",SUMPRODUCT(($C29:$C$33=$B28)*($Q29:$Q$33)*(AF29:AF$33)),IF($E28="MM",100*ABS(($H28-(Data!S28-$I28)/$K28)),IF($E28="XX",ABS((100*$H28)-((Data!S28-$F28)*$G28)),"na")))</f>
        <v>50</v>
      </c>
      <c r="AG28" s="128">
        <f ca="1">IF($E28="WS",SUMPRODUCT(($C29:$C$33=$B28)*($Q29:$Q$33)*(AG29:AG$33)),IF($E28="MM",100*ABS(($H28-(Data!T28-$I28)/$K28)),IF($E28="XX",ABS((100*$H28)-((Data!T28-$F28)*$G28)),"na")))</f>
        <v>25</v>
      </c>
      <c r="AH28" s="128">
        <f ca="1">IF($E28="WS",SUMPRODUCT(($C29:$C$33=$B28)*($Q29:$Q$33)*(AH29:AH$33)),IF($E28="MM",100*ABS(($H28-(Data!U28-$I28)/$K28)),IF($E28="XX",ABS((100*$H28)-((Data!U28-$F28)*$G28)),"na")))</f>
        <v>50</v>
      </c>
      <c r="AI28" s="128">
        <f ca="1">IF($E28="WS",SUMPRODUCT(($C29:$C$33=$B28)*($Q29:$Q$33)*(AI29:AI$33)),IF($E28="MM",100*ABS(($H28-(Data!V28-$I28)/$K28)),IF($E28="XX",ABS((100*$H28)-((Data!V28-$F28)*$G28)),"na")))</f>
        <v>50</v>
      </c>
      <c r="AJ28" s="128">
        <f ca="1">IF($E28="WS",SUMPRODUCT(($C29:$C$33=$B28)*($Q29:$Q$33)*(AJ29:AJ$33)),IF($E28="MM",100*ABS(($H28-(Data!W28-$I28)/$K28)),IF($E28="XX",ABS((100*$H28)-((Data!W28-$F28)*$G28)),"na")))</f>
        <v>25</v>
      </c>
      <c r="AK28" s="128">
        <f ca="1">IF($E28="WS",SUMPRODUCT(($C29:$C$33=$B28)*($Q29:$Q$33)*(AK29:AK$33)),IF($E28="MM",100*ABS(($H28-(Data!X28-$I28)/$K28)),IF($E28="XX",ABS((100*$H28)-((Data!X28-$F28)*$G28)),"na")))</f>
        <v>25</v>
      </c>
      <c r="AL28" s="128"/>
    </row>
    <row r="29" spans="2:38">
      <c r="B29" s="9" t="str">
        <f ca="1">tblIndicators!A24</f>
        <v>FINC03</v>
      </c>
      <c r="C29" s="9" t="str">
        <f ca="1">tblIndicators!B24</f>
        <v>FINC</v>
      </c>
      <c r="D29" s="9">
        <f ca="1">tblIndicators!C24</f>
        <v>2</v>
      </c>
      <c r="E29" s="9" t="str">
        <f ca="1">tblIndicators!D24</f>
        <v>XX</v>
      </c>
      <c r="F29" s="9">
        <f ca="1">tblIndicators!E24</f>
        <v>0</v>
      </c>
      <c r="G29" s="9">
        <f ca="1">tblIndicators!F24</f>
        <v>25</v>
      </c>
      <c r="H29" s="9">
        <f ca="1">tblIndicators!G24</f>
        <v>0</v>
      </c>
      <c r="I29" s="16">
        <f ca="1">MIN(Data!F29:Y29)</f>
        <v>1</v>
      </c>
      <c r="J29" s="16">
        <f ca="1">MAX(Data!F29:Y29)</f>
        <v>4</v>
      </c>
      <c r="K29" s="16">
        <f t="shared" si="1"/>
        <v>3</v>
      </c>
      <c r="L29" s="9">
        <f ca="1">MATCH(B29,Weights!C$4:C$47,0)</f>
        <v>29</v>
      </c>
      <c r="M29" s="9">
        <f ca="1">INDEX(Weights!G$4:G$46,Scores!L29)</f>
        <v>0.5</v>
      </c>
      <c r="N29" s="17">
        <f t="shared" si="0"/>
        <v>0.16666666666666666</v>
      </c>
      <c r="O29" s="17"/>
      <c r="P29" s="19" t="str">
        <f ca="1">tblIndicators!H24</f>
        <v>Marketable debt</v>
      </c>
      <c r="Q29" s="17">
        <f t="shared" si="2"/>
        <v>0.16666666666666666</v>
      </c>
      <c r="S29" s="128">
        <f ca="1">IF($E29="WS",SUMPRODUCT(($C30:$C$33=$B29)*($Q30:$Q$33)*(S30:S$33)),IF($E29="MM",100*ABS(($H29-(Data!F29-$I29)/$K29)),IF($E29="XX",ABS((100*$H29)-((Data!F29-$F29)*$G29)),"na")))</f>
        <v>75</v>
      </c>
      <c r="T29" s="128">
        <f ca="1">IF($E29="WS",SUMPRODUCT(($C30:$C$33=$B29)*($Q30:$Q$33)*(T30:T$33)),IF($E29="MM",100*ABS(($H29-(Data!G29-$I29)/$K29)),IF($E29="XX",ABS((100*$H29)-((Data!G29-$F29)*$G29)),"na")))</f>
        <v>50</v>
      </c>
      <c r="U29" s="128">
        <f ca="1">IF($E29="WS",SUMPRODUCT(($C30:$C$33=$B29)*($Q30:$Q$33)*(U30:U$33)),IF($E29="MM",100*ABS(($H29-(Data!H29-$I29)/$K29)),IF($E29="XX",ABS((100*$H29)-((Data!H29-$F29)*$G29)),"na")))</f>
        <v>100</v>
      </c>
      <c r="V29" s="128">
        <f ca="1">IF($E29="WS",SUMPRODUCT(($C30:$C$33=$B29)*($Q30:$Q$33)*(V30:V$33)),IF($E29="MM",100*ABS(($H29-(Data!I29-$I29)/$K29)),IF($E29="XX",ABS((100*$H29)-((Data!I29-$F29)*$G29)),"na")))</f>
        <v>75</v>
      </c>
      <c r="W29" s="128">
        <f ca="1">IF($E29="WS",SUMPRODUCT(($C30:$C$33=$B29)*($Q30:$Q$33)*(W30:W$33)),IF($E29="MM",100*ABS(($H29-(Data!J29-$I29)/$K29)),IF($E29="XX",ABS((100*$H29)-((Data!J29-$F29)*$G29)),"na")))</f>
        <v>75</v>
      </c>
      <c r="X29" s="128">
        <f ca="1">IF($E29="WS",SUMPRODUCT(($C30:$C$33=$B29)*($Q30:$Q$33)*(X30:X$33)),IF($E29="MM",100*ABS(($H29-(Data!K29-$I29)/$K29)),IF($E29="XX",ABS((100*$H29)-((Data!K29-$F29)*$G29)),"na")))</f>
        <v>25</v>
      </c>
      <c r="Y29" s="128">
        <f ca="1">IF($E29="WS",SUMPRODUCT(($C30:$C$33=$B29)*($Q30:$Q$33)*(Y30:Y$33)),IF($E29="MM",100*ABS(($H29-(Data!L29-$I29)/$K29)),IF($E29="XX",ABS((100*$H29)-((Data!L29-$F29)*$G29)),"na")))</f>
        <v>25</v>
      </c>
      <c r="Z29" s="128">
        <f ca="1">IF($E29="WS",SUMPRODUCT(($C30:$C$33=$B29)*($Q30:$Q$33)*(Z30:Z$33)),IF($E29="MM",100*ABS(($H29-(Data!M29-$I29)/$K29)),IF($E29="XX",ABS((100*$H29)-((Data!M29-$F29)*$G29)),"na")))</f>
        <v>50</v>
      </c>
      <c r="AA29" s="128">
        <f ca="1">IF($E29="WS",SUMPRODUCT(($C30:$C$33=$B29)*($Q30:$Q$33)*(AA30:AA$33)),IF($E29="MM",100*ABS(($H29-(Data!N29-$I29)/$K29)),IF($E29="XX",ABS((100*$H29)-((Data!N29-$F29)*$G29)),"na")))</f>
        <v>25</v>
      </c>
      <c r="AB29" s="128">
        <f ca="1">IF($E29="WS",SUMPRODUCT(($C30:$C$33=$B29)*($Q30:$Q$33)*(AB30:AB$33)),IF($E29="MM",100*ABS(($H29-(Data!O29-$I29)/$K29)),IF($E29="XX",ABS((100*$H29)-((Data!O29-$F29)*$G29)),"na")))</f>
        <v>25</v>
      </c>
      <c r="AC29" s="128">
        <f ca="1">IF($E29="WS",SUMPRODUCT(($C30:$C$33=$B29)*($Q30:$Q$33)*(AC30:AC$33)),IF($E29="MM",100*ABS(($H29-(Data!P29-$I29)/$K29)),IF($E29="XX",ABS((100*$H29)-((Data!P29-$F29)*$G29)),"na")))</f>
        <v>50</v>
      </c>
      <c r="AD29" s="128">
        <f ca="1">IF($E29="WS",SUMPRODUCT(($C30:$C$33=$B29)*($Q30:$Q$33)*(AD30:AD$33)),IF($E29="MM",100*ABS(($H29-(Data!Q29-$I29)/$K29)),IF($E29="XX",ABS((100*$H29)-((Data!Q29-$F29)*$G29)),"na")))</f>
        <v>75</v>
      </c>
      <c r="AE29" s="128">
        <f ca="1">IF($E29="WS",SUMPRODUCT(($C30:$C$33=$B29)*($Q30:$Q$33)*(AE30:AE$33)),IF($E29="MM",100*ABS(($H29-(Data!R29-$I29)/$K29)),IF($E29="XX",ABS((100*$H29)-((Data!R29-$F29)*$G29)),"na")))</f>
        <v>25</v>
      </c>
      <c r="AF29" s="128">
        <f ca="1">IF($E29="WS",SUMPRODUCT(($C30:$C$33=$B29)*($Q30:$Q$33)*(AF30:AF$33)),IF($E29="MM",100*ABS(($H29-(Data!S29-$I29)/$K29)),IF($E29="XX",ABS((100*$H29)-((Data!S29-$F29)*$G29)),"na")))</f>
        <v>100</v>
      </c>
      <c r="AG29" s="128">
        <f ca="1">IF($E29="WS",SUMPRODUCT(($C30:$C$33=$B29)*($Q30:$Q$33)*(AG30:AG$33)),IF($E29="MM",100*ABS(($H29-(Data!T29-$I29)/$K29)),IF($E29="XX",ABS((100*$H29)-((Data!T29-$F29)*$G29)),"na")))</f>
        <v>25</v>
      </c>
      <c r="AH29" s="128">
        <f ca="1">IF($E29="WS",SUMPRODUCT(($C30:$C$33=$B29)*($Q30:$Q$33)*(AH30:AH$33)),IF($E29="MM",100*ABS(($H29-(Data!U29-$I29)/$K29)),IF($E29="XX",ABS((100*$H29)-((Data!U29-$F29)*$G29)),"na")))</f>
        <v>75</v>
      </c>
      <c r="AI29" s="128">
        <f ca="1">IF($E29="WS",SUMPRODUCT(($C30:$C$33=$B29)*($Q30:$Q$33)*(AI30:AI$33)),IF($E29="MM",100*ABS(($H29-(Data!V29-$I29)/$K29)),IF($E29="XX",ABS((100*$H29)-((Data!V29-$F29)*$G29)),"na")))</f>
        <v>75</v>
      </c>
      <c r="AJ29" s="128">
        <f ca="1">IF($E29="WS",SUMPRODUCT(($C30:$C$33=$B29)*($Q30:$Q$33)*(AJ30:AJ$33)),IF($E29="MM",100*ABS(($H29-(Data!W29-$I29)/$K29)),IF($E29="XX",ABS((100*$H29)-((Data!W29-$F29)*$G29)),"na")))</f>
        <v>25</v>
      </c>
      <c r="AK29" s="128">
        <f ca="1">IF($E29="WS",SUMPRODUCT(($C30:$C$33=$B29)*($Q30:$Q$33)*(AK30:AK$33)),IF($E29="MM",100*ABS(($H29-(Data!X29-$I29)/$K29)),IF($E29="XX",ABS((100*$H29)-((Data!X29-$F29)*$G29)),"na")))</f>
        <v>25</v>
      </c>
      <c r="AL29" s="128"/>
    </row>
    <row r="30" spans="2:38">
      <c r="B30" s="9" t="str">
        <f ca="1">tblIndicators!A25</f>
        <v>FINC04</v>
      </c>
      <c r="C30" s="9" t="str">
        <f ca="1">tblIndicators!B25</f>
        <v>FINC</v>
      </c>
      <c r="D30" s="9">
        <f ca="1">tblIndicators!C25</f>
        <v>2</v>
      </c>
      <c r="E30" s="9" t="str">
        <f ca="1">tblIndicators!D25</f>
        <v>XX</v>
      </c>
      <c r="F30" s="9">
        <f ca="1">tblIndicators!E25</f>
        <v>0</v>
      </c>
      <c r="G30" s="9">
        <f ca="1">tblIndicators!F25</f>
        <v>25</v>
      </c>
      <c r="H30" s="9">
        <f ca="1">tblIndicators!G25</f>
        <v>0</v>
      </c>
      <c r="I30" s="16">
        <f ca="1">MIN(Data!F30:Y30)</f>
        <v>0</v>
      </c>
      <c r="J30" s="16">
        <f ca="1">MAX(Data!F30:Y30)</f>
        <v>3</v>
      </c>
      <c r="K30" s="16">
        <f t="shared" si="1"/>
        <v>3</v>
      </c>
      <c r="L30" s="9">
        <f ca="1">MATCH(B30,Weights!C$4:C$47,0)</f>
        <v>30</v>
      </c>
      <c r="M30" s="9">
        <f ca="1">INDEX(Weights!G$4:G$46,Scores!L30)</f>
        <v>0.5</v>
      </c>
      <c r="N30" s="17">
        <f t="shared" si="0"/>
        <v>0.16666666666666666</v>
      </c>
      <c r="O30" s="17"/>
      <c r="P30" s="19" t="str">
        <f ca="1">tblIndicators!H25</f>
        <v>Government support for low income users</v>
      </c>
      <c r="Q30" s="17">
        <f t="shared" si="2"/>
        <v>0.16666666666666666</v>
      </c>
      <c r="S30" s="128">
        <f ca="1">IF($E30="WS",SUMPRODUCT(($C31:$C$33=$B30)*($Q31:$Q$33)*(S31:S$33)),IF($E30="MM",100*ABS(($H30-(Data!F30-$I30)/$K30)),IF($E30="XX",ABS((100*$H30)-((Data!F30-$F30)*$G30)),"na")))</f>
        <v>0</v>
      </c>
      <c r="T30" s="128">
        <f ca="1">IF($E30="WS",SUMPRODUCT(($C31:$C$33=$B30)*($Q31:$Q$33)*(T31:T$33)),IF($E30="MM",100*ABS(($H30-(Data!G30-$I30)/$K30)),IF($E30="XX",ABS((100*$H30)-((Data!G30-$F30)*$G30)),"na")))</f>
        <v>25</v>
      </c>
      <c r="U30" s="128">
        <f ca="1">IF($E30="WS",SUMPRODUCT(($C31:$C$33=$B30)*($Q31:$Q$33)*(U31:U$33)),IF($E30="MM",100*ABS(($H30-(Data!H30-$I30)/$K30)),IF($E30="XX",ABS((100*$H30)-((Data!H30-$F30)*$G30)),"na")))</f>
        <v>75</v>
      </c>
      <c r="V30" s="128">
        <f ca="1">IF($E30="WS",SUMPRODUCT(($C31:$C$33=$B30)*($Q31:$Q$33)*(V31:V$33)),IF($E30="MM",100*ABS(($H30-(Data!I30-$I30)/$K30)),IF($E30="XX",ABS((100*$H30)-((Data!I30-$F30)*$G30)),"na")))</f>
        <v>25</v>
      </c>
      <c r="W30" s="128">
        <f ca="1">IF($E30="WS",SUMPRODUCT(($C31:$C$33=$B30)*($Q31:$Q$33)*(W31:W$33)),IF($E30="MM",100*ABS(($H30-(Data!J30-$I30)/$K30)),IF($E30="XX",ABS((100*$H30)-((Data!J30-$F30)*$G30)),"na")))</f>
        <v>25</v>
      </c>
      <c r="X30" s="128">
        <f ca="1">IF($E30="WS",SUMPRODUCT(($C31:$C$33=$B30)*($Q31:$Q$33)*(X31:X$33)),IF($E30="MM",100*ABS(($H30-(Data!K30-$I30)/$K30)),IF($E30="XX",ABS((100*$H30)-((Data!K30-$F30)*$G30)),"na")))</f>
        <v>0</v>
      </c>
      <c r="Y30" s="128">
        <f ca="1">IF($E30="WS",SUMPRODUCT(($C31:$C$33=$B30)*($Q31:$Q$33)*(Y31:Y$33)),IF($E30="MM",100*ABS(($H30-(Data!L30-$I30)/$K30)),IF($E30="XX",ABS((100*$H30)-((Data!L30-$F30)*$G30)),"na")))</f>
        <v>25</v>
      </c>
      <c r="Z30" s="128">
        <f ca="1">IF($E30="WS",SUMPRODUCT(($C31:$C$33=$B30)*($Q31:$Q$33)*(Z31:Z$33)),IF($E30="MM",100*ABS(($H30-(Data!M30-$I30)/$K30)),IF($E30="XX",ABS((100*$H30)-((Data!M30-$F30)*$G30)),"na")))</f>
        <v>25</v>
      </c>
      <c r="AA30" s="128">
        <f ca="1">IF($E30="WS",SUMPRODUCT(($C31:$C$33=$B30)*($Q31:$Q$33)*(AA31:AA$33)),IF($E30="MM",100*ABS(($H30-(Data!N30-$I30)/$K30)),IF($E30="XX",ABS((100*$H30)-((Data!N30-$F30)*$G30)),"na")))</f>
        <v>25</v>
      </c>
      <c r="AB30" s="128">
        <f ca="1">IF($E30="WS",SUMPRODUCT(($C31:$C$33=$B30)*($Q31:$Q$33)*(AB31:AB$33)),IF($E30="MM",100*ABS(($H30-(Data!O30-$I30)/$K30)),IF($E30="XX",ABS((100*$H30)-((Data!O30-$F30)*$G30)),"na")))</f>
        <v>25</v>
      </c>
      <c r="AC30" s="128">
        <f ca="1">IF($E30="WS",SUMPRODUCT(($C31:$C$33=$B30)*($Q31:$Q$33)*(AC31:AC$33)),IF($E30="MM",100*ABS(($H30-(Data!P30-$I30)/$K30)),IF($E30="XX",ABS((100*$H30)-((Data!P30-$F30)*$G30)),"na")))</f>
        <v>25</v>
      </c>
      <c r="AD30" s="128">
        <f ca="1">IF($E30="WS",SUMPRODUCT(($C31:$C$33=$B30)*($Q31:$Q$33)*(AD31:AD$33)),IF($E30="MM",100*ABS(($H30-(Data!Q30-$I30)/$K30)),IF($E30="XX",ABS((100*$H30)-((Data!Q30-$F30)*$G30)),"na")))</f>
        <v>25</v>
      </c>
      <c r="AE30" s="128">
        <f ca="1">IF($E30="WS",SUMPRODUCT(($C31:$C$33=$B30)*($Q31:$Q$33)*(AE31:AE$33)),IF($E30="MM",100*ABS(($H30-(Data!R30-$I30)/$K30)),IF($E30="XX",ABS((100*$H30)-((Data!R30-$F30)*$G30)),"na")))</f>
        <v>0</v>
      </c>
      <c r="AF30" s="128">
        <f ca="1">IF($E30="WS",SUMPRODUCT(($C31:$C$33=$B30)*($Q31:$Q$33)*(AF31:AF$33)),IF($E30="MM",100*ABS(($H30-(Data!S30-$I30)/$K30)),IF($E30="XX",ABS((100*$H30)-((Data!S30-$F30)*$G30)),"na")))</f>
        <v>50</v>
      </c>
      <c r="AG30" s="128">
        <f ca="1">IF($E30="WS",SUMPRODUCT(($C31:$C$33=$B30)*($Q31:$Q$33)*(AG31:AG$33)),IF($E30="MM",100*ABS(($H30-(Data!T30-$I30)/$K30)),IF($E30="XX",ABS((100*$H30)-((Data!T30-$F30)*$G30)),"na")))</f>
        <v>50</v>
      </c>
      <c r="AH30" s="128">
        <f ca="1">IF($E30="WS",SUMPRODUCT(($C31:$C$33=$B30)*($Q31:$Q$33)*(AH31:AH$33)),IF($E30="MM",100*ABS(($H30-(Data!U30-$I30)/$K30)),IF($E30="XX",ABS((100*$H30)-((Data!U30-$F30)*$G30)),"na")))</f>
        <v>25</v>
      </c>
      <c r="AI30" s="128">
        <f ca="1">IF($E30="WS",SUMPRODUCT(($C31:$C$33=$B30)*($Q31:$Q$33)*(AI31:AI$33)),IF($E30="MM",100*ABS(($H30-(Data!V30-$I30)/$K30)),IF($E30="XX",ABS((100*$H30)-((Data!V30-$F30)*$G30)),"na")))</f>
        <v>25</v>
      </c>
      <c r="AJ30" s="128">
        <f ca="1">IF($E30="WS",SUMPRODUCT(($C31:$C$33=$B30)*($Q31:$Q$33)*(AJ31:AJ$33)),IF($E30="MM",100*ABS(($H30-(Data!W30-$I30)/$K30)),IF($E30="XX",ABS((100*$H30)-((Data!W30-$F30)*$G30)),"na")))</f>
        <v>0</v>
      </c>
      <c r="AK30" s="128">
        <f ca="1">IF($E30="WS",SUMPRODUCT(($C31:$C$33=$B30)*($Q31:$Q$33)*(AK31:AK$33)),IF($E30="MM",100*ABS(($H30-(Data!X30-$I30)/$K30)),IF($E30="XX",ABS((100*$H30)-((Data!X30-$F30)*$G30)),"na")))</f>
        <v>50</v>
      </c>
      <c r="AL30" s="128"/>
    </row>
    <row r="31" spans="2:38">
      <c r="I31" s="16"/>
      <c r="J31" s="16"/>
      <c r="K31" s="16"/>
      <c r="N31" s="17"/>
      <c r="O31" s="17"/>
      <c r="P31" s="19"/>
      <c r="Q31" s="17"/>
      <c r="S31" s="128"/>
      <c r="T31" s="128"/>
      <c r="U31" s="128"/>
      <c r="V31" s="128"/>
      <c r="W31" s="128"/>
      <c r="X31" s="128"/>
      <c r="Y31" s="128"/>
      <c r="Z31" s="128"/>
      <c r="AA31" s="128"/>
      <c r="AB31" s="128"/>
      <c r="AC31" s="128"/>
      <c r="AD31" s="128"/>
      <c r="AE31" s="128"/>
      <c r="AF31" s="128"/>
      <c r="AG31" s="128"/>
      <c r="AH31" s="128"/>
      <c r="AI31" s="128"/>
      <c r="AJ31" s="128"/>
      <c r="AK31" s="128"/>
      <c r="AL31" s="128"/>
    </row>
    <row r="32" spans="2:38">
      <c r="I32" s="16"/>
      <c r="J32" s="16"/>
      <c r="K32" s="16"/>
      <c r="N32" s="17"/>
      <c r="O32" s="17"/>
      <c r="P32" s="19"/>
      <c r="Q32" s="17"/>
      <c r="S32" s="128"/>
      <c r="T32" s="128"/>
      <c r="U32" s="128"/>
      <c r="V32" s="128"/>
      <c r="W32" s="128"/>
      <c r="X32" s="128"/>
      <c r="Y32" s="128"/>
      <c r="Z32" s="128"/>
      <c r="AA32" s="128"/>
      <c r="AB32" s="128"/>
      <c r="AC32" s="128"/>
      <c r="AD32" s="128"/>
      <c r="AE32" s="128"/>
      <c r="AF32" s="128"/>
      <c r="AG32" s="128"/>
      <c r="AH32" s="128"/>
      <c r="AI32" s="128"/>
      <c r="AJ32" s="128"/>
      <c r="AK32" s="128"/>
      <c r="AL32" s="128"/>
    </row>
    <row r="33" spans="9:38">
      <c r="I33" s="16"/>
      <c r="J33" s="16"/>
      <c r="K33" s="16"/>
      <c r="N33" s="17"/>
      <c r="O33" s="17"/>
      <c r="P33" s="19"/>
      <c r="Q33" s="17"/>
      <c r="S33" s="128"/>
      <c r="T33" s="128"/>
      <c r="U33" s="128"/>
      <c r="V33" s="128"/>
      <c r="W33" s="128"/>
      <c r="X33" s="128"/>
      <c r="Y33" s="128"/>
      <c r="Z33" s="128"/>
      <c r="AA33" s="128"/>
      <c r="AB33" s="128"/>
      <c r="AC33" s="128"/>
      <c r="AD33" s="128"/>
      <c r="AE33" s="128"/>
      <c r="AF33" s="128"/>
      <c r="AG33" s="128"/>
      <c r="AH33" s="128"/>
      <c r="AI33" s="128"/>
      <c r="AJ33" s="128"/>
      <c r="AK33" s="128"/>
      <c r="AL33" s="128"/>
    </row>
    <row r="34" spans="9:38">
      <c r="I34" s="16"/>
      <c r="J34" s="16"/>
      <c r="K34" s="16"/>
      <c r="N34" s="17"/>
      <c r="O34" s="17"/>
      <c r="P34" s="19"/>
      <c r="Q34" s="17"/>
      <c r="S34" s="128"/>
      <c r="T34" s="128"/>
      <c r="U34" s="128"/>
      <c r="V34" s="128"/>
      <c r="W34" s="128"/>
      <c r="X34" s="128"/>
      <c r="Y34" s="128"/>
      <c r="Z34" s="128"/>
      <c r="AA34" s="128"/>
      <c r="AB34" s="128"/>
      <c r="AC34" s="128"/>
      <c r="AD34" s="128"/>
      <c r="AE34" s="128"/>
      <c r="AF34" s="128"/>
      <c r="AG34" s="128"/>
      <c r="AH34" s="128"/>
      <c r="AI34" s="128"/>
      <c r="AJ34" s="128"/>
      <c r="AK34" s="128"/>
      <c r="AL34" s="128"/>
    </row>
    <row r="35" spans="9:38">
      <c r="I35" s="16"/>
      <c r="J35" s="16"/>
      <c r="K35" s="16"/>
      <c r="N35" s="17"/>
      <c r="O35" s="17"/>
      <c r="P35" s="19"/>
      <c r="Q35" s="17"/>
      <c r="S35" s="128"/>
      <c r="T35" s="128"/>
      <c r="U35" s="128"/>
      <c r="V35" s="128"/>
      <c r="W35" s="128"/>
      <c r="X35" s="128"/>
      <c r="Y35" s="128"/>
      <c r="Z35" s="128"/>
      <c r="AA35" s="128"/>
      <c r="AB35" s="128"/>
      <c r="AC35" s="128"/>
      <c r="AD35" s="128"/>
      <c r="AE35" s="128"/>
      <c r="AF35" s="128"/>
      <c r="AG35" s="128"/>
      <c r="AH35" s="128"/>
      <c r="AI35" s="128"/>
      <c r="AJ35" s="128"/>
      <c r="AK35" s="128"/>
      <c r="AL35" s="128"/>
    </row>
    <row r="36" spans="9:38">
      <c r="I36" s="16"/>
      <c r="J36" s="16"/>
      <c r="K36" s="16"/>
      <c r="N36" s="17"/>
      <c r="O36" s="17"/>
      <c r="P36" s="19"/>
      <c r="Q36" s="17"/>
      <c r="S36" s="128"/>
      <c r="T36" s="128"/>
      <c r="U36" s="128"/>
      <c r="V36" s="128"/>
      <c r="W36" s="128"/>
      <c r="X36" s="128"/>
      <c r="Y36" s="128"/>
      <c r="Z36" s="128"/>
      <c r="AA36" s="128"/>
      <c r="AB36" s="128"/>
      <c r="AC36" s="128"/>
      <c r="AD36" s="128"/>
      <c r="AE36" s="128"/>
      <c r="AF36" s="128"/>
      <c r="AG36" s="128"/>
      <c r="AH36" s="128"/>
      <c r="AI36" s="128"/>
      <c r="AJ36" s="128"/>
      <c r="AK36" s="128"/>
      <c r="AL36" s="128"/>
    </row>
    <row r="37" spans="9:38">
      <c r="I37" s="16"/>
      <c r="J37" s="16"/>
      <c r="K37" s="16"/>
      <c r="N37" s="17"/>
      <c r="O37" s="17"/>
      <c r="P37" s="19"/>
      <c r="Q37" s="17"/>
      <c r="S37" s="128"/>
      <c r="T37" s="128"/>
      <c r="U37" s="128"/>
      <c r="V37" s="128"/>
      <c r="W37" s="128"/>
      <c r="X37" s="128"/>
      <c r="Y37" s="128"/>
      <c r="Z37" s="128"/>
      <c r="AA37" s="128"/>
      <c r="AB37" s="128"/>
      <c r="AC37" s="128"/>
      <c r="AD37" s="128"/>
      <c r="AE37" s="128"/>
      <c r="AF37" s="128"/>
      <c r="AG37" s="128"/>
      <c r="AH37" s="128"/>
      <c r="AI37" s="128"/>
      <c r="AJ37" s="128"/>
      <c r="AK37" s="128"/>
      <c r="AL37" s="128"/>
    </row>
    <row r="38" spans="9:38">
      <c r="I38" s="16"/>
      <c r="J38" s="16"/>
      <c r="K38" s="16"/>
      <c r="N38" s="17"/>
      <c r="O38" s="17"/>
      <c r="P38" s="19"/>
      <c r="Q38" s="17"/>
      <c r="S38" s="128"/>
      <c r="T38" s="128"/>
      <c r="U38" s="128"/>
      <c r="V38" s="128"/>
      <c r="W38" s="128"/>
      <c r="X38" s="128"/>
      <c r="Y38" s="128"/>
      <c r="Z38" s="128"/>
      <c r="AA38" s="128"/>
      <c r="AB38" s="128"/>
      <c r="AC38" s="128"/>
      <c r="AD38" s="128"/>
      <c r="AE38" s="128"/>
      <c r="AF38" s="128"/>
      <c r="AG38" s="128"/>
      <c r="AH38" s="128"/>
      <c r="AI38" s="128"/>
      <c r="AJ38" s="128"/>
      <c r="AK38" s="128"/>
      <c r="AL38" s="128"/>
    </row>
    <row r="39" spans="9:38">
      <c r="I39" s="16"/>
      <c r="J39" s="16"/>
      <c r="K39" s="16"/>
      <c r="N39" s="17"/>
      <c r="O39" s="17"/>
      <c r="P39" s="19"/>
      <c r="Q39" s="17"/>
      <c r="S39" s="128"/>
      <c r="T39" s="128"/>
      <c r="U39" s="128"/>
      <c r="V39" s="128"/>
      <c r="W39" s="128"/>
      <c r="X39" s="128"/>
      <c r="Y39" s="128"/>
      <c r="Z39" s="128"/>
      <c r="AA39" s="128"/>
      <c r="AB39" s="128"/>
      <c r="AC39" s="128"/>
      <c r="AD39" s="128"/>
      <c r="AE39" s="128"/>
      <c r="AF39" s="128"/>
      <c r="AG39" s="128"/>
      <c r="AH39" s="128"/>
      <c r="AI39" s="128"/>
      <c r="AJ39" s="128"/>
      <c r="AK39" s="128"/>
      <c r="AL39" s="128"/>
    </row>
    <row r="40" spans="9:38">
      <c r="I40" s="16"/>
      <c r="J40" s="16"/>
      <c r="K40" s="16"/>
      <c r="N40" s="17"/>
      <c r="O40" s="17"/>
      <c r="P40" s="19"/>
      <c r="Q40" s="17"/>
      <c r="S40" s="128"/>
      <c r="T40" s="128"/>
      <c r="U40" s="128"/>
      <c r="V40" s="128"/>
      <c r="W40" s="128"/>
      <c r="X40" s="128"/>
      <c r="Y40" s="128"/>
      <c r="Z40" s="128"/>
      <c r="AA40" s="128"/>
      <c r="AB40" s="128"/>
      <c r="AC40" s="128"/>
      <c r="AD40" s="128"/>
      <c r="AE40" s="128"/>
      <c r="AF40" s="128"/>
      <c r="AG40" s="128"/>
      <c r="AH40" s="128"/>
      <c r="AI40" s="128"/>
      <c r="AJ40" s="128"/>
      <c r="AK40" s="128"/>
      <c r="AL40" s="128"/>
    </row>
    <row r="41" spans="9:38">
      <c r="I41" s="16"/>
      <c r="J41" s="16"/>
      <c r="K41" s="16"/>
      <c r="N41" s="17"/>
      <c r="O41" s="17"/>
      <c r="P41" s="19"/>
      <c r="Q41" s="17"/>
      <c r="S41" s="128"/>
      <c r="T41" s="128"/>
      <c r="U41" s="128"/>
      <c r="V41" s="128"/>
      <c r="W41" s="128"/>
      <c r="X41" s="128"/>
      <c r="Y41" s="128"/>
      <c r="Z41" s="128"/>
      <c r="AA41" s="128"/>
      <c r="AB41" s="128"/>
      <c r="AC41" s="128"/>
      <c r="AD41" s="128"/>
      <c r="AE41" s="128"/>
      <c r="AF41" s="128"/>
      <c r="AG41" s="128"/>
      <c r="AH41" s="128"/>
      <c r="AI41" s="128"/>
      <c r="AJ41" s="128"/>
      <c r="AK41" s="128"/>
      <c r="AL41" s="128"/>
    </row>
    <row r="42" spans="9:38">
      <c r="I42" s="16"/>
      <c r="J42" s="16"/>
      <c r="K42" s="16"/>
      <c r="N42" s="17"/>
      <c r="O42" s="17"/>
      <c r="P42" s="19"/>
      <c r="Q42" s="17"/>
      <c r="S42" s="128"/>
      <c r="T42" s="128"/>
      <c r="U42" s="128"/>
      <c r="V42" s="128"/>
      <c r="W42" s="128"/>
      <c r="X42" s="128"/>
      <c r="Y42" s="128"/>
      <c r="Z42" s="128"/>
      <c r="AA42" s="128"/>
      <c r="AB42" s="128"/>
      <c r="AC42" s="128"/>
      <c r="AD42" s="128"/>
      <c r="AE42" s="128"/>
      <c r="AF42" s="128"/>
      <c r="AG42" s="128"/>
      <c r="AH42" s="128"/>
      <c r="AI42" s="128"/>
      <c r="AJ42" s="128"/>
      <c r="AK42" s="128"/>
      <c r="AL42" s="128"/>
    </row>
    <row r="43" spans="9:38">
      <c r="I43" s="16"/>
      <c r="J43" s="16"/>
      <c r="K43" s="16"/>
      <c r="N43" s="17"/>
      <c r="O43" s="17"/>
      <c r="P43" s="19"/>
      <c r="Q43" s="17"/>
      <c r="S43" s="128"/>
      <c r="T43" s="128"/>
      <c r="U43" s="128"/>
      <c r="V43" s="128"/>
      <c r="W43" s="128"/>
      <c r="X43" s="128"/>
      <c r="Y43" s="128"/>
      <c r="Z43" s="128"/>
      <c r="AA43" s="128"/>
      <c r="AB43" s="128"/>
      <c r="AC43" s="128"/>
      <c r="AD43" s="128"/>
      <c r="AE43" s="128"/>
      <c r="AF43" s="128"/>
      <c r="AG43" s="128"/>
      <c r="AH43" s="128"/>
      <c r="AI43" s="128"/>
      <c r="AJ43" s="128"/>
      <c r="AK43" s="128"/>
      <c r="AL43" s="128"/>
    </row>
    <row r="44" spans="9:38">
      <c r="I44" s="16"/>
      <c r="J44" s="16"/>
      <c r="K44" s="16"/>
      <c r="N44" s="17"/>
      <c r="O44" s="17"/>
      <c r="P44" s="19"/>
      <c r="Q44" s="17"/>
      <c r="S44" s="128"/>
      <c r="T44" s="128"/>
      <c r="U44" s="128"/>
      <c r="V44" s="128"/>
      <c r="W44" s="128"/>
      <c r="X44" s="128"/>
      <c r="Y44" s="128"/>
      <c r="Z44" s="128"/>
      <c r="AA44" s="128"/>
      <c r="AB44" s="128"/>
      <c r="AC44" s="128"/>
      <c r="AD44" s="128"/>
      <c r="AE44" s="128"/>
      <c r="AF44" s="128"/>
      <c r="AG44" s="128"/>
      <c r="AH44" s="128"/>
      <c r="AI44" s="128"/>
      <c r="AJ44" s="128"/>
      <c r="AK44" s="128"/>
      <c r="AL44" s="128"/>
    </row>
    <row r="45" spans="9:38">
      <c r="I45" s="16"/>
      <c r="J45" s="16"/>
      <c r="K45" s="16"/>
      <c r="N45" s="17"/>
      <c r="O45" s="17"/>
      <c r="P45" s="19"/>
      <c r="Q45" s="17"/>
      <c r="S45" s="128"/>
      <c r="T45" s="128"/>
      <c r="U45" s="128"/>
      <c r="V45" s="128"/>
      <c r="W45" s="128"/>
      <c r="X45" s="128"/>
      <c r="Y45" s="128"/>
      <c r="Z45" s="128"/>
      <c r="AA45" s="128"/>
      <c r="AB45" s="128"/>
      <c r="AC45" s="128"/>
      <c r="AD45" s="128"/>
      <c r="AE45" s="128"/>
      <c r="AF45" s="128"/>
      <c r="AG45" s="128"/>
      <c r="AH45" s="128"/>
      <c r="AI45" s="128"/>
      <c r="AJ45" s="128"/>
      <c r="AK45" s="128"/>
      <c r="AL45" s="128"/>
    </row>
    <row r="46" spans="9:38">
      <c r="I46" s="16"/>
      <c r="J46" s="16"/>
      <c r="K46" s="16"/>
      <c r="N46" s="17"/>
      <c r="O46" s="17"/>
      <c r="P46" s="19"/>
      <c r="Q46" s="17"/>
      <c r="S46" s="128"/>
      <c r="T46" s="128"/>
      <c r="U46" s="128"/>
      <c r="V46" s="128"/>
      <c r="W46" s="128"/>
      <c r="X46" s="128"/>
      <c r="Y46" s="128"/>
      <c r="Z46" s="128"/>
      <c r="AA46" s="128"/>
      <c r="AB46" s="128"/>
      <c r="AC46" s="128"/>
      <c r="AD46" s="128"/>
      <c r="AE46" s="128"/>
      <c r="AF46" s="128"/>
      <c r="AG46" s="128"/>
      <c r="AH46" s="128"/>
      <c r="AI46" s="128"/>
      <c r="AJ46" s="128"/>
      <c r="AK46" s="128"/>
      <c r="AL46" s="128"/>
    </row>
    <row r="47" spans="9:38">
      <c r="I47" s="16"/>
      <c r="J47" s="16"/>
      <c r="K47" s="16"/>
      <c r="N47" s="17"/>
      <c r="O47" s="17"/>
      <c r="P47" s="19"/>
      <c r="Q47" s="17"/>
      <c r="S47" s="128"/>
      <c r="T47" s="128"/>
      <c r="U47" s="128"/>
      <c r="V47" s="128"/>
      <c r="W47" s="128"/>
      <c r="X47" s="128"/>
      <c r="Y47" s="128"/>
      <c r="Z47" s="128"/>
      <c r="AA47" s="128"/>
      <c r="AB47" s="128"/>
      <c r="AC47" s="128"/>
      <c r="AD47" s="128"/>
      <c r="AE47" s="128"/>
      <c r="AF47" s="128"/>
      <c r="AG47" s="128"/>
      <c r="AH47" s="128"/>
      <c r="AI47" s="128"/>
      <c r="AJ47" s="128"/>
      <c r="AK47" s="128"/>
      <c r="AL47" s="128"/>
    </row>
    <row r="48" spans="9:38">
      <c r="I48" s="16"/>
      <c r="J48" s="16"/>
      <c r="K48" s="16"/>
      <c r="N48" s="17"/>
      <c r="O48" s="17"/>
      <c r="P48" s="19"/>
      <c r="Q48" s="17"/>
      <c r="S48" s="128"/>
      <c r="T48" s="128"/>
      <c r="U48" s="128"/>
      <c r="V48" s="128"/>
      <c r="W48" s="128"/>
      <c r="X48" s="128"/>
      <c r="Y48" s="128"/>
      <c r="Z48" s="128"/>
      <c r="AA48" s="128"/>
      <c r="AB48" s="128"/>
      <c r="AC48" s="128"/>
      <c r="AD48" s="128"/>
      <c r="AE48" s="128"/>
      <c r="AF48" s="128"/>
      <c r="AG48" s="128"/>
      <c r="AH48" s="128"/>
      <c r="AI48" s="128"/>
      <c r="AJ48" s="128"/>
      <c r="AK48" s="128"/>
      <c r="AL48" s="128"/>
    </row>
    <row r="49" spans="9:38">
      <c r="I49" s="16"/>
      <c r="J49" s="16"/>
      <c r="K49" s="16"/>
      <c r="N49" s="17"/>
      <c r="O49" s="17"/>
      <c r="P49" s="19"/>
      <c r="Q49" s="17"/>
      <c r="S49" s="128"/>
      <c r="T49" s="128"/>
      <c r="U49" s="128"/>
      <c r="V49" s="128"/>
      <c r="W49" s="128"/>
      <c r="X49" s="128"/>
      <c r="Y49" s="128"/>
      <c r="Z49" s="128"/>
      <c r="AA49" s="128"/>
      <c r="AB49" s="128"/>
      <c r="AC49" s="128"/>
      <c r="AD49" s="128"/>
      <c r="AE49" s="128"/>
      <c r="AF49" s="128"/>
      <c r="AG49" s="128"/>
      <c r="AH49" s="128"/>
      <c r="AI49" s="128"/>
      <c r="AJ49" s="128"/>
      <c r="AK49" s="128"/>
      <c r="AL49" s="128"/>
    </row>
    <row r="50" spans="9:38">
      <c r="I50" s="16"/>
      <c r="J50" s="16"/>
      <c r="K50" s="16"/>
      <c r="N50" s="17"/>
      <c r="O50" s="17"/>
      <c r="P50" s="19"/>
      <c r="Q50" s="17"/>
      <c r="S50" s="128"/>
      <c r="T50" s="128"/>
      <c r="U50" s="128"/>
      <c r="V50" s="128"/>
      <c r="W50" s="128"/>
      <c r="X50" s="128"/>
      <c r="Y50" s="128"/>
      <c r="Z50" s="128"/>
      <c r="AA50" s="128"/>
      <c r="AB50" s="128"/>
      <c r="AC50" s="128"/>
      <c r="AD50" s="128"/>
      <c r="AE50" s="128"/>
      <c r="AF50" s="128"/>
      <c r="AG50" s="128"/>
      <c r="AH50" s="128"/>
      <c r="AI50" s="128"/>
      <c r="AJ50" s="128"/>
      <c r="AK50" s="128"/>
      <c r="AL50" s="128"/>
    </row>
    <row r="51" spans="9:38">
      <c r="I51" s="16"/>
      <c r="J51" s="16"/>
      <c r="K51" s="16"/>
      <c r="N51" s="17"/>
      <c r="O51" s="17"/>
      <c r="P51" s="19"/>
      <c r="S51" s="99"/>
      <c r="T51" s="99"/>
      <c r="U51" s="99"/>
      <c r="V51" s="99"/>
      <c r="W51" s="99"/>
      <c r="X51" s="99"/>
      <c r="Y51" s="99"/>
      <c r="Z51" s="99"/>
      <c r="AA51" s="99"/>
      <c r="AB51" s="99"/>
      <c r="AC51" s="99"/>
      <c r="AD51" s="99"/>
      <c r="AE51" s="99"/>
      <c r="AF51" s="99"/>
      <c r="AG51" s="99"/>
      <c r="AH51" s="99"/>
      <c r="AI51" s="99"/>
      <c r="AJ51" s="99"/>
      <c r="AK51" s="99"/>
      <c r="AL51" s="99"/>
    </row>
    <row r="52" spans="9:38">
      <c r="I52" s="16"/>
      <c r="J52" s="16"/>
      <c r="K52" s="16"/>
      <c r="N52" s="17"/>
      <c r="O52" s="17"/>
      <c r="P52" s="19"/>
      <c r="S52" s="99"/>
      <c r="T52" s="99"/>
      <c r="U52" s="99"/>
      <c r="V52" s="99"/>
      <c r="W52" s="99"/>
      <c r="X52" s="99"/>
      <c r="Y52" s="99"/>
      <c r="Z52" s="99"/>
      <c r="AA52" s="99"/>
      <c r="AB52" s="99"/>
      <c r="AC52" s="99"/>
      <c r="AD52" s="99"/>
      <c r="AE52" s="99"/>
      <c r="AF52" s="99"/>
      <c r="AG52" s="99"/>
      <c r="AH52" s="99"/>
      <c r="AI52" s="99"/>
      <c r="AJ52" s="99"/>
      <c r="AK52" s="99"/>
      <c r="AL52" s="99"/>
    </row>
    <row r="53" spans="9:38">
      <c r="I53" s="16"/>
      <c r="J53" s="16"/>
      <c r="K53" s="16"/>
      <c r="N53" s="17"/>
      <c r="O53" s="17"/>
      <c r="P53" s="19"/>
      <c r="S53" s="99"/>
      <c r="T53" s="99"/>
      <c r="U53" s="99"/>
      <c r="V53" s="99"/>
      <c r="W53" s="99"/>
      <c r="X53" s="99"/>
      <c r="Y53" s="99"/>
      <c r="Z53" s="99"/>
      <c r="AA53" s="99"/>
      <c r="AB53" s="99"/>
      <c r="AC53" s="99"/>
      <c r="AD53" s="99"/>
      <c r="AE53" s="99"/>
      <c r="AF53" s="99"/>
      <c r="AG53" s="99"/>
      <c r="AH53" s="99"/>
      <c r="AI53" s="99"/>
      <c r="AJ53" s="99"/>
      <c r="AK53" s="99"/>
      <c r="AL53" s="99"/>
    </row>
    <row r="54" spans="9:38">
      <c r="I54" s="16"/>
      <c r="J54" s="16"/>
      <c r="K54" s="16"/>
      <c r="N54" s="17"/>
      <c r="O54" s="17"/>
      <c r="P54" s="19"/>
      <c r="S54" s="99"/>
      <c r="T54" s="99"/>
      <c r="U54" s="99"/>
      <c r="V54" s="99"/>
      <c r="W54" s="99"/>
      <c r="X54" s="99"/>
      <c r="Y54" s="99"/>
      <c r="Z54" s="99"/>
      <c r="AA54" s="99"/>
      <c r="AB54" s="99"/>
      <c r="AC54" s="99"/>
      <c r="AD54" s="99"/>
      <c r="AE54" s="99"/>
      <c r="AF54" s="99"/>
      <c r="AG54" s="99"/>
      <c r="AH54" s="99"/>
      <c r="AI54" s="99"/>
      <c r="AJ54" s="99"/>
      <c r="AK54" s="99"/>
      <c r="AL54" s="99"/>
    </row>
    <row r="55" spans="9:38">
      <c r="I55" s="16"/>
      <c r="J55" s="16"/>
      <c r="K55" s="16"/>
      <c r="N55" s="17"/>
      <c r="O55" s="17"/>
      <c r="P55" s="19"/>
      <c r="S55" s="99"/>
      <c r="T55" s="99"/>
      <c r="U55" s="99"/>
      <c r="V55" s="99"/>
      <c r="W55" s="99"/>
      <c r="X55" s="99"/>
      <c r="Y55" s="99"/>
      <c r="Z55" s="99"/>
      <c r="AA55" s="99"/>
      <c r="AB55" s="99"/>
      <c r="AC55" s="99"/>
      <c r="AD55" s="99"/>
      <c r="AE55" s="99"/>
      <c r="AF55" s="99"/>
      <c r="AG55" s="99"/>
      <c r="AH55" s="99"/>
      <c r="AI55" s="99"/>
      <c r="AJ55" s="99"/>
      <c r="AK55" s="99"/>
      <c r="AL55" s="99"/>
    </row>
    <row r="56" spans="9:38" ht="24.75" customHeight="1">
      <c r="I56" s="16"/>
      <c r="J56" s="16"/>
      <c r="K56" s="16"/>
      <c r="N56" s="17"/>
      <c r="O56" s="17"/>
      <c r="P56" s="19"/>
      <c r="S56" s="99"/>
      <c r="T56" s="99"/>
      <c r="U56" s="99"/>
      <c r="V56" s="99"/>
      <c r="W56" s="99"/>
      <c r="X56" s="99"/>
      <c r="Y56" s="99"/>
      <c r="Z56" s="99"/>
      <c r="AA56" s="99"/>
      <c r="AB56" s="99"/>
      <c r="AC56" s="99"/>
      <c r="AD56" s="99"/>
      <c r="AE56" s="99"/>
      <c r="AF56" s="99"/>
      <c r="AG56" s="99"/>
      <c r="AH56" s="99"/>
      <c r="AI56" s="99"/>
      <c r="AJ56" s="99"/>
      <c r="AK56" s="99"/>
      <c r="AL56" s="99"/>
    </row>
    <row r="57" spans="9:38">
      <c r="I57" s="16"/>
      <c r="J57" s="16"/>
      <c r="K57" s="16"/>
      <c r="N57" s="17"/>
      <c r="O57" s="17"/>
      <c r="P57" s="19"/>
      <c r="S57" s="99"/>
      <c r="T57" s="99"/>
      <c r="U57" s="99"/>
      <c r="V57" s="99"/>
      <c r="W57" s="99"/>
      <c r="X57" s="99"/>
      <c r="Y57" s="99"/>
      <c r="Z57" s="99"/>
      <c r="AA57" s="99"/>
      <c r="AB57" s="99"/>
      <c r="AC57" s="99"/>
      <c r="AD57" s="99"/>
      <c r="AE57" s="99"/>
      <c r="AF57" s="99"/>
      <c r="AG57" s="99"/>
      <c r="AH57" s="99"/>
      <c r="AI57" s="99"/>
      <c r="AJ57" s="99"/>
      <c r="AK57" s="99"/>
      <c r="AL57" s="99"/>
    </row>
    <row r="58" spans="9:38">
      <c r="I58" s="16"/>
      <c r="J58" s="16"/>
      <c r="K58" s="16"/>
      <c r="N58" s="17"/>
      <c r="O58" s="17"/>
      <c r="P58" s="19"/>
      <c r="S58" s="99"/>
      <c r="T58" s="99"/>
      <c r="U58" s="99"/>
      <c r="V58" s="99"/>
      <c r="W58" s="99"/>
      <c r="X58" s="99"/>
      <c r="Y58" s="99"/>
      <c r="Z58" s="99"/>
      <c r="AA58" s="99"/>
      <c r="AB58" s="99"/>
      <c r="AC58" s="99"/>
      <c r="AD58" s="99"/>
      <c r="AE58" s="99"/>
      <c r="AF58" s="99"/>
      <c r="AG58" s="99"/>
      <c r="AH58" s="99"/>
      <c r="AI58" s="99"/>
      <c r="AJ58" s="99"/>
      <c r="AK58" s="99"/>
      <c r="AL58" s="99"/>
    </row>
    <row r="59" spans="9:38">
      <c r="I59" s="16"/>
      <c r="J59" s="16"/>
      <c r="K59" s="16"/>
      <c r="N59" s="17"/>
      <c r="O59" s="17"/>
      <c r="P59" s="19"/>
      <c r="S59" s="99"/>
      <c r="T59" s="99"/>
      <c r="U59" s="99"/>
      <c r="V59" s="99"/>
      <c r="W59" s="99"/>
      <c r="X59" s="99"/>
      <c r="Y59" s="99"/>
      <c r="Z59" s="99"/>
      <c r="AA59" s="99"/>
      <c r="AB59" s="99"/>
      <c r="AC59" s="99"/>
      <c r="AD59" s="99"/>
      <c r="AE59" s="99"/>
      <c r="AF59" s="99"/>
      <c r="AG59" s="99"/>
      <c r="AH59" s="99"/>
      <c r="AI59" s="99"/>
      <c r="AJ59" s="99"/>
      <c r="AK59" s="99"/>
      <c r="AL59" s="99"/>
    </row>
    <row r="60" spans="9:38">
      <c r="I60" s="16"/>
      <c r="J60" s="16"/>
      <c r="K60" s="16"/>
      <c r="N60" s="17"/>
      <c r="O60" s="17"/>
      <c r="P60" s="19"/>
      <c r="S60" s="99"/>
      <c r="T60" s="99"/>
      <c r="U60" s="99"/>
      <c r="V60" s="99"/>
      <c r="W60" s="99"/>
      <c r="X60" s="99"/>
      <c r="Y60" s="99"/>
      <c r="Z60" s="99"/>
      <c r="AA60" s="99"/>
      <c r="AB60" s="99"/>
      <c r="AC60" s="99"/>
      <c r="AD60" s="99"/>
      <c r="AE60" s="99"/>
      <c r="AF60" s="99"/>
      <c r="AG60" s="99"/>
      <c r="AH60" s="99"/>
      <c r="AI60" s="99"/>
      <c r="AJ60" s="99"/>
      <c r="AK60" s="99"/>
      <c r="AL60" s="99"/>
    </row>
    <row r="61" spans="9:38" ht="24.75" customHeight="1">
      <c r="I61" s="16"/>
      <c r="J61" s="16"/>
      <c r="K61" s="16"/>
      <c r="N61" s="17"/>
      <c r="O61" s="17"/>
      <c r="P61" s="19"/>
      <c r="S61" s="99"/>
      <c r="T61" s="99"/>
      <c r="U61" s="99"/>
      <c r="V61" s="99"/>
      <c r="W61" s="99"/>
      <c r="X61" s="99"/>
      <c r="Y61" s="99"/>
      <c r="Z61" s="99"/>
      <c r="AA61" s="99"/>
      <c r="AB61" s="99"/>
      <c r="AC61" s="99"/>
      <c r="AD61" s="99"/>
      <c r="AE61" s="99"/>
      <c r="AF61" s="99"/>
      <c r="AG61" s="99"/>
      <c r="AH61" s="99"/>
      <c r="AI61" s="99"/>
      <c r="AJ61" s="99"/>
      <c r="AK61" s="99"/>
      <c r="AL61" s="99"/>
    </row>
    <row r="62" spans="9:38">
      <c r="I62" s="16"/>
      <c r="J62" s="16"/>
      <c r="K62" s="16"/>
      <c r="N62" s="17"/>
      <c r="O62" s="17"/>
      <c r="P62" s="19"/>
      <c r="S62" s="99"/>
      <c r="T62" s="99"/>
      <c r="U62" s="99"/>
      <c r="V62" s="99"/>
      <c r="W62" s="99"/>
      <c r="X62" s="99"/>
      <c r="Y62" s="99"/>
      <c r="Z62" s="99"/>
      <c r="AA62" s="99"/>
      <c r="AB62" s="99"/>
      <c r="AC62" s="99"/>
      <c r="AD62" s="99"/>
      <c r="AE62" s="99"/>
      <c r="AF62" s="99"/>
      <c r="AG62" s="99"/>
      <c r="AH62" s="99"/>
      <c r="AI62" s="99"/>
      <c r="AJ62" s="99"/>
      <c r="AK62" s="99"/>
      <c r="AL62" s="99"/>
    </row>
    <row r="63" spans="9:38">
      <c r="I63" s="16"/>
      <c r="J63" s="16"/>
      <c r="K63" s="16"/>
      <c r="N63" s="17"/>
      <c r="O63" s="17"/>
      <c r="P63" s="19"/>
      <c r="S63" s="99"/>
      <c r="T63" s="99"/>
      <c r="U63" s="99"/>
      <c r="V63" s="99"/>
      <c r="W63" s="99"/>
      <c r="X63" s="99"/>
      <c r="Y63" s="99"/>
      <c r="Z63" s="99"/>
      <c r="AA63" s="99"/>
      <c r="AB63" s="99"/>
      <c r="AC63" s="99"/>
      <c r="AD63" s="99"/>
      <c r="AE63" s="99"/>
      <c r="AF63" s="99"/>
      <c r="AG63" s="99"/>
      <c r="AH63" s="99"/>
      <c r="AI63" s="99"/>
      <c r="AJ63" s="99"/>
      <c r="AK63" s="99"/>
      <c r="AL63" s="99"/>
    </row>
    <row r="64" spans="9:38">
      <c r="I64" s="16"/>
      <c r="J64" s="16"/>
      <c r="K64" s="16"/>
      <c r="N64" s="17"/>
      <c r="O64" s="17"/>
      <c r="P64" s="19"/>
      <c r="S64" s="99"/>
      <c r="T64" s="99"/>
      <c r="U64" s="99"/>
      <c r="V64" s="99"/>
      <c r="W64" s="99"/>
      <c r="X64" s="99"/>
      <c r="Y64" s="99"/>
      <c r="Z64" s="99"/>
      <c r="AA64" s="99"/>
      <c r="AB64" s="99"/>
      <c r="AC64" s="99"/>
      <c r="AD64" s="99"/>
      <c r="AE64" s="99"/>
      <c r="AF64" s="99"/>
      <c r="AG64" s="99"/>
      <c r="AH64" s="99"/>
      <c r="AI64" s="99"/>
      <c r="AJ64" s="99"/>
      <c r="AK64" s="99"/>
      <c r="AL64" s="99"/>
    </row>
    <row r="65" spans="9:38">
      <c r="I65" s="16"/>
      <c r="J65" s="16"/>
      <c r="K65" s="16"/>
      <c r="N65" s="17"/>
      <c r="O65" s="17"/>
      <c r="P65" s="19"/>
      <c r="S65" s="99"/>
      <c r="T65" s="99"/>
      <c r="U65" s="99"/>
      <c r="V65" s="99"/>
      <c r="W65" s="99"/>
      <c r="X65" s="99"/>
      <c r="Y65" s="99"/>
      <c r="Z65" s="99"/>
      <c r="AA65" s="99"/>
      <c r="AB65" s="99"/>
      <c r="AC65" s="99"/>
      <c r="AD65" s="99"/>
      <c r="AE65" s="99"/>
      <c r="AF65" s="99"/>
      <c r="AG65" s="99"/>
      <c r="AH65" s="99"/>
      <c r="AI65" s="99"/>
      <c r="AJ65" s="99"/>
      <c r="AK65" s="99"/>
      <c r="AL65" s="99"/>
    </row>
    <row r="66" spans="9:38">
      <c r="I66" s="16"/>
      <c r="J66" s="16"/>
      <c r="K66" s="16"/>
      <c r="N66" s="17"/>
      <c r="O66" s="17"/>
      <c r="P66" s="19"/>
      <c r="S66" s="99"/>
      <c r="T66" s="99"/>
      <c r="U66" s="99"/>
      <c r="V66" s="99"/>
      <c r="W66" s="99"/>
      <c r="X66" s="99"/>
      <c r="Y66" s="99"/>
      <c r="Z66" s="99"/>
      <c r="AA66" s="99"/>
      <c r="AB66" s="99"/>
      <c r="AC66" s="99"/>
      <c r="AD66" s="99"/>
      <c r="AE66" s="99"/>
      <c r="AF66" s="99"/>
      <c r="AG66" s="99"/>
      <c r="AH66" s="99"/>
      <c r="AI66" s="99"/>
      <c r="AJ66" s="99"/>
      <c r="AK66" s="99"/>
      <c r="AL66" s="99"/>
    </row>
    <row r="67" spans="9:38">
      <c r="I67" s="16"/>
      <c r="J67" s="16"/>
      <c r="K67" s="16"/>
      <c r="N67" s="17"/>
      <c r="O67" s="17"/>
      <c r="P67" s="19"/>
      <c r="S67" s="99"/>
      <c r="T67" s="99"/>
      <c r="U67" s="99"/>
      <c r="V67" s="99"/>
      <c r="W67" s="99"/>
      <c r="X67" s="99"/>
      <c r="Y67" s="99"/>
      <c r="Z67" s="99"/>
      <c r="AA67" s="99"/>
      <c r="AB67" s="99"/>
      <c r="AC67" s="99"/>
      <c r="AD67" s="99"/>
      <c r="AE67" s="99"/>
      <c r="AF67" s="99"/>
      <c r="AG67" s="99"/>
      <c r="AH67" s="99"/>
      <c r="AI67" s="99"/>
      <c r="AJ67" s="99"/>
      <c r="AK67" s="99"/>
      <c r="AL67" s="99"/>
    </row>
    <row r="68" spans="9:38">
      <c r="I68" s="16"/>
      <c r="J68" s="16"/>
      <c r="K68" s="16"/>
      <c r="N68" s="17"/>
      <c r="O68" s="17"/>
      <c r="P68" s="19"/>
      <c r="S68" s="99"/>
      <c r="T68" s="99"/>
      <c r="U68" s="99"/>
      <c r="V68" s="99"/>
      <c r="W68" s="99"/>
      <c r="X68" s="99"/>
      <c r="Y68" s="99"/>
      <c r="Z68" s="99"/>
      <c r="AA68" s="99"/>
      <c r="AB68" s="99"/>
      <c r="AC68" s="99"/>
      <c r="AD68" s="99"/>
      <c r="AE68" s="99"/>
      <c r="AF68" s="99"/>
      <c r="AG68" s="99"/>
      <c r="AH68" s="99"/>
      <c r="AI68" s="99"/>
      <c r="AJ68" s="99"/>
      <c r="AK68" s="99"/>
      <c r="AL68" s="99"/>
    </row>
    <row r="69" spans="9:38">
      <c r="I69" s="16"/>
      <c r="J69" s="16"/>
      <c r="K69" s="16"/>
      <c r="N69" s="17"/>
      <c r="O69" s="17"/>
      <c r="P69" s="19"/>
      <c r="S69" s="99"/>
      <c r="T69" s="99"/>
      <c r="U69" s="99"/>
      <c r="V69" s="99"/>
      <c r="W69" s="99"/>
      <c r="X69" s="99"/>
      <c r="Y69" s="99"/>
      <c r="Z69" s="99"/>
      <c r="AA69" s="99"/>
      <c r="AB69" s="99"/>
      <c r="AC69" s="99"/>
      <c r="AD69" s="99"/>
      <c r="AE69" s="99"/>
      <c r="AF69" s="99"/>
      <c r="AG69" s="99"/>
      <c r="AH69" s="99"/>
      <c r="AI69" s="99"/>
      <c r="AJ69" s="99"/>
      <c r="AK69" s="99"/>
      <c r="AL69" s="99"/>
    </row>
    <row r="70" spans="9:38">
      <c r="I70" s="16"/>
      <c r="J70" s="16"/>
      <c r="K70" s="16"/>
      <c r="N70" s="17"/>
      <c r="O70" s="17"/>
      <c r="P70" s="19"/>
      <c r="S70" s="99"/>
      <c r="T70" s="99"/>
      <c r="U70" s="99"/>
      <c r="V70" s="99"/>
      <c r="W70" s="99"/>
      <c r="X70" s="99"/>
      <c r="Y70" s="99"/>
      <c r="Z70" s="99"/>
      <c r="AA70" s="99"/>
      <c r="AB70" s="99"/>
      <c r="AC70" s="99"/>
      <c r="AD70" s="99"/>
      <c r="AE70" s="99"/>
      <c r="AF70" s="99"/>
      <c r="AG70" s="99"/>
      <c r="AH70" s="99"/>
      <c r="AI70" s="99"/>
      <c r="AJ70" s="99"/>
      <c r="AK70" s="99"/>
      <c r="AL70" s="99"/>
    </row>
    <row r="71" spans="9:38">
      <c r="I71" s="16"/>
      <c r="J71" s="16"/>
      <c r="K71" s="16"/>
      <c r="N71" s="17"/>
      <c r="O71" s="17"/>
      <c r="P71" s="19"/>
      <c r="S71" s="99"/>
      <c r="T71" s="99"/>
      <c r="U71" s="99"/>
      <c r="V71" s="99"/>
      <c r="W71" s="99"/>
      <c r="X71" s="99"/>
      <c r="Y71" s="99"/>
      <c r="Z71" s="99"/>
      <c r="AA71" s="99"/>
      <c r="AB71" s="99"/>
      <c r="AC71" s="99"/>
      <c r="AD71" s="99"/>
      <c r="AE71" s="99"/>
      <c r="AF71" s="99"/>
      <c r="AG71" s="99"/>
      <c r="AH71" s="99"/>
      <c r="AI71" s="99"/>
      <c r="AJ71" s="99"/>
      <c r="AK71" s="99"/>
      <c r="AL71" s="99"/>
    </row>
    <row r="72" spans="9:38">
      <c r="I72" s="16"/>
      <c r="J72" s="16"/>
      <c r="K72" s="16"/>
      <c r="N72" s="17"/>
      <c r="O72" s="17"/>
      <c r="P72" s="19"/>
      <c r="S72" s="99"/>
      <c r="T72" s="99"/>
      <c r="U72" s="99"/>
      <c r="V72" s="99"/>
      <c r="W72" s="99"/>
      <c r="X72" s="99"/>
      <c r="Y72" s="99"/>
      <c r="Z72" s="99"/>
      <c r="AA72" s="99"/>
      <c r="AB72" s="99"/>
      <c r="AC72" s="99"/>
      <c r="AD72" s="99"/>
      <c r="AE72" s="99"/>
      <c r="AF72" s="99"/>
      <c r="AG72" s="99"/>
      <c r="AH72" s="99"/>
      <c r="AI72" s="99"/>
      <c r="AJ72" s="99"/>
      <c r="AK72" s="99"/>
      <c r="AL72" s="99"/>
    </row>
    <row r="73" spans="9:38">
      <c r="I73" s="16"/>
      <c r="J73" s="16"/>
      <c r="K73" s="16"/>
      <c r="N73" s="17"/>
      <c r="O73" s="17"/>
      <c r="P73" s="19"/>
      <c r="S73" s="99"/>
      <c r="T73" s="99"/>
      <c r="U73" s="99"/>
      <c r="V73" s="99"/>
      <c r="W73" s="99"/>
      <c r="X73" s="99"/>
      <c r="Y73" s="99"/>
      <c r="Z73" s="99"/>
      <c r="AA73" s="99"/>
      <c r="AB73" s="99"/>
      <c r="AC73" s="99"/>
      <c r="AD73" s="99"/>
      <c r="AE73" s="99"/>
      <c r="AF73" s="99"/>
      <c r="AG73" s="99"/>
      <c r="AH73" s="99"/>
      <c r="AI73" s="99"/>
      <c r="AJ73" s="99"/>
      <c r="AK73" s="99"/>
      <c r="AL73" s="99"/>
    </row>
    <row r="74" spans="9:38">
      <c r="I74" s="16"/>
      <c r="J74" s="16"/>
      <c r="K74" s="16"/>
      <c r="N74" s="17"/>
      <c r="O74" s="17"/>
      <c r="P74" s="19"/>
      <c r="S74" s="99"/>
      <c r="T74" s="99"/>
      <c r="U74" s="99"/>
      <c r="V74" s="99"/>
      <c r="W74" s="99"/>
      <c r="X74" s="99"/>
      <c r="Y74" s="99"/>
      <c r="Z74" s="99"/>
      <c r="AA74" s="99"/>
      <c r="AB74" s="99"/>
      <c r="AC74" s="99"/>
      <c r="AD74" s="99"/>
      <c r="AE74" s="99"/>
      <c r="AF74" s="99"/>
      <c r="AG74" s="99"/>
      <c r="AH74" s="99"/>
      <c r="AI74" s="99"/>
      <c r="AJ74" s="99"/>
      <c r="AK74" s="99"/>
      <c r="AL74" s="99"/>
    </row>
    <row r="75" spans="9:38">
      <c r="I75" s="16"/>
      <c r="J75" s="16"/>
      <c r="K75" s="16"/>
      <c r="N75" s="17"/>
      <c r="O75" s="17"/>
      <c r="P75" s="19"/>
      <c r="S75" s="99"/>
      <c r="T75" s="99"/>
      <c r="U75" s="99"/>
      <c r="V75" s="99"/>
      <c r="W75" s="99"/>
      <c r="X75" s="99"/>
      <c r="Y75" s="99"/>
      <c r="Z75" s="99"/>
      <c r="AA75" s="99"/>
      <c r="AB75" s="99"/>
      <c r="AC75" s="99"/>
      <c r="AD75" s="99"/>
      <c r="AE75" s="99"/>
      <c r="AF75" s="99"/>
      <c r="AG75" s="99"/>
      <c r="AH75" s="99"/>
      <c r="AI75" s="99"/>
      <c r="AJ75" s="99"/>
      <c r="AK75" s="99"/>
      <c r="AL75" s="99"/>
    </row>
    <row r="76" spans="9:38">
      <c r="I76" s="16"/>
      <c r="J76" s="16"/>
      <c r="K76" s="16"/>
      <c r="N76" s="17"/>
      <c r="O76" s="17"/>
      <c r="P76" s="19"/>
      <c r="S76" s="99"/>
      <c r="T76" s="99"/>
      <c r="U76" s="99"/>
      <c r="V76" s="99"/>
      <c r="W76" s="99"/>
      <c r="X76" s="99"/>
      <c r="Y76" s="99"/>
      <c r="Z76" s="99"/>
      <c r="AA76" s="99"/>
      <c r="AB76" s="99"/>
      <c r="AC76" s="99"/>
      <c r="AD76" s="99"/>
      <c r="AE76" s="99"/>
      <c r="AF76" s="99"/>
      <c r="AG76" s="99"/>
      <c r="AH76" s="99"/>
      <c r="AI76" s="99"/>
      <c r="AJ76" s="99"/>
      <c r="AK76" s="99"/>
      <c r="AL76" s="99"/>
    </row>
    <row r="77" spans="9:38">
      <c r="I77" s="16"/>
      <c r="J77" s="16"/>
      <c r="K77" s="16"/>
      <c r="N77" s="17"/>
      <c r="O77" s="17"/>
      <c r="P77" s="19"/>
      <c r="S77" s="99"/>
      <c r="T77" s="99"/>
      <c r="U77" s="99"/>
      <c r="V77" s="99"/>
      <c r="W77" s="99"/>
      <c r="X77" s="99"/>
      <c r="Y77" s="99"/>
      <c r="Z77" s="99"/>
      <c r="AA77" s="99"/>
      <c r="AB77" s="99"/>
      <c r="AC77" s="99"/>
      <c r="AD77" s="99"/>
      <c r="AE77" s="99"/>
      <c r="AF77" s="99"/>
      <c r="AG77" s="99"/>
      <c r="AH77" s="99"/>
      <c r="AI77" s="99"/>
      <c r="AJ77" s="99"/>
      <c r="AK77" s="99"/>
      <c r="AL77" s="99"/>
    </row>
    <row r="78" spans="9:38">
      <c r="I78" s="16"/>
      <c r="J78" s="16"/>
      <c r="K78" s="16"/>
      <c r="N78" s="17"/>
      <c r="O78" s="17"/>
      <c r="P78" s="19"/>
      <c r="S78" s="99"/>
      <c r="T78" s="99"/>
      <c r="U78" s="99"/>
      <c r="V78" s="99"/>
      <c r="W78" s="99"/>
      <c r="X78" s="99"/>
      <c r="Y78" s="99"/>
      <c r="Z78" s="99"/>
      <c r="AA78" s="99"/>
      <c r="AB78" s="99"/>
      <c r="AC78" s="99"/>
      <c r="AD78" s="99"/>
      <c r="AE78" s="99"/>
      <c r="AF78" s="99"/>
      <c r="AG78" s="99"/>
      <c r="AH78" s="99"/>
      <c r="AI78" s="99"/>
      <c r="AJ78" s="99"/>
      <c r="AK78" s="99"/>
      <c r="AL78" s="99"/>
    </row>
    <row r="79" spans="9:38">
      <c r="I79" s="16"/>
      <c r="J79" s="16"/>
      <c r="K79" s="16"/>
      <c r="N79" s="17"/>
      <c r="O79" s="17"/>
      <c r="P79" s="19"/>
      <c r="S79" s="99"/>
      <c r="T79" s="99"/>
      <c r="U79" s="99"/>
      <c r="V79" s="99"/>
      <c r="W79" s="99"/>
      <c r="X79" s="99"/>
      <c r="Y79" s="99"/>
      <c r="Z79" s="99"/>
      <c r="AA79" s="99"/>
      <c r="AB79" s="99"/>
      <c r="AC79" s="99"/>
      <c r="AD79" s="99"/>
      <c r="AE79" s="99"/>
      <c r="AF79" s="99"/>
      <c r="AG79" s="99"/>
      <c r="AH79" s="99"/>
      <c r="AI79" s="99"/>
      <c r="AJ79" s="99"/>
      <c r="AK79" s="99"/>
      <c r="AL79" s="99"/>
    </row>
    <row r="80" spans="9:38">
      <c r="I80" s="16"/>
      <c r="J80" s="16"/>
      <c r="K80" s="16"/>
      <c r="N80" s="17"/>
      <c r="O80" s="17"/>
      <c r="P80" s="19"/>
      <c r="S80" s="99"/>
      <c r="T80" s="99"/>
      <c r="U80" s="99"/>
      <c r="V80" s="99"/>
      <c r="W80" s="99"/>
      <c r="X80" s="99"/>
      <c r="Y80" s="99"/>
      <c r="Z80" s="99"/>
      <c r="AA80" s="99"/>
      <c r="AB80" s="99"/>
      <c r="AC80" s="99"/>
      <c r="AD80" s="99"/>
      <c r="AE80" s="99"/>
      <c r="AF80" s="99"/>
      <c r="AG80" s="99"/>
      <c r="AH80" s="99"/>
      <c r="AI80" s="99"/>
      <c r="AJ80" s="99"/>
      <c r="AK80" s="99"/>
      <c r="AL80" s="99"/>
    </row>
    <row r="81" spans="9:38">
      <c r="I81" s="16"/>
      <c r="J81" s="16"/>
      <c r="K81" s="16"/>
      <c r="N81" s="17"/>
      <c r="O81" s="17"/>
      <c r="P81" s="19"/>
      <c r="S81" s="99"/>
      <c r="T81" s="99"/>
      <c r="U81" s="99"/>
      <c r="V81" s="99"/>
      <c r="W81" s="99"/>
      <c r="X81" s="99"/>
      <c r="Y81" s="99"/>
      <c r="Z81" s="99"/>
      <c r="AA81" s="99"/>
      <c r="AB81" s="99"/>
      <c r="AC81" s="99"/>
      <c r="AD81" s="99"/>
      <c r="AE81" s="99"/>
      <c r="AF81" s="99"/>
      <c r="AG81" s="99"/>
      <c r="AH81" s="99"/>
      <c r="AI81" s="99"/>
      <c r="AJ81" s="99"/>
      <c r="AK81" s="99"/>
      <c r="AL81" s="99"/>
    </row>
    <row r="82" spans="9:38" ht="24.75" customHeight="1">
      <c r="I82" s="16"/>
      <c r="J82" s="16"/>
      <c r="K82" s="16"/>
      <c r="N82" s="17"/>
      <c r="O82" s="17"/>
      <c r="P82" s="19"/>
      <c r="S82" s="99"/>
      <c r="T82" s="99"/>
      <c r="U82" s="99"/>
      <c r="V82" s="99"/>
      <c r="W82" s="99"/>
      <c r="X82" s="99"/>
      <c r="Y82" s="99"/>
      <c r="Z82" s="99"/>
      <c r="AA82" s="99"/>
      <c r="AB82" s="99"/>
      <c r="AC82" s="99"/>
      <c r="AD82" s="99"/>
      <c r="AE82" s="99"/>
      <c r="AF82" s="99"/>
      <c r="AG82" s="99"/>
      <c r="AH82" s="99"/>
      <c r="AI82" s="99"/>
      <c r="AJ82" s="99"/>
      <c r="AK82" s="99"/>
      <c r="AL82" s="99"/>
    </row>
    <row r="83" spans="9:38">
      <c r="I83" s="16"/>
      <c r="J83" s="16"/>
      <c r="K83" s="16"/>
      <c r="N83" s="17"/>
      <c r="O83" s="17"/>
      <c r="P83" s="19"/>
      <c r="S83" s="99"/>
      <c r="T83" s="99"/>
      <c r="U83" s="99"/>
      <c r="V83" s="99"/>
      <c r="W83" s="99"/>
      <c r="X83" s="99"/>
      <c r="Y83" s="99"/>
      <c r="Z83" s="99"/>
      <c r="AA83" s="99"/>
      <c r="AB83" s="99"/>
      <c r="AC83" s="99"/>
      <c r="AD83" s="99"/>
      <c r="AE83" s="99"/>
      <c r="AF83" s="99"/>
      <c r="AG83" s="99"/>
      <c r="AH83" s="99"/>
      <c r="AI83" s="99"/>
      <c r="AJ83" s="99"/>
      <c r="AK83" s="99"/>
      <c r="AL83" s="99"/>
    </row>
    <row r="84" spans="9:38">
      <c r="I84" s="16"/>
      <c r="J84" s="16"/>
      <c r="K84" s="16"/>
      <c r="N84" s="17"/>
      <c r="O84" s="17"/>
      <c r="P84" s="19"/>
      <c r="S84" s="99"/>
      <c r="T84" s="99"/>
      <c r="U84" s="99"/>
      <c r="V84" s="99"/>
      <c r="W84" s="99"/>
      <c r="X84" s="99"/>
      <c r="Y84" s="99"/>
      <c r="Z84" s="99"/>
      <c r="AA84" s="99"/>
      <c r="AB84" s="99"/>
      <c r="AC84" s="99"/>
      <c r="AD84" s="99"/>
      <c r="AE84" s="99"/>
      <c r="AF84" s="99"/>
      <c r="AG84" s="99"/>
      <c r="AH84" s="99"/>
      <c r="AI84" s="99"/>
      <c r="AJ84" s="99"/>
      <c r="AK84" s="99"/>
      <c r="AL84" s="99"/>
    </row>
    <row r="85" spans="9:38">
      <c r="I85" s="16"/>
      <c r="J85" s="16"/>
      <c r="K85" s="16"/>
      <c r="N85" s="17"/>
      <c r="O85" s="17"/>
      <c r="P85" s="19"/>
      <c r="S85" s="99"/>
      <c r="T85" s="99"/>
      <c r="U85" s="99"/>
      <c r="V85" s="99"/>
      <c r="W85" s="99"/>
      <c r="X85" s="99"/>
      <c r="Y85" s="99"/>
      <c r="Z85" s="99"/>
      <c r="AA85" s="99"/>
      <c r="AB85" s="99"/>
      <c r="AC85" s="99"/>
      <c r="AD85" s="99"/>
      <c r="AE85" s="99"/>
      <c r="AF85" s="99"/>
      <c r="AG85" s="99"/>
      <c r="AH85" s="99"/>
      <c r="AI85" s="99"/>
      <c r="AJ85" s="99"/>
      <c r="AK85" s="99"/>
      <c r="AL85" s="99"/>
    </row>
    <row r="86" spans="9:38">
      <c r="I86" s="16"/>
      <c r="J86" s="16"/>
      <c r="K86" s="16"/>
      <c r="N86" s="17"/>
      <c r="O86" s="17"/>
      <c r="P86" s="19"/>
      <c r="S86" s="99"/>
      <c r="T86" s="99"/>
      <c r="U86" s="99"/>
      <c r="V86" s="99"/>
      <c r="W86" s="99"/>
      <c r="X86" s="99"/>
      <c r="Y86" s="99"/>
      <c r="Z86" s="99"/>
      <c r="AA86" s="99"/>
      <c r="AB86" s="99"/>
      <c r="AC86" s="99"/>
      <c r="AD86" s="99"/>
      <c r="AE86" s="99"/>
      <c r="AF86" s="99"/>
      <c r="AG86" s="99"/>
      <c r="AH86" s="99"/>
      <c r="AI86" s="99"/>
      <c r="AJ86" s="99"/>
      <c r="AK86" s="99"/>
      <c r="AL86" s="99"/>
    </row>
    <row r="87" spans="9:38">
      <c r="I87" s="16"/>
      <c r="J87" s="16"/>
      <c r="K87" s="16"/>
      <c r="P87" s="19"/>
      <c r="S87" s="129"/>
      <c r="T87" s="129"/>
      <c r="U87" s="129"/>
      <c r="V87" s="129"/>
      <c r="W87" s="129"/>
      <c r="X87" s="129"/>
      <c r="Y87" s="129"/>
      <c r="Z87" s="129"/>
      <c r="AA87" s="129"/>
      <c r="AB87" s="129"/>
      <c r="AC87" s="129"/>
      <c r="AD87" s="129"/>
      <c r="AE87" s="129"/>
      <c r="AF87" s="129"/>
      <c r="AG87" s="129"/>
      <c r="AH87" s="129"/>
      <c r="AI87" s="129"/>
      <c r="AJ87" s="129"/>
      <c r="AK87" s="129"/>
      <c r="AL87" s="129"/>
    </row>
    <row r="88" spans="9:38">
      <c r="P88" s="19"/>
      <c r="S88" s="129"/>
      <c r="T88" s="129"/>
      <c r="U88" s="129"/>
      <c r="V88" s="129"/>
      <c r="W88" s="129"/>
      <c r="X88" s="129"/>
      <c r="Y88" s="129"/>
      <c r="Z88" s="129"/>
      <c r="AA88" s="129"/>
      <c r="AB88" s="129"/>
      <c r="AC88" s="129"/>
      <c r="AD88" s="129"/>
      <c r="AE88" s="129"/>
      <c r="AF88" s="129"/>
      <c r="AG88" s="129"/>
      <c r="AH88" s="129"/>
      <c r="AI88" s="129"/>
      <c r="AJ88" s="129"/>
      <c r="AK88" s="129"/>
      <c r="AL88" s="129"/>
    </row>
    <row r="89" spans="9:38">
      <c r="P89" s="19"/>
      <c r="S89" s="129"/>
      <c r="T89" s="129"/>
      <c r="U89" s="129"/>
      <c r="V89" s="129"/>
      <c r="W89" s="129"/>
      <c r="X89" s="129"/>
      <c r="Y89" s="129"/>
      <c r="Z89" s="129"/>
      <c r="AA89" s="129"/>
      <c r="AB89" s="129"/>
      <c r="AC89" s="129"/>
      <c r="AD89" s="129"/>
      <c r="AE89" s="129"/>
      <c r="AF89" s="129"/>
      <c r="AG89" s="129"/>
      <c r="AH89" s="129"/>
      <c r="AI89" s="129"/>
      <c r="AJ89" s="129"/>
      <c r="AK89" s="129"/>
      <c r="AL89" s="129"/>
    </row>
    <row r="90" spans="9:38">
      <c r="P90" s="19"/>
      <c r="S90" s="129"/>
      <c r="T90" s="129"/>
      <c r="U90" s="129"/>
      <c r="V90" s="129"/>
      <c r="W90" s="129"/>
      <c r="X90" s="129"/>
      <c r="Y90" s="129"/>
      <c r="Z90" s="129"/>
      <c r="AA90" s="129"/>
      <c r="AB90" s="129"/>
      <c r="AC90" s="129"/>
      <c r="AD90" s="129"/>
      <c r="AE90" s="129"/>
      <c r="AF90" s="129"/>
      <c r="AG90" s="129"/>
      <c r="AH90" s="129"/>
      <c r="AI90" s="129"/>
      <c r="AJ90" s="129"/>
      <c r="AK90" s="129"/>
      <c r="AL90" s="129"/>
    </row>
    <row r="91" spans="9:38">
      <c r="P91" s="19"/>
      <c r="S91" s="129"/>
      <c r="T91" s="129"/>
      <c r="U91" s="129"/>
      <c r="V91" s="129"/>
      <c r="W91" s="129"/>
      <c r="X91" s="129"/>
      <c r="Y91" s="129"/>
      <c r="Z91" s="129"/>
      <c r="AA91" s="129"/>
      <c r="AB91" s="129"/>
      <c r="AC91" s="129"/>
      <c r="AD91" s="129"/>
      <c r="AE91" s="129"/>
      <c r="AF91" s="129"/>
      <c r="AG91" s="129"/>
      <c r="AH91" s="129"/>
      <c r="AI91" s="129"/>
      <c r="AJ91" s="129"/>
      <c r="AK91" s="129"/>
      <c r="AL91" s="129"/>
    </row>
  </sheetData>
  <phoneticPr fontId="0" type="noConversion"/>
  <pageMargins left="0.75" right="0.75" top="1" bottom="1" header="0.5" footer="0.5"/>
  <headerFooter alignWithMargins="0"/>
</worksheet>
</file>

<file path=xl/worksheets/sheet16.xml><?xml version="1.0" encoding="utf-8"?>
<worksheet xmlns="http://schemas.openxmlformats.org/spreadsheetml/2006/main" xmlns:r="http://schemas.openxmlformats.org/officeDocument/2006/relationships">
  <sheetPr codeName="Sheet27"/>
  <dimension ref="A1:AN101"/>
  <sheetViews>
    <sheetView topLeftCell="H1" workbookViewId="0">
      <selection activeCell="P34" sqref="P34"/>
    </sheetView>
  </sheetViews>
  <sheetFormatPr defaultRowHeight="12.75"/>
  <cols>
    <col min="1" max="1" width="3.7109375" customWidth="1"/>
    <col min="2" max="2" width="3.28515625" customWidth="1"/>
    <col min="3" max="3" width="9.140625" hidden="1" customWidth="1"/>
    <col min="4" max="4" width="48.85546875" bestFit="1" customWidth="1"/>
    <col min="5" max="5" width="7.85546875" customWidth="1"/>
    <col min="6" max="11" width="10.28515625" bestFit="1" customWidth="1"/>
    <col min="12" max="12" width="9.7109375" customWidth="1"/>
    <col min="13" max="13" width="10.28515625" bestFit="1" customWidth="1"/>
    <col min="14" max="14" width="10.5703125" customWidth="1"/>
    <col min="15" max="15" width="13.28515625" customWidth="1"/>
    <col min="16" max="22" width="10.28515625" bestFit="1" customWidth="1"/>
    <col min="23" max="25" width="9.28515625" bestFit="1" customWidth="1"/>
    <col min="26" max="26" width="9.85546875" bestFit="1" customWidth="1"/>
  </cols>
  <sheetData>
    <row r="1" spans="1:38" s="18" customFormat="1" ht="22.5" customHeight="1">
      <c r="A1" s="18" t="s">
        <v>738</v>
      </c>
      <c r="G1" s="44"/>
      <c r="H1" s="44"/>
    </row>
    <row r="2" spans="1:38">
      <c r="D2" s="65"/>
      <c r="E2" s="65"/>
      <c r="F2" s="65"/>
    </row>
    <row r="3" spans="1:38">
      <c r="D3" s="65"/>
      <c r="E3" s="65"/>
      <c r="F3" s="220" t="s">
        <v>263</v>
      </c>
      <c r="G3" s="13" t="s">
        <v>518</v>
      </c>
      <c r="H3" s="13" t="s">
        <v>264</v>
      </c>
      <c r="I3" s="13" t="s">
        <v>266</v>
      </c>
      <c r="J3" s="13" t="s">
        <v>267</v>
      </c>
      <c r="K3" s="13" t="s">
        <v>269</v>
      </c>
      <c r="L3" s="13" t="s">
        <v>270</v>
      </c>
      <c r="M3" s="229" t="s">
        <v>271</v>
      </c>
      <c r="N3" s="13" t="s">
        <v>273</v>
      </c>
      <c r="O3" s="13" t="s">
        <v>275</v>
      </c>
      <c r="P3" s="13" t="s">
        <v>276</v>
      </c>
      <c r="Q3" s="13" t="s">
        <v>515</v>
      </c>
      <c r="R3" s="13" t="s">
        <v>278</v>
      </c>
      <c r="S3" s="13" t="s">
        <v>280</v>
      </c>
      <c r="T3" s="13" t="s">
        <v>282</v>
      </c>
      <c r="U3" s="13" t="s">
        <v>283</v>
      </c>
      <c r="V3" s="13" t="s">
        <v>411</v>
      </c>
      <c r="W3" s="13" t="s">
        <v>285</v>
      </c>
      <c r="X3" s="13" t="s">
        <v>287</v>
      </c>
    </row>
    <row r="4" spans="1:38">
      <c r="B4" s="230"/>
      <c r="D4" t="s">
        <v>174</v>
      </c>
      <c r="F4" s="229" t="s">
        <v>248</v>
      </c>
      <c r="G4" s="229" t="s">
        <v>508</v>
      </c>
      <c r="H4" s="229" t="s">
        <v>249</v>
      </c>
      <c r="I4" s="229" t="s">
        <v>250</v>
      </c>
      <c r="J4" s="229" t="s">
        <v>251</v>
      </c>
      <c r="K4" s="232" t="s">
        <v>730</v>
      </c>
      <c r="L4" s="229" t="s">
        <v>252</v>
      </c>
      <c r="M4" s="229" t="s">
        <v>253</v>
      </c>
      <c r="N4" s="229" t="s">
        <v>254</v>
      </c>
      <c r="O4" s="229" t="s">
        <v>255</v>
      </c>
      <c r="P4" s="229" t="s">
        <v>256</v>
      </c>
      <c r="Q4" s="229" t="s">
        <v>507</v>
      </c>
      <c r="R4" s="229" t="s">
        <v>257</v>
      </c>
      <c r="S4" s="229" t="s">
        <v>258</v>
      </c>
      <c r="T4" s="229" t="s">
        <v>259</v>
      </c>
      <c r="U4" s="229" t="s">
        <v>260</v>
      </c>
      <c r="V4" s="229" t="s">
        <v>412</v>
      </c>
      <c r="W4" s="229" t="s">
        <v>261</v>
      </c>
      <c r="X4" s="229" t="s">
        <v>262</v>
      </c>
      <c r="Y4" s="13"/>
    </row>
    <row r="7" spans="1:38" s="9" customFormat="1" ht="9" customHeight="1">
      <c r="H7" s="16"/>
      <c r="I7" s="16"/>
      <c r="J7" s="16"/>
      <c r="M7" s="17"/>
      <c r="N7" s="17"/>
      <c r="O7" s="23"/>
      <c r="P7" s="24"/>
      <c r="Q7" s="24"/>
      <c r="R7" s="126"/>
      <c r="S7" s="126"/>
      <c r="T7" s="126"/>
      <c r="U7" s="126"/>
      <c r="V7" s="126"/>
      <c r="W7" s="126"/>
      <c r="X7" s="126"/>
      <c r="Y7" s="126"/>
      <c r="Z7" s="126"/>
      <c r="AA7" s="126"/>
      <c r="AB7" s="126"/>
      <c r="AC7" s="126"/>
      <c r="AD7" s="126"/>
      <c r="AE7" s="126"/>
      <c r="AF7" s="126"/>
      <c r="AG7" s="126"/>
      <c r="AH7" s="126"/>
      <c r="AI7" s="126"/>
      <c r="AJ7" s="126"/>
      <c r="AK7" s="126"/>
      <c r="AL7" s="126"/>
    </row>
    <row r="8" spans="1:38" s="68" customFormat="1" ht="16.5" customHeight="1">
      <c r="C8" s="68" t="str">
        <f ca="1">tblIndicators!A3</f>
        <v>LEGF</v>
      </c>
      <c r="D8" s="68" t="str">
        <f ca="1">tblIndicators!H3</f>
        <v>Legal and regulatory framework</v>
      </c>
      <c r="H8" s="224"/>
      <c r="N8" s="219"/>
    </row>
    <row r="9" spans="1:38">
      <c r="C9" t="str">
        <f ca="1">tblIndicators!A4</f>
        <v>LEGF01</v>
      </c>
      <c r="D9" t="str">
        <f ca="1">tblIndicators!H4</f>
        <v>Consistency and quality of PPP regulations</v>
      </c>
      <c r="F9" s="218" t="s">
        <v>467</v>
      </c>
      <c r="G9" s="57" t="s">
        <v>6</v>
      </c>
      <c r="H9" s="57" t="s">
        <v>61</v>
      </c>
      <c r="I9" s="206" t="s">
        <v>822</v>
      </c>
      <c r="J9" s="206" t="s">
        <v>796</v>
      </c>
      <c r="K9" s="206" t="s">
        <v>210</v>
      </c>
      <c r="L9" s="206" t="s">
        <v>816</v>
      </c>
      <c r="M9" s="206" t="s">
        <v>765</v>
      </c>
      <c r="N9" s="206" t="s">
        <v>199</v>
      </c>
      <c r="O9" s="57" t="s">
        <v>500</v>
      </c>
      <c r="P9" s="61" t="s">
        <v>164</v>
      </c>
      <c r="Q9" s="57" t="s">
        <v>107</v>
      </c>
      <c r="R9" s="57" t="s">
        <v>0</v>
      </c>
      <c r="S9" s="57" t="s">
        <v>11</v>
      </c>
      <c r="T9" s="57" t="s">
        <v>1</v>
      </c>
      <c r="U9" s="57" t="s">
        <v>12</v>
      </c>
      <c r="V9" s="61" t="s">
        <v>21</v>
      </c>
      <c r="W9" s="57" t="s">
        <v>13</v>
      </c>
      <c r="X9" s="57" t="s">
        <v>19</v>
      </c>
      <c r="Y9" s="65"/>
      <c r="Z9" s="65"/>
      <c r="AA9" s="65"/>
      <c r="AB9" s="65"/>
      <c r="AC9" s="65"/>
      <c r="AD9" s="65"/>
      <c r="AE9" s="65"/>
      <c r="AF9" s="65"/>
    </row>
    <row r="10" spans="1:38">
      <c r="C10" t="str">
        <f ca="1">tblIndicators!A5</f>
        <v>LEGF02</v>
      </c>
      <c r="D10" t="str">
        <f ca="1">tblIndicators!H5</f>
        <v>Effective PPP selection and decision making</v>
      </c>
      <c r="F10" s="206" t="s">
        <v>468</v>
      </c>
      <c r="G10" s="206" t="s">
        <v>57</v>
      </c>
      <c r="H10" s="225" t="s">
        <v>484</v>
      </c>
      <c r="I10" s="206" t="s">
        <v>445</v>
      </c>
      <c r="J10" s="206" t="s">
        <v>797</v>
      </c>
      <c r="K10" s="206" t="s">
        <v>211</v>
      </c>
      <c r="L10" s="206" t="s">
        <v>817</v>
      </c>
      <c r="M10" s="206" t="s">
        <v>804</v>
      </c>
      <c r="N10" s="206" t="s">
        <v>200</v>
      </c>
      <c r="O10" s="57" t="s">
        <v>212</v>
      </c>
      <c r="P10" s="57" t="s">
        <v>157</v>
      </c>
      <c r="Q10" s="57" t="s">
        <v>9</v>
      </c>
      <c r="R10" s="57" t="s">
        <v>75</v>
      </c>
      <c r="S10" s="57" t="s">
        <v>114</v>
      </c>
      <c r="T10" s="57" t="s">
        <v>55</v>
      </c>
      <c r="U10" s="57" t="s">
        <v>35</v>
      </c>
      <c r="V10" s="57" t="s">
        <v>97</v>
      </c>
      <c r="W10" s="57" t="s">
        <v>64</v>
      </c>
      <c r="X10" s="57" t="s">
        <v>38</v>
      </c>
      <c r="Y10" s="65"/>
      <c r="Z10" s="65"/>
      <c r="AA10" s="65"/>
      <c r="AB10" s="65"/>
      <c r="AC10" s="65"/>
      <c r="AD10" s="65"/>
      <c r="AE10" s="65"/>
      <c r="AF10" s="65"/>
    </row>
    <row r="11" spans="1:38">
      <c r="C11" t="str">
        <f ca="1">tblIndicators!A6</f>
        <v>LEGF03</v>
      </c>
      <c r="D11" t="str">
        <f ca="1">tblIndicators!H6</f>
        <v>Fairness/openness of bids, contract changes</v>
      </c>
      <c r="F11" s="206" t="s">
        <v>819</v>
      </c>
      <c r="G11" s="218" t="s">
        <v>186</v>
      </c>
      <c r="H11" s="225" t="s">
        <v>475</v>
      </c>
      <c r="I11" s="206" t="s">
        <v>446</v>
      </c>
      <c r="J11" s="57" t="s">
        <v>3</v>
      </c>
      <c r="K11" s="206" t="s">
        <v>192</v>
      </c>
      <c r="L11" s="206" t="s">
        <v>818</v>
      </c>
      <c r="M11" s="206" t="s">
        <v>766</v>
      </c>
      <c r="N11" s="206" t="s">
        <v>805</v>
      </c>
      <c r="O11" s="57" t="s">
        <v>213</v>
      </c>
      <c r="P11" s="57" t="s">
        <v>158</v>
      </c>
      <c r="Q11" s="57" t="s">
        <v>108</v>
      </c>
      <c r="R11" s="57" t="s">
        <v>76</v>
      </c>
      <c r="S11" s="57" t="s">
        <v>115</v>
      </c>
      <c r="T11" s="233" t="s">
        <v>36</v>
      </c>
      <c r="U11" s="57" t="s">
        <v>110</v>
      </c>
      <c r="V11" s="57" t="s">
        <v>23</v>
      </c>
      <c r="W11" s="57" t="s">
        <v>65</v>
      </c>
      <c r="X11" s="57" t="s">
        <v>39</v>
      </c>
      <c r="Y11" s="65"/>
      <c r="Z11" s="65"/>
      <c r="AA11" s="65"/>
      <c r="AB11" s="65"/>
      <c r="AC11" s="65"/>
      <c r="AD11" s="65"/>
      <c r="AE11" s="65"/>
      <c r="AF11" s="65"/>
    </row>
    <row r="12" spans="1:38">
      <c r="C12" t="str">
        <f ca="1">tblIndicators!A7</f>
        <v>LEGF04</v>
      </c>
      <c r="D12" t="str">
        <f ca="1">tblIndicators!H7</f>
        <v>Dispute resolution mechanisms</v>
      </c>
      <c r="F12" s="206" t="s">
        <v>820</v>
      </c>
      <c r="G12" s="206" t="s">
        <v>781</v>
      </c>
      <c r="H12" s="225" t="s">
        <v>165</v>
      </c>
      <c r="I12" s="206" t="s">
        <v>447</v>
      </c>
      <c r="J12" s="206" t="s">
        <v>798</v>
      </c>
      <c r="K12" s="206" t="s">
        <v>193</v>
      </c>
      <c r="L12" s="206" t="s">
        <v>214</v>
      </c>
      <c r="M12" s="218" t="s">
        <v>767</v>
      </c>
      <c r="N12" s="206" t="s">
        <v>489</v>
      </c>
      <c r="O12" s="57" t="s">
        <v>175</v>
      </c>
      <c r="P12" s="57" t="s">
        <v>159</v>
      </c>
      <c r="Q12" s="57" t="s">
        <v>4</v>
      </c>
      <c r="R12" s="206" t="s">
        <v>77</v>
      </c>
      <c r="S12" s="57" t="s">
        <v>116</v>
      </c>
      <c r="T12" s="57" t="s">
        <v>56</v>
      </c>
      <c r="U12" s="57" t="s">
        <v>33</v>
      </c>
      <c r="V12" s="57" t="s">
        <v>101</v>
      </c>
      <c r="W12" s="57" t="s">
        <v>66</v>
      </c>
      <c r="X12" s="57" t="s">
        <v>40</v>
      </c>
      <c r="Y12" s="65"/>
      <c r="Z12" s="65"/>
      <c r="AA12" s="65"/>
      <c r="AB12" s="65"/>
      <c r="AC12" s="65"/>
      <c r="AD12" s="65"/>
      <c r="AE12" s="65"/>
      <c r="AF12" s="65"/>
    </row>
    <row r="13" spans="1:38" s="68" customFormat="1" ht="16.5" customHeight="1">
      <c r="C13" s="68" t="str">
        <f ca="1">tblIndicators!A8</f>
        <v>INST</v>
      </c>
      <c r="D13" s="68" t="str">
        <f ca="1">tblIndicators!H8</f>
        <v>Institutional framework</v>
      </c>
      <c r="F13" s="206"/>
      <c r="G13" s="206"/>
      <c r="H13" s="226"/>
      <c r="I13" s="206"/>
      <c r="J13" s="206"/>
      <c r="K13" s="206"/>
      <c r="L13" s="206"/>
      <c r="M13" s="206"/>
      <c r="N13" s="206"/>
      <c r="O13" s="206"/>
      <c r="P13" s="206"/>
      <c r="Q13" s="206"/>
      <c r="R13" s="206"/>
      <c r="S13" s="206"/>
      <c r="T13" s="206"/>
      <c r="U13" s="206"/>
      <c r="W13" s="206"/>
      <c r="X13" s="219"/>
      <c r="Y13" s="219"/>
      <c r="Z13" s="219"/>
      <c r="AA13" s="219"/>
      <c r="AB13" s="219"/>
      <c r="AC13" s="219"/>
      <c r="AD13" s="219"/>
      <c r="AE13" s="219"/>
      <c r="AF13" s="219"/>
    </row>
    <row r="14" spans="1:38">
      <c r="C14" t="str">
        <f ca="1">tblIndicators!A9</f>
        <v>INST01</v>
      </c>
      <c r="D14" t="str">
        <f ca="1">tblIndicators!H9</f>
        <v>Quality of institutional design</v>
      </c>
      <c r="F14" s="206" t="s">
        <v>181</v>
      </c>
      <c r="G14" s="206" t="s">
        <v>22</v>
      </c>
      <c r="H14" s="223" t="s">
        <v>476</v>
      </c>
      <c r="I14" s="206" t="s">
        <v>448</v>
      </c>
      <c r="J14" s="206" t="s">
        <v>799</v>
      </c>
      <c r="K14" s="206" t="s">
        <v>194</v>
      </c>
      <c r="L14" s="206" t="s">
        <v>8</v>
      </c>
      <c r="M14" s="57" t="s">
        <v>5</v>
      </c>
      <c r="N14" s="206" t="s">
        <v>490</v>
      </c>
      <c r="O14" s="57" t="s">
        <v>176</v>
      </c>
      <c r="P14" s="57" t="s">
        <v>160</v>
      </c>
      <c r="Q14" s="57" t="s">
        <v>109</v>
      </c>
      <c r="R14" s="57" t="s">
        <v>144</v>
      </c>
      <c r="S14" s="57" t="s">
        <v>2</v>
      </c>
      <c r="T14" s="57" t="s">
        <v>130</v>
      </c>
      <c r="U14" s="57" t="s">
        <v>34</v>
      </c>
      <c r="V14" s="57" t="s">
        <v>102</v>
      </c>
      <c r="W14" s="57" t="s">
        <v>18</v>
      </c>
      <c r="X14" s="57" t="s">
        <v>41</v>
      </c>
      <c r="Y14" s="65"/>
      <c r="Z14" s="65"/>
      <c r="AA14" s="65"/>
      <c r="AB14" s="65"/>
      <c r="AC14" s="65"/>
      <c r="AD14" s="65"/>
      <c r="AE14" s="65"/>
      <c r="AF14" s="65"/>
    </row>
    <row r="15" spans="1:38">
      <c r="C15" t="str">
        <f ca="1">tblIndicators!A10</f>
        <v>INST02</v>
      </c>
      <c r="D15" t="str">
        <f ca="1">tblIndicators!H10</f>
        <v>PPP contract, hold-up and expropriation risk</v>
      </c>
      <c r="F15" s="206" t="s">
        <v>821</v>
      </c>
      <c r="G15" s="206" t="s">
        <v>187</v>
      </c>
      <c r="H15" s="225" t="s">
        <v>166</v>
      </c>
      <c r="I15" s="206" t="s">
        <v>485</v>
      </c>
      <c r="J15" s="206" t="s">
        <v>800</v>
      </c>
      <c r="K15" s="206" t="s">
        <v>486</v>
      </c>
      <c r="L15" s="206" t="s">
        <v>455</v>
      </c>
      <c r="M15" s="206" t="s">
        <v>768</v>
      </c>
      <c r="N15" s="206" t="s">
        <v>691</v>
      </c>
      <c r="O15" s="57" t="s">
        <v>785</v>
      </c>
      <c r="P15" s="57" t="s">
        <v>161</v>
      </c>
      <c r="Q15" s="57" t="s">
        <v>138</v>
      </c>
      <c r="R15" s="57" t="s">
        <v>145</v>
      </c>
      <c r="S15" s="57" t="s">
        <v>117</v>
      </c>
      <c r="T15" s="57" t="s">
        <v>131</v>
      </c>
      <c r="U15" s="57" t="s">
        <v>83</v>
      </c>
      <c r="V15" s="57" t="s">
        <v>103</v>
      </c>
      <c r="W15" s="57" t="s">
        <v>67</v>
      </c>
      <c r="X15" s="57" t="s">
        <v>42</v>
      </c>
      <c r="Y15" s="65"/>
      <c r="Z15" s="65"/>
      <c r="AA15" s="65"/>
      <c r="AB15" s="65"/>
      <c r="AC15" s="65"/>
      <c r="AD15" s="65"/>
      <c r="AE15" s="65"/>
      <c r="AF15" s="65"/>
    </row>
    <row r="16" spans="1:38" s="68" customFormat="1" ht="16.5" customHeight="1">
      <c r="C16" s="68" t="str">
        <f ca="1">tblIndicators!A11</f>
        <v>OPER</v>
      </c>
      <c r="D16" s="68" t="str">
        <f ca="1">tblIndicators!H11</f>
        <v>Operational maturity</v>
      </c>
      <c r="F16" s="206"/>
      <c r="G16" s="206"/>
      <c r="H16" s="226"/>
      <c r="I16" s="206"/>
      <c r="J16" s="206"/>
      <c r="K16" s="206"/>
      <c r="L16" s="206"/>
      <c r="M16" s="206"/>
      <c r="N16" s="206"/>
      <c r="O16" s="206"/>
      <c r="P16" s="206"/>
      <c r="Q16" s="206"/>
      <c r="R16" s="206"/>
      <c r="S16" s="206"/>
      <c r="T16" s="206"/>
      <c r="U16" s="206"/>
      <c r="V16" s="206"/>
      <c r="W16" s="206"/>
      <c r="X16" s="206"/>
      <c r="Y16" s="219"/>
      <c r="Z16" s="219"/>
      <c r="AA16" s="219"/>
      <c r="AB16" s="219"/>
      <c r="AC16" s="219"/>
      <c r="AD16" s="219"/>
      <c r="AE16" s="219"/>
      <c r="AF16" s="219"/>
      <c r="AG16" s="219"/>
      <c r="AH16" s="219"/>
      <c r="AI16" s="219"/>
      <c r="AJ16" s="219"/>
      <c r="AK16" s="219"/>
      <c r="AL16" s="219"/>
    </row>
    <row r="17" spans="3:40">
      <c r="C17" t="str">
        <f ca="1">tblIndicators!A12</f>
        <v>OPER01</v>
      </c>
      <c r="D17" t="str">
        <f ca="1">tblIndicators!H12</f>
        <v>Public capacity to plan and oversee PPPs</v>
      </c>
      <c r="F17" s="206" t="s">
        <v>215</v>
      </c>
      <c r="G17" s="57" t="s">
        <v>7</v>
      </c>
      <c r="H17" s="223" t="s">
        <v>167</v>
      </c>
      <c r="I17" s="206" t="s">
        <v>823</v>
      </c>
      <c r="J17" s="218" t="s">
        <v>201</v>
      </c>
      <c r="K17" s="206" t="s">
        <v>487</v>
      </c>
      <c r="L17" s="206" t="s">
        <v>456</v>
      </c>
      <c r="M17" s="206" t="s">
        <v>769</v>
      </c>
      <c r="N17" s="206" t="s">
        <v>692</v>
      </c>
      <c r="O17" s="57" t="s">
        <v>177</v>
      </c>
      <c r="P17" s="57" t="s">
        <v>162</v>
      </c>
      <c r="Q17" s="57" t="s">
        <v>139</v>
      </c>
      <c r="R17" s="57" t="s">
        <v>146</v>
      </c>
      <c r="S17" s="57" t="s">
        <v>118</v>
      </c>
      <c r="T17" s="57" t="s">
        <v>58</v>
      </c>
      <c r="U17" s="57" t="s">
        <v>788</v>
      </c>
      <c r="V17" s="57" t="s">
        <v>104</v>
      </c>
      <c r="W17" s="57" t="s">
        <v>17</v>
      </c>
      <c r="X17" s="57" t="s">
        <v>43</v>
      </c>
      <c r="Y17" s="221"/>
      <c r="Z17" s="65"/>
      <c r="AA17" s="65"/>
      <c r="AB17" s="65"/>
      <c r="AC17" s="65"/>
      <c r="AD17" s="65"/>
      <c r="AE17" s="65"/>
      <c r="AF17" s="65"/>
    </row>
    <row r="18" spans="3:40">
      <c r="C18" t="str">
        <f ca="1">tblIndicators!A13</f>
        <v>OPER02</v>
      </c>
      <c r="D18" t="str">
        <f ca="1">tblIndicators!H13</f>
        <v xml:space="preserve">Methods and criteria for awarding projects </v>
      </c>
      <c r="F18" s="206" t="s">
        <v>216</v>
      </c>
      <c r="G18" s="206" t="s">
        <v>188</v>
      </c>
      <c r="H18" s="223" t="s">
        <v>477</v>
      </c>
      <c r="I18" s="206" t="s">
        <v>449</v>
      </c>
      <c r="J18" s="206" t="s">
        <v>202</v>
      </c>
      <c r="K18" s="206" t="s">
        <v>488</v>
      </c>
      <c r="L18" s="206" t="s">
        <v>457</v>
      </c>
      <c r="M18" s="206" t="s">
        <v>770</v>
      </c>
      <c r="N18" s="206" t="s">
        <v>693</v>
      </c>
      <c r="O18" s="57" t="s">
        <v>178</v>
      </c>
      <c r="P18" s="57" t="s">
        <v>163</v>
      </c>
      <c r="Q18" s="57" t="s">
        <v>824</v>
      </c>
      <c r="R18" s="57" t="s">
        <v>147</v>
      </c>
      <c r="S18" s="57" t="s">
        <v>786</v>
      </c>
      <c r="T18" s="57" t="s">
        <v>62</v>
      </c>
      <c r="U18" s="57" t="s">
        <v>84</v>
      </c>
      <c r="V18" s="57" t="s">
        <v>105</v>
      </c>
      <c r="W18" s="57" t="s">
        <v>16</v>
      </c>
      <c r="X18" s="57" t="s">
        <v>44</v>
      </c>
      <c r="Y18" s="222"/>
      <c r="Z18" s="65"/>
      <c r="AA18" s="65"/>
      <c r="AB18" s="65"/>
      <c r="AC18" s="65"/>
      <c r="AD18" s="65"/>
      <c r="AE18" s="65"/>
      <c r="AF18" s="65"/>
    </row>
    <row r="19" spans="3:40" s="73" customFormat="1">
      <c r="C19" s="73" t="str">
        <f ca="1">tblIndicators!A14</f>
        <v>OPER03</v>
      </c>
      <c r="D19" s="73" t="str">
        <f ca="1">tblIndicators!H14</f>
        <v>Regulators' risk allocation record</v>
      </c>
      <c r="F19" s="206" t="s">
        <v>690</v>
      </c>
      <c r="G19" s="206" t="s">
        <v>469</v>
      </c>
      <c r="H19" s="223" t="s">
        <v>478</v>
      </c>
      <c r="I19" s="206" t="s">
        <v>758</v>
      </c>
      <c r="J19" s="206" t="s">
        <v>801</v>
      </c>
      <c r="K19" s="206" t="s">
        <v>806</v>
      </c>
      <c r="L19" s="206" t="s">
        <v>458</v>
      </c>
      <c r="M19" s="206" t="s">
        <v>771</v>
      </c>
      <c r="N19" s="206" t="s">
        <v>491</v>
      </c>
      <c r="O19" s="57" t="s">
        <v>790</v>
      </c>
      <c r="P19" s="57" t="s">
        <v>94</v>
      </c>
      <c r="Q19" s="57" t="s">
        <v>10</v>
      </c>
      <c r="R19" s="57" t="s">
        <v>148</v>
      </c>
      <c r="S19" s="57" t="s">
        <v>787</v>
      </c>
      <c r="T19" s="233" t="s">
        <v>37</v>
      </c>
      <c r="U19" s="57" t="s">
        <v>85</v>
      </c>
      <c r="V19" s="57" t="s">
        <v>106</v>
      </c>
      <c r="W19" s="57" t="s">
        <v>68</v>
      </c>
      <c r="X19" s="57" t="s">
        <v>45</v>
      </c>
      <c r="Y19" s="65"/>
      <c r="Z19" s="65"/>
      <c r="AA19" s="65"/>
      <c r="AB19" s="65"/>
      <c r="AC19" s="65"/>
      <c r="AD19" s="65"/>
      <c r="AE19" s="65"/>
      <c r="AF19" s="65"/>
    </row>
    <row r="20" spans="3:40" s="219" customFormat="1">
      <c r="C20" s="65" t="str">
        <f ca="1">tblIndicators!A15</f>
        <v>OPER04</v>
      </c>
      <c r="D20" s="65" t="str">
        <f ca="1">tblIndicators!H15</f>
        <v>Experience in transport &amp; water concessions</v>
      </c>
      <c r="E20" s="65"/>
      <c r="F20" s="206" t="s">
        <v>182</v>
      </c>
      <c r="G20" s="206" t="s">
        <v>189</v>
      </c>
      <c r="H20" s="223" t="s">
        <v>168</v>
      </c>
      <c r="I20" s="206" t="s">
        <v>759</v>
      </c>
      <c r="J20" s="206" t="s">
        <v>203</v>
      </c>
      <c r="K20" s="206" t="s">
        <v>807</v>
      </c>
      <c r="L20" s="206" t="s">
        <v>459</v>
      </c>
      <c r="M20" s="206" t="s">
        <v>772</v>
      </c>
      <c r="N20" s="206" t="s">
        <v>492</v>
      </c>
      <c r="O20" s="57" t="s">
        <v>179</v>
      </c>
      <c r="P20" s="57" t="s">
        <v>95</v>
      </c>
      <c r="Q20" s="57" t="s">
        <v>140</v>
      </c>
      <c r="R20" s="57" t="s">
        <v>149</v>
      </c>
      <c r="S20" s="57" t="s">
        <v>119</v>
      </c>
      <c r="T20" s="57" t="s">
        <v>59</v>
      </c>
      <c r="U20" s="57" t="s">
        <v>86</v>
      </c>
      <c r="V20" s="57" t="s">
        <v>29</v>
      </c>
      <c r="W20" s="57" t="s">
        <v>69</v>
      </c>
      <c r="X20" s="57" t="s">
        <v>46</v>
      </c>
    </row>
    <row r="21" spans="3:40" s="219" customFormat="1">
      <c r="C21" s="65" t="str">
        <f ca="1">tblIndicators!A16</f>
        <v>OPER05</v>
      </c>
      <c r="D21" s="65" t="str">
        <f ca="1">tblIndicators!H16</f>
        <v>Quality of transport and water concessions</v>
      </c>
      <c r="E21" s="65"/>
      <c r="F21" s="65" t="s">
        <v>473</v>
      </c>
      <c r="G21" s="65" t="s">
        <v>474</v>
      </c>
      <c r="H21" s="227" t="s">
        <v>169</v>
      </c>
      <c r="I21" s="65" t="s">
        <v>760</v>
      </c>
      <c r="J21" s="65" t="s">
        <v>204</v>
      </c>
      <c r="K21" s="65" t="s">
        <v>808</v>
      </c>
      <c r="L21" s="65" t="s">
        <v>460</v>
      </c>
      <c r="M21" s="65" t="s">
        <v>773</v>
      </c>
      <c r="N21" s="65" t="s">
        <v>493</v>
      </c>
      <c r="O21" s="57" t="s">
        <v>180</v>
      </c>
      <c r="P21" s="57" t="s">
        <v>96</v>
      </c>
      <c r="Q21" s="57" t="s">
        <v>141</v>
      </c>
      <c r="R21" s="57" t="s">
        <v>150</v>
      </c>
      <c r="S21" s="57" t="s">
        <v>120</v>
      </c>
      <c r="T21" s="57" t="s">
        <v>60</v>
      </c>
      <c r="U21" s="57" t="s">
        <v>87</v>
      </c>
      <c r="V21" s="57" t="s">
        <v>30</v>
      </c>
      <c r="W21" s="57" t="s">
        <v>70</v>
      </c>
      <c r="X21" s="57" t="s">
        <v>47</v>
      </c>
    </row>
    <row r="22" spans="3:40" s="219" customFormat="1" ht="16.5" customHeight="1">
      <c r="C22" s="219" t="str">
        <f ca="1">tblIndicators!A17</f>
        <v>INVT</v>
      </c>
      <c r="D22" s="219" t="str">
        <f ca="1">tblIndicators!H17</f>
        <v>Investment climate</v>
      </c>
      <c r="F22" s="206"/>
      <c r="G22" s="206">
        <v>0</v>
      </c>
      <c r="H22" s="226">
        <v>0</v>
      </c>
      <c r="I22" s="206">
        <v>0</v>
      </c>
      <c r="J22" s="206">
        <v>0</v>
      </c>
      <c r="K22" s="206">
        <v>0</v>
      </c>
      <c r="L22" s="206">
        <v>0</v>
      </c>
      <c r="M22" s="206">
        <v>0</v>
      </c>
      <c r="N22" s="206">
        <v>0</v>
      </c>
      <c r="O22" s="206">
        <v>0</v>
      </c>
      <c r="P22" s="206"/>
      <c r="Q22" s="206">
        <v>0</v>
      </c>
      <c r="R22" s="206">
        <v>0</v>
      </c>
      <c r="S22" s="206">
        <v>0</v>
      </c>
      <c r="T22" s="206"/>
      <c r="U22" s="206">
        <v>0</v>
      </c>
      <c r="V22" s="206"/>
      <c r="W22" s="206">
        <v>0</v>
      </c>
      <c r="X22" s="206"/>
    </row>
    <row r="23" spans="3:40" s="65" customFormat="1">
      <c r="C23" s="65" t="str">
        <f ca="1">tblIndicators!A18</f>
        <v>INVT01</v>
      </c>
      <c r="D23" s="65" t="str">
        <f ca="1">tblIndicators!H18</f>
        <v>Political distortion</v>
      </c>
      <c r="F23" s="62" t="s">
        <v>183</v>
      </c>
      <c r="G23" s="62" t="s">
        <v>190</v>
      </c>
      <c r="H23" s="223" t="s">
        <v>170</v>
      </c>
      <c r="I23" s="62" t="s">
        <v>761</v>
      </c>
      <c r="J23" s="62" t="s">
        <v>205</v>
      </c>
      <c r="K23" s="62" t="s">
        <v>809</v>
      </c>
      <c r="L23" s="62" t="s">
        <v>195</v>
      </c>
      <c r="M23" s="62" t="s">
        <v>774</v>
      </c>
      <c r="N23" s="62" t="s">
        <v>494</v>
      </c>
      <c r="O23" s="57" t="s">
        <v>450</v>
      </c>
      <c r="P23" s="57" t="s">
        <v>128</v>
      </c>
      <c r="Q23" s="57" t="s">
        <v>72</v>
      </c>
      <c r="R23" s="57" t="s">
        <v>151</v>
      </c>
      <c r="S23" s="57" t="s">
        <v>122</v>
      </c>
      <c r="T23" s="57" t="s">
        <v>136</v>
      </c>
      <c r="U23" s="57" t="s">
        <v>88</v>
      </c>
      <c r="V23" s="57" t="s">
        <v>31</v>
      </c>
      <c r="W23" s="57" t="s">
        <v>26</v>
      </c>
      <c r="X23" s="57" t="s">
        <v>48</v>
      </c>
    </row>
    <row r="24" spans="3:40" s="65" customFormat="1">
      <c r="C24" s="65" t="str">
        <f ca="1">tblIndicators!A19</f>
        <v>INVT02</v>
      </c>
      <c r="D24" s="65" t="str">
        <f ca="1">tblIndicators!H19</f>
        <v>Business environment</v>
      </c>
      <c r="F24" s="65" t="s">
        <v>184</v>
      </c>
      <c r="G24" s="65" t="s">
        <v>191</v>
      </c>
      <c r="H24" s="227" t="s">
        <v>171</v>
      </c>
      <c r="I24" s="65" t="s">
        <v>762</v>
      </c>
      <c r="J24" s="65" t="s">
        <v>802</v>
      </c>
      <c r="K24" s="65" t="s">
        <v>810</v>
      </c>
      <c r="L24" s="65" t="s">
        <v>461</v>
      </c>
      <c r="M24" s="65" t="s">
        <v>775</v>
      </c>
      <c r="N24" s="65" t="s">
        <v>495</v>
      </c>
      <c r="O24" s="57" t="s">
        <v>451</v>
      </c>
      <c r="P24" s="65" t="s">
        <v>129</v>
      </c>
      <c r="Q24" s="57" t="s">
        <v>73</v>
      </c>
      <c r="R24" s="65" t="s">
        <v>152</v>
      </c>
      <c r="S24" s="57" t="s">
        <v>121</v>
      </c>
      <c r="T24" s="57" t="s">
        <v>111</v>
      </c>
      <c r="U24" s="57" t="s">
        <v>89</v>
      </c>
      <c r="V24" s="57" t="s">
        <v>78</v>
      </c>
      <c r="W24" s="57" t="s">
        <v>27</v>
      </c>
      <c r="X24" s="57" t="s">
        <v>49</v>
      </c>
    </row>
    <row r="25" spans="3:40" s="65" customFormat="1">
      <c r="C25" s="65" t="str">
        <f ca="1">tblIndicators!A20</f>
        <v>INVT03</v>
      </c>
      <c r="D25" s="65" t="str">
        <f ca="1">tblIndicators!H20</f>
        <v>Social attitudes towards privatisation</v>
      </c>
      <c r="F25" s="62" t="s">
        <v>185</v>
      </c>
      <c r="G25" s="62" t="s">
        <v>482</v>
      </c>
      <c r="H25" s="223" t="s">
        <v>172</v>
      </c>
      <c r="I25" s="65" t="s">
        <v>763</v>
      </c>
      <c r="J25" s="65" t="s">
        <v>803</v>
      </c>
      <c r="K25" s="62" t="s">
        <v>811</v>
      </c>
      <c r="L25" s="62" t="s">
        <v>196</v>
      </c>
      <c r="M25" s="62" t="s">
        <v>776</v>
      </c>
      <c r="N25" s="62" t="s">
        <v>496</v>
      </c>
      <c r="O25" s="57" t="s">
        <v>452</v>
      </c>
      <c r="P25" s="62" t="s">
        <v>98</v>
      </c>
      <c r="Q25" s="57" t="s">
        <v>74</v>
      </c>
      <c r="R25" s="57" t="s">
        <v>153</v>
      </c>
      <c r="S25" s="57" t="s">
        <v>123</v>
      </c>
      <c r="T25" s="57" t="s">
        <v>112</v>
      </c>
      <c r="U25" s="57" t="s">
        <v>90</v>
      </c>
      <c r="V25" s="57" t="s">
        <v>32</v>
      </c>
      <c r="W25" s="57" t="s">
        <v>28</v>
      </c>
      <c r="X25" s="57" t="s">
        <v>50</v>
      </c>
    </row>
    <row r="26" spans="3:40" s="68" customFormat="1" ht="16.5" customHeight="1">
      <c r="C26" s="68" t="str">
        <f ca="1">tblIndicators!A21</f>
        <v>FINC</v>
      </c>
      <c r="D26" s="68" t="str">
        <f ca="1">tblIndicators!H21</f>
        <v>Financial facilities</v>
      </c>
      <c r="F26" s="206"/>
      <c r="G26" s="206"/>
      <c r="H26" s="226"/>
      <c r="I26" s="206"/>
      <c r="J26" s="206"/>
      <c r="K26" s="206"/>
      <c r="L26" s="206"/>
      <c r="M26" s="206"/>
      <c r="N26" s="206"/>
      <c r="O26" s="206"/>
      <c r="P26" s="206"/>
      <c r="Q26" s="206"/>
      <c r="R26" s="206"/>
      <c r="S26" s="206"/>
      <c r="T26" s="218"/>
      <c r="U26" s="206"/>
      <c r="V26" s="206"/>
      <c r="W26" s="206"/>
      <c r="X26" s="206"/>
      <c r="Y26" s="219"/>
      <c r="Z26" s="219"/>
      <c r="AA26" s="219"/>
      <c r="AB26" s="219"/>
      <c r="AC26" s="219"/>
      <c r="AD26" s="219"/>
      <c r="AE26" s="219"/>
      <c r="AF26" s="219"/>
      <c r="AG26" s="219"/>
      <c r="AH26" s="219"/>
      <c r="AI26" s="219"/>
      <c r="AJ26" s="219"/>
      <c r="AK26" s="219"/>
      <c r="AL26" s="219"/>
      <c r="AM26" s="219"/>
      <c r="AN26" s="219"/>
    </row>
    <row r="27" spans="3:40">
      <c r="C27" t="str">
        <f ca="1">tblIndicators!A22</f>
        <v>FINC01</v>
      </c>
      <c r="D27" t="str">
        <f ca="1">tblIndicators!H22</f>
        <v>Government payment risk</v>
      </c>
      <c r="F27" s="206" t="s">
        <v>755</v>
      </c>
      <c r="G27" s="206" t="s">
        <v>470</v>
      </c>
      <c r="H27" s="223" t="s">
        <v>479</v>
      </c>
      <c r="I27" s="206" t="s">
        <v>764</v>
      </c>
      <c r="J27" s="206" t="s">
        <v>206</v>
      </c>
      <c r="K27" s="206" t="s">
        <v>812</v>
      </c>
      <c r="L27" s="206" t="s">
        <v>462</v>
      </c>
      <c r="M27" s="206" t="s">
        <v>771</v>
      </c>
      <c r="N27" s="206" t="s">
        <v>497</v>
      </c>
      <c r="O27" s="57" t="s">
        <v>791</v>
      </c>
      <c r="P27" s="206" t="s">
        <v>99</v>
      </c>
      <c r="Q27" s="206" t="s">
        <v>142</v>
      </c>
      <c r="R27" s="57" t="s">
        <v>792</v>
      </c>
      <c r="S27" s="57" t="s">
        <v>124</v>
      </c>
      <c r="T27" s="233" t="s">
        <v>63</v>
      </c>
      <c r="U27" s="57" t="s">
        <v>789</v>
      </c>
      <c r="V27" s="57" t="s">
        <v>79</v>
      </c>
      <c r="W27" s="57" t="s">
        <v>24</v>
      </c>
      <c r="X27" s="57" t="s">
        <v>51</v>
      </c>
      <c r="Y27" s="221"/>
      <c r="Z27" s="65"/>
      <c r="AA27" s="65"/>
      <c r="AB27" s="65"/>
      <c r="AC27" s="65"/>
      <c r="AD27" s="65"/>
      <c r="AE27" s="65"/>
      <c r="AF27" s="65"/>
    </row>
    <row r="28" spans="3:40" s="68" customFormat="1">
      <c r="C28" t="str">
        <f ca="1">tblIndicators!A23</f>
        <v>FINC02</v>
      </c>
      <c r="D28" t="str">
        <f ca="1">tblIndicators!H23</f>
        <v>Capital market: private infrastructure finance</v>
      </c>
      <c r="E28"/>
      <c r="F28" s="206" t="s">
        <v>779</v>
      </c>
      <c r="G28" s="218" t="s">
        <v>471</v>
      </c>
      <c r="H28" s="223" t="s">
        <v>480</v>
      </c>
      <c r="I28" s="206" t="s">
        <v>793</v>
      </c>
      <c r="J28" s="206" t="s">
        <v>207</v>
      </c>
      <c r="K28" s="206" t="s">
        <v>813</v>
      </c>
      <c r="L28" s="206" t="s">
        <v>463</v>
      </c>
      <c r="M28" s="206" t="s">
        <v>466</v>
      </c>
      <c r="N28" s="206" t="s">
        <v>498</v>
      </c>
      <c r="O28" s="57" t="s">
        <v>453</v>
      </c>
      <c r="P28" s="57" t="s">
        <v>100</v>
      </c>
      <c r="Q28" s="57" t="s">
        <v>143</v>
      </c>
      <c r="R28" s="57" t="s">
        <v>154</v>
      </c>
      <c r="S28" s="57" t="s">
        <v>125</v>
      </c>
      <c r="T28" s="57" t="s">
        <v>134</v>
      </c>
      <c r="U28" s="57" t="s">
        <v>91</v>
      </c>
      <c r="V28" s="57" t="s">
        <v>80</v>
      </c>
      <c r="W28" s="57" t="s">
        <v>25</v>
      </c>
      <c r="X28" s="57" t="s">
        <v>52</v>
      </c>
      <c r="Y28" s="219"/>
      <c r="Z28" s="219"/>
      <c r="AA28" s="219"/>
      <c r="AB28" s="219"/>
      <c r="AC28" s="219"/>
      <c r="AD28" s="219"/>
      <c r="AE28" s="219"/>
      <c r="AF28" s="219"/>
    </row>
    <row r="29" spans="3:40" s="65" customFormat="1">
      <c r="C29" s="65" t="str">
        <f ca="1">tblIndicators!A24</f>
        <v>FINC03</v>
      </c>
      <c r="D29" s="65" t="str">
        <f ca="1">tblIndicators!H24</f>
        <v>Marketable debt</v>
      </c>
      <c r="F29" s="218" t="s">
        <v>780</v>
      </c>
      <c r="G29" s="65" t="s">
        <v>483</v>
      </c>
      <c r="H29" s="227" t="s">
        <v>173</v>
      </c>
      <c r="I29" s="65" t="s">
        <v>794</v>
      </c>
      <c r="J29" s="65" t="s">
        <v>208</v>
      </c>
      <c r="K29" s="65" t="s">
        <v>814</v>
      </c>
      <c r="L29" s="65" t="s">
        <v>464</v>
      </c>
      <c r="M29" s="65" t="s">
        <v>197</v>
      </c>
      <c r="N29" s="65" t="s">
        <v>499</v>
      </c>
      <c r="O29" s="57" t="s">
        <v>454</v>
      </c>
      <c r="P29" s="57" t="s">
        <v>132</v>
      </c>
      <c r="Q29" s="57" t="s">
        <v>71</v>
      </c>
      <c r="R29" s="57" t="s">
        <v>155</v>
      </c>
      <c r="S29" s="57" t="s">
        <v>126</v>
      </c>
      <c r="T29" s="57" t="s">
        <v>135</v>
      </c>
      <c r="U29" s="57" t="s">
        <v>93</v>
      </c>
      <c r="V29" s="57" t="s">
        <v>81</v>
      </c>
      <c r="W29" s="57" t="s">
        <v>15</v>
      </c>
      <c r="X29" s="57" t="s">
        <v>54</v>
      </c>
    </row>
    <row r="30" spans="3:40" s="68" customFormat="1" ht="14.25">
      <c r="C30" s="68" t="str">
        <f ca="1">tblIndicators!A25</f>
        <v>FINC04</v>
      </c>
      <c r="D30" s="57" t="str">
        <f ca="1">tblIndicators!H25</f>
        <v>Government support for low income users</v>
      </c>
      <c r="F30" s="206" t="s">
        <v>20</v>
      </c>
      <c r="G30" s="206" t="s">
        <v>472</v>
      </c>
      <c r="H30" s="223" t="s">
        <v>481</v>
      </c>
      <c r="I30" s="231" t="s">
        <v>795</v>
      </c>
      <c r="J30" s="206" t="s">
        <v>209</v>
      </c>
      <c r="K30" s="206" t="s">
        <v>815</v>
      </c>
      <c r="L30" s="206" t="s">
        <v>465</v>
      </c>
      <c r="M30" s="206" t="s">
        <v>198</v>
      </c>
      <c r="N30" s="206" t="s">
        <v>777</v>
      </c>
      <c r="O30" s="57" t="s">
        <v>778</v>
      </c>
      <c r="P30" s="57" t="s">
        <v>133</v>
      </c>
      <c r="Q30" s="57" t="s">
        <v>137</v>
      </c>
      <c r="R30" s="57" t="s">
        <v>156</v>
      </c>
      <c r="S30" s="57" t="s">
        <v>127</v>
      </c>
      <c r="T30" s="57" t="s">
        <v>113</v>
      </c>
      <c r="U30" s="57" t="s">
        <v>92</v>
      </c>
      <c r="V30" s="57" t="s">
        <v>82</v>
      </c>
      <c r="W30" s="57" t="s">
        <v>14</v>
      </c>
      <c r="X30" s="57" t="s">
        <v>53</v>
      </c>
      <c r="Y30" s="206"/>
      <c r="Z30" s="206"/>
      <c r="AA30" s="219"/>
      <c r="AB30" s="219"/>
      <c r="AC30" s="219"/>
      <c r="AD30" s="219"/>
      <c r="AE30" s="219"/>
      <c r="AF30" s="219"/>
    </row>
    <row r="31" spans="3:40">
      <c r="C31" t="str">
        <f ca="1">tblIndicators!A26</f>
        <v>ENDX</v>
      </c>
      <c r="D31" t="str">
        <f ca="1">tblIndicators!H26</f>
        <v>END</v>
      </c>
      <c r="G31" s="57"/>
      <c r="H31" s="228"/>
      <c r="I31" s="218"/>
      <c r="J31" s="57"/>
      <c r="K31" s="57"/>
      <c r="L31" s="57"/>
      <c r="M31" s="206"/>
      <c r="N31" s="206"/>
      <c r="O31" s="57"/>
      <c r="P31" s="57"/>
      <c r="Q31" s="57"/>
      <c r="R31" s="57"/>
      <c r="S31" s="57"/>
      <c r="T31" s="61"/>
      <c r="U31" s="57"/>
      <c r="V31" s="57"/>
      <c r="W31" s="57"/>
      <c r="X31" s="57"/>
      <c r="Y31" s="65"/>
      <c r="Z31" s="65"/>
      <c r="AA31" s="65"/>
      <c r="AB31" s="65"/>
      <c r="AC31" s="65"/>
      <c r="AD31" s="65"/>
      <c r="AE31" s="65"/>
      <c r="AF31" s="65"/>
    </row>
    <row r="32" spans="3:40">
      <c r="C32">
        <f ca="1">tblIndicators!A27</f>
        <v>0</v>
      </c>
      <c r="D32">
        <f ca="1">tblIndicators!H27</f>
        <v>0</v>
      </c>
      <c r="F32" s="57"/>
      <c r="G32" s="57"/>
      <c r="H32" s="228"/>
      <c r="I32" s="61"/>
      <c r="J32" s="57"/>
      <c r="K32" s="57"/>
      <c r="L32" s="57"/>
      <c r="M32" s="206"/>
      <c r="N32" s="206"/>
      <c r="O32" s="57"/>
      <c r="P32" s="57"/>
      <c r="Q32" s="57"/>
      <c r="R32" s="57"/>
      <c r="S32" s="57"/>
      <c r="T32" s="61"/>
      <c r="U32" s="57"/>
      <c r="V32" s="57"/>
      <c r="W32" s="57"/>
      <c r="X32" s="57"/>
      <c r="Y32" s="65"/>
      <c r="Z32" s="65"/>
      <c r="AA32" s="65"/>
      <c r="AB32" s="65"/>
      <c r="AC32" s="65"/>
      <c r="AD32" s="65"/>
      <c r="AE32" s="65"/>
      <c r="AF32" s="65"/>
    </row>
    <row r="33" spans="3:32">
      <c r="C33" t="str">
        <f ca="1">tblIndicators!A28</f>
        <v>ENDX03</v>
      </c>
      <c r="D33" t="str">
        <f ca="1">tblIndicators!H28</f>
        <v>Spare</v>
      </c>
      <c r="F33" s="57"/>
      <c r="G33" s="57"/>
      <c r="H33" s="228"/>
      <c r="I33" s="61"/>
      <c r="J33" s="57"/>
      <c r="K33" s="57"/>
      <c r="L33" s="57"/>
      <c r="M33" s="57"/>
      <c r="N33" s="57"/>
      <c r="O33" s="57"/>
      <c r="P33" s="57"/>
      <c r="Q33" s="57"/>
      <c r="R33" s="57"/>
      <c r="S33" s="57"/>
      <c r="T33" s="61"/>
      <c r="U33" s="57"/>
      <c r="V33" s="57"/>
      <c r="W33" s="57"/>
      <c r="X33" s="57"/>
      <c r="Y33" s="65"/>
      <c r="Z33" s="65"/>
      <c r="AA33" s="65"/>
      <c r="AB33" s="65"/>
      <c r="AC33" s="65"/>
      <c r="AD33" s="65"/>
      <c r="AE33" s="65"/>
      <c r="AF33" s="65"/>
    </row>
    <row r="34" spans="3:32">
      <c r="H34" s="161"/>
      <c r="I34" s="27"/>
      <c r="T34" s="27"/>
      <c r="Y34" s="65"/>
      <c r="Z34" s="65"/>
      <c r="AA34" s="65"/>
      <c r="AB34" s="65"/>
      <c r="AC34" s="65"/>
      <c r="AD34" s="65"/>
      <c r="AE34" s="65"/>
      <c r="AF34" s="65"/>
    </row>
    <row r="35" spans="3:32">
      <c r="H35" s="161"/>
      <c r="I35" s="27"/>
      <c r="T35" s="27"/>
      <c r="Y35" s="65"/>
      <c r="Z35" s="65"/>
      <c r="AA35" s="65"/>
      <c r="AB35" s="65"/>
      <c r="AC35" s="65"/>
      <c r="AD35" s="65"/>
      <c r="AE35" s="65"/>
      <c r="AF35" s="65"/>
    </row>
    <row r="36" spans="3:32">
      <c r="H36" s="161"/>
      <c r="I36" s="27"/>
      <c r="T36" s="27"/>
    </row>
    <row r="37" spans="3:32">
      <c r="I37" s="27"/>
      <c r="T37" s="27"/>
    </row>
    <row r="38" spans="3:32">
      <c r="I38" s="27"/>
      <c r="T38" s="27"/>
    </row>
    <row r="39" spans="3:32">
      <c r="I39" s="27"/>
      <c r="T39" s="27"/>
    </row>
    <row r="40" spans="3:32">
      <c r="I40" s="27"/>
      <c r="T40" s="27"/>
    </row>
    <row r="41" spans="3:32">
      <c r="I41" s="27"/>
      <c r="T41" s="27"/>
    </row>
    <row r="42" spans="3:32">
      <c r="I42" s="27"/>
      <c r="T42" s="27"/>
    </row>
    <row r="43" spans="3:32">
      <c r="I43" s="27"/>
      <c r="T43" s="27"/>
    </row>
    <row r="44" spans="3:32">
      <c r="I44" s="27"/>
    </row>
    <row r="45" spans="3:32">
      <c r="I45" s="27"/>
    </row>
    <row r="46" spans="3:32">
      <c r="I46" s="27"/>
    </row>
    <row r="47" spans="3:32">
      <c r="I47" s="27"/>
    </row>
    <row r="48" spans="3:32">
      <c r="I48" s="27"/>
    </row>
    <row r="49" spans="9:9">
      <c r="I49" s="27"/>
    </row>
    <row r="50" spans="9:9">
      <c r="I50" s="27"/>
    </row>
    <row r="51" spans="9:9">
      <c r="I51" s="27"/>
    </row>
    <row r="52" spans="9:9">
      <c r="I52" s="27"/>
    </row>
    <row r="94" spans="5:6">
      <c r="E94" s="57"/>
      <c r="F94" s="107"/>
    </row>
    <row r="95" spans="5:6">
      <c r="E95" s="57"/>
      <c r="F95" s="107"/>
    </row>
    <row r="96" spans="5:6">
      <c r="E96" s="57"/>
      <c r="F96" s="107"/>
    </row>
    <row r="99" spans="5:6">
      <c r="E99" s="57"/>
    </row>
    <row r="101" spans="5:6">
      <c r="E101" s="57"/>
      <c r="F101" s="107"/>
    </row>
  </sheetData>
  <phoneticPr fontId="61" type="noConversion"/>
  <pageMargins left="0.75" right="0.75" top="1" bottom="1" header="0.5" footer="0.5"/>
  <pageSetup orientation="portrait" r:id="rId1"/>
  <headerFooter alignWithMargins="0"/>
</worksheet>
</file>

<file path=xl/worksheets/sheet17.xml><?xml version="1.0" encoding="utf-8"?>
<worksheet xmlns="http://schemas.openxmlformats.org/spreadsheetml/2006/main" xmlns:r="http://schemas.openxmlformats.org/officeDocument/2006/relationships">
  <sheetPr codeName="Sheet1"/>
  <dimension ref="A1:Q74"/>
  <sheetViews>
    <sheetView topLeftCell="B1" zoomScale="90" zoomScaleNormal="90" workbookViewId="0">
      <pane ySplit="1" topLeftCell="A2" activePane="bottomLeft" state="frozen"/>
      <selection activeCell="D1" sqref="D1"/>
      <selection pane="bottomLeft" activeCell="N5" sqref="N5"/>
    </sheetView>
  </sheetViews>
  <sheetFormatPr defaultRowHeight="10.5"/>
  <cols>
    <col min="1" max="1" width="9.140625" style="4"/>
    <col min="2" max="2" width="7" style="4" customWidth="1"/>
    <col min="3" max="3" width="3.28515625" style="11" customWidth="1"/>
    <col min="4" max="6" width="5.5703125" style="4" customWidth="1"/>
    <col min="7" max="7" width="2.5703125" style="11" customWidth="1"/>
    <col min="8" max="8" width="31" style="4" customWidth="1"/>
    <col min="9" max="9" width="14.7109375" style="4" customWidth="1"/>
    <col min="10" max="11" width="9.140625" style="4"/>
    <col min="12" max="12" width="8.5703125" style="4" customWidth="1"/>
    <col min="13" max="13" width="6.28515625" style="4" customWidth="1"/>
    <col min="14" max="14" width="5.28515625" style="4" customWidth="1"/>
    <col min="15" max="16384" width="9.140625" style="4"/>
  </cols>
  <sheetData>
    <row r="1" spans="1:17">
      <c r="A1" s="3" t="s">
        <v>520</v>
      </c>
      <c r="B1" s="3" t="s">
        <v>521</v>
      </c>
      <c r="C1" s="10" t="s">
        <v>529</v>
      </c>
      <c r="D1" s="3" t="s">
        <v>522</v>
      </c>
      <c r="E1" s="3" t="s">
        <v>321</v>
      </c>
      <c r="F1" s="3" t="s">
        <v>322</v>
      </c>
      <c r="G1" s="10" t="s">
        <v>523</v>
      </c>
      <c r="H1" s="3" t="s">
        <v>525</v>
      </c>
      <c r="I1" s="3" t="s">
        <v>530</v>
      </c>
      <c r="J1" s="3" t="s">
        <v>526</v>
      </c>
      <c r="K1" s="3" t="s">
        <v>549</v>
      </c>
      <c r="L1" s="3" t="s">
        <v>383</v>
      </c>
      <c r="M1" s="3" t="s">
        <v>528</v>
      </c>
      <c r="N1" s="3" t="s">
        <v>527</v>
      </c>
      <c r="O1" s="3" t="s">
        <v>524</v>
      </c>
      <c r="P1" s="3" t="s">
        <v>586</v>
      </c>
      <c r="Q1" s="4" t="s">
        <v>218</v>
      </c>
    </row>
    <row r="2" spans="1:17" s="6" customFormat="1">
      <c r="A2" s="6" t="s">
        <v>532</v>
      </c>
      <c r="C2" s="12">
        <v>0</v>
      </c>
      <c r="D2" s="6" t="s">
        <v>531</v>
      </c>
      <c r="E2" s="6">
        <v>0</v>
      </c>
      <c r="G2" s="11">
        <f t="shared" ref="G2:G45" si="0">IF(K2="GOOD",0,1)</f>
        <v>0</v>
      </c>
      <c r="H2" s="6" t="s">
        <v>590</v>
      </c>
      <c r="I2" s="6" t="s">
        <v>710</v>
      </c>
      <c r="J2" s="6" t="s">
        <v>712</v>
      </c>
      <c r="K2" s="6" t="s">
        <v>550</v>
      </c>
      <c r="L2" s="157" t="s">
        <v>713</v>
      </c>
      <c r="M2" s="131"/>
      <c r="N2" s="6" t="s">
        <v>711</v>
      </c>
      <c r="O2" s="7" t="s">
        <v>551</v>
      </c>
      <c r="P2" s="6" t="s">
        <v>590</v>
      </c>
      <c r="Q2" s="6" t="str">
        <f>CONCATENATE(H2,", ",I2)</f>
        <v>OVERALL SCORE, Weighted sum of the category scores</v>
      </c>
    </row>
    <row r="3" spans="1:17" s="6" customFormat="1">
      <c r="A3" s="6" t="s">
        <v>292</v>
      </c>
      <c r="B3" s="6" t="s">
        <v>532</v>
      </c>
      <c r="C3" s="12">
        <v>1</v>
      </c>
      <c r="D3" s="6" t="s">
        <v>531</v>
      </c>
      <c r="E3" s="6">
        <v>0</v>
      </c>
      <c r="G3" s="11">
        <f t="shared" si="0"/>
        <v>0</v>
      </c>
      <c r="H3" s="6" t="s">
        <v>293</v>
      </c>
      <c r="I3" s="6" t="s">
        <v>408</v>
      </c>
      <c r="J3" s="6" t="s">
        <v>712</v>
      </c>
      <c r="K3" s="6" t="s">
        <v>550</v>
      </c>
      <c r="L3" s="157" t="s">
        <v>361</v>
      </c>
      <c r="M3" s="131"/>
      <c r="N3" s="6" t="s">
        <v>711</v>
      </c>
      <c r="O3" s="7" t="s">
        <v>551</v>
      </c>
      <c r="P3" s="6" t="str">
        <f>CONCATENATE(REPT("   ",C3-1),IF(C3=1,UPPER(H3),H3))</f>
        <v>LEGAL AND REGULATORY FRAMEWORK</v>
      </c>
      <c r="Q3" s="6" t="str">
        <f t="shared" ref="Q3:Q22" si="1">CONCATENATE(H3,", ",I3)</f>
        <v>Legal and regulatory framework, Weighted sum of indicator scores.  0 - 100 where 100 = best and 0 = worst</v>
      </c>
    </row>
    <row r="4" spans="1:17" ht="409.5">
      <c r="A4" s="4" t="s">
        <v>294</v>
      </c>
      <c r="B4" s="4" t="s">
        <v>292</v>
      </c>
      <c r="C4" s="11">
        <v>2</v>
      </c>
      <c r="D4" s="4" t="s">
        <v>323</v>
      </c>
      <c r="E4" s="4">
        <v>0</v>
      </c>
      <c r="F4" s="4">
        <v>25</v>
      </c>
      <c r="G4" s="11">
        <f t="shared" si="0"/>
        <v>0</v>
      </c>
      <c r="H4" s="4" t="s">
        <v>352</v>
      </c>
      <c r="I4" s="4" t="s">
        <v>441</v>
      </c>
      <c r="J4" s="4" t="s">
        <v>697</v>
      </c>
      <c r="K4" s="4" t="s">
        <v>550</v>
      </c>
      <c r="L4" s="4" t="s">
        <v>734</v>
      </c>
      <c r="M4" s="130"/>
      <c r="N4" s="146" t="s">
        <v>743</v>
      </c>
      <c r="O4" s="5" t="s">
        <v>296</v>
      </c>
      <c r="P4" s="4" t="str">
        <f t="shared" ref="P4:P22" si="2">CONCATENATE(REPT("   ",C4-1),IF(C4=1,UPPER(H4),H4))</f>
        <v xml:space="preserve">   Consistency and quality of PPP regulations</v>
      </c>
      <c r="Q4" s="4" t="str">
        <f t="shared" si="1"/>
        <v>Consistency and quality of PPP regulations, 0-4, where 4=best and 0=worst</v>
      </c>
    </row>
    <row r="5" spans="1:17" ht="409.5">
      <c r="A5" s="4" t="s">
        <v>297</v>
      </c>
      <c r="B5" s="4" t="s">
        <v>292</v>
      </c>
      <c r="C5" s="11">
        <v>2</v>
      </c>
      <c r="D5" s="4" t="s">
        <v>323</v>
      </c>
      <c r="E5" s="4">
        <v>0</v>
      </c>
      <c r="F5" s="4">
        <v>25</v>
      </c>
      <c r="G5" s="11">
        <f t="shared" si="0"/>
        <v>0</v>
      </c>
      <c r="H5" s="4" t="s">
        <v>353</v>
      </c>
      <c r="I5" s="4" t="s">
        <v>441</v>
      </c>
      <c r="J5" s="4" t="s">
        <v>697</v>
      </c>
      <c r="K5" s="4" t="s">
        <v>550</v>
      </c>
      <c r="L5" s="4" t="s">
        <v>350</v>
      </c>
      <c r="M5" s="130"/>
      <c r="N5" s="146" t="s">
        <v>746</v>
      </c>
      <c r="O5" s="5" t="s">
        <v>296</v>
      </c>
      <c r="P5" s="4" t="str">
        <f t="shared" si="2"/>
        <v xml:space="preserve">   Effective PPP selection and decision making</v>
      </c>
      <c r="Q5" s="4" t="str">
        <f t="shared" si="1"/>
        <v>Effective PPP selection and decision making, 0-4, where 4=best and 0=worst</v>
      </c>
    </row>
    <row r="6" spans="1:17">
      <c r="A6" s="4" t="s">
        <v>298</v>
      </c>
      <c r="B6" s="4" t="s">
        <v>292</v>
      </c>
      <c r="C6" s="11">
        <v>2</v>
      </c>
      <c r="D6" s="4" t="s">
        <v>323</v>
      </c>
      <c r="E6" s="4">
        <v>0</v>
      </c>
      <c r="F6" s="4">
        <v>25</v>
      </c>
      <c r="G6" s="11">
        <f t="shared" si="0"/>
        <v>0</v>
      </c>
      <c r="H6" s="4" t="s">
        <v>358</v>
      </c>
      <c r="I6" s="4" t="s">
        <v>441</v>
      </c>
      <c r="J6" s="4" t="s">
        <v>697</v>
      </c>
      <c r="K6" s="4" t="s">
        <v>550</v>
      </c>
      <c r="L6" s="4" t="s">
        <v>351</v>
      </c>
      <c r="M6" s="130"/>
      <c r="N6" s="4" t="s">
        <v>747</v>
      </c>
      <c r="O6" s="5" t="s">
        <v>296</v>
      </c>
      <c r="P6" s="4" t="str">
        <f t="shared" si="2"/>
        <v xml:space="preserve">   Fairness/openness of bids, contract changes</v>
      </c>
      <c r="Q6" s="4" t="str">
        <f t="shared" si="1"/>
        <v>Fairness/openness of bids, contract changes, 0-4, where 4=best and 0=worst</v>
      </c>
    </row>
    <row r="7" spans="1:17">
      <c r="A7" s="4" t="s">
        <v>300</v>
      </c>
      <c r="B7" s="4" t="s">
        <v>292</v>
      </c>
      <c r="C7" s="11">
        <v>2</v>
      </c>
      <c r="D7" s="4" t="s">
        <v>323</v>
      </c>
      <c r="E7" s="4">
        <v>0</v>
      </c>
      <c r="F7" s="4">
        <v>25</v>
      </c>
      <c r="G7" s="11">
        <f t="shared" si="0"/>
        <v>0</v>
      </c>
      <c r="H7" s="4" t="s">
        <v>413</v>
      </c>
      <c r="I7" s="4" t="s">
        <v>441</v>
      </c>
      <c r="J7" s="4" t="s">
        <v>697</v>
      </c>
      <c r="K7" s="4" t="s">
        <v>550</v>
      </c>
      <c r="L7" s="4" t="s">
        <v>729</v>
      </c>
      <c r="M7" s="130"/>
      <c r="N7" s="4" t="s">
        <v>748</v>
      </c>
      <c r="O7" s="5" t="s">
        <v>296</v>
      </c>
      <c r="P7" s="4" t="str">
        <f t="shared" si="2"/>
        <v xml:space="preserve">   Dispute resolution mechanisms</v>
      </c>
      <c r="Q7" s="4" t="str">
        <f t="shared" si="1"/>
        <v>Dispute resolution mechanisms, 0-4, where 4=best and 0=worst</v>
      </c>
    </row>
    <row r="8" spans="1:17" s="6" customFormat="1">
      <c r="A8" s="6" t="s">
        <v>414</v>
      </c>
      <c r="B8" s="6" t="s">
        <v>532</v>
      </c>
      <c r="C8" s="12">
        <v>1</v>
      </c>
      <c r="D8" s="6" t="s">
        <v>531</v>
      </c>
      <c r="E8" s="6">
        <v>0</v>
      </c>
      <c r="G8" s="11">
        <f>IF(K8="GOOD",0,1)</f>
        <v>0</v>
      </c>
      <c r="H8" s="6" t="s">
        <v>415</v>
      </c>
      <c r="I8" s="6" t="s">
        <v>408</v>
      </c>
      <c r="J8" s="6" t="s">
        <v>712</v>
      </c>
      <c r="K8" s="6" t="s">
        <v>550</v>
      </c>
      <c r="L8" s="157" t="s">
        <v>362</v>
      </c>
      <c r="M8" s="131"/>
      <c r="N8" s="6" t="s">
        <v>711</v>
      </c>
      <c r="O8" s="7" t="s">
        <v>551</v>
      </c>
      <c r="P8" s="6" t="str">
        <f t="shared" si="2"/>
        <v>INSTITUTIONAL FRAMEWORK</v>
      </c>
      <c r="Q8" s="6" t="str">
        <f t="shared" si="1"/>
        <v>Institutional framework, Weighted sum of indicator scores.  0 - 100 where 100 = best and 0 = worst</v>
      </c>
    </row>
    <row r="9" spans="1:17">
      <c r="A9" s="4" t="s">
        <v>416</v>
      </c>
      <c r="B9" s="4" t="s">
        <v>414</v>
      </c>
      <c r="C9" s="11">
        <v>2</v>
      </c>
      <c r="D9" s="4" t="s">
        <v>323</v>
      </c>
      <c r="E9" s="4">
        <v>0</v>
      </c>
      <c r="F9" s="4">
        <v>25</v>
      </c>
      <c r="G9" s="11">
        <f>IF(K9="GOOD",0,1)</f>
        <v>0</v>
      </c>
      <c r="H9" s="4" t="s">
        <v>735</v>
      </c>
      <c r="I9" s="4" t="s">
        <v>441</v>
      </c>
      <c r="J9" s="4" t="s">
        <v>697</v>
      </c>
      <c r="K9" s="4" t="s">
        <v>550</v>
      </c>
      <c r="L9" s="4" t="s">
        <v>757</v>
      </c>
      <c r="M9" s="130"/>
      <c r="N9" s="4" t="s">
        <v>749</v>
      </c>
      <c r="O9" s="5" t="s">
        <v>296</v>
      </c>
      <c r="P9" s="4" t="str">
        <f t="shared" si="2"/>
        <v xml:space="preserve">   Quality of institutional design</v>
      </c>
      <c r="Q9" s="4" t="str">
        <f t="shared" si="1"/>
        <v>Quality of institutional design, 0-4, where 4=best and 0=worst</v>
      </c>
    </row>
    <row r="10" spans="1:17">
      <c r="A10" s="4" t="s">
        <v>417</v>
      </c>
      <c r="B10" s="4" t="s">
        <v>414</v>
      </c>
      <c r="C10" s="11">
        <v>2</v>
      </c>
      <c r="D10" s="4" t="s">
        <v>323</v>
      </c>
      <c r="E10" s="4">
        <v>0</v>
      </c>
      <c r="F10" s="4">
        <v>25</v>
      </c>
      <c r="G10" s="11">
        <f>IF(K10="GOOD",0,1)</f>
        <v>0</v>
      </c>
      <c r="H10" s="4" t="s">
        <v>357</v>
      </c>
      <c r="I10" s="4" t="s">
        <v>441</v>
      </c>
      <c r="J10" s="4" t="s">
        <v>697</v>
      </c>
      <c r="K10" s="4" t="s">
        <v>550</v>
      </c>
      <c r="L10" s="4" t="s">
        <v>756</v>
      </c>
      <c r="M10" s="130"/>
      <c r="N10" s="4" t="s">
        <v>501</v>
      </c>
      <c r="O10" s="5" t="s">
        <v>296</v>
      </c>
      <c r="P10" s="4" t="str">
        <f t="shared" si="2"/>
        <v xml:space="preserve">   PPP contract, hold-up and expropriation risk</v>
      </c>
      <c r="Q10" s="4" t="str">
        <f t="shared" si="1"/>
        <v>PPP contract, hold-up and expropriation risk, 0-4, where 4=best and 0=worst</v>
      </c>
    </row>
    <row r="11" spans="1:17" s="6" customFormat="1">
      <c r="A11" s="6" t="s">
        <v>419</v>
      </c>
      <c r="B11" s="6" t="s">
        <v>532</v>
      </c>
      <c r="C11" s="12">
        <v>1</v>
      </c>
      <c r="D11" s="6" t="s">
        <v>531</v>
      </c>
      <c r="E11" s="6">
        <v>0</v>
      </c>
      <c r="G11" s="11">
        <f>IF(K11="GOOD",0,1)</f>
        <v>0</v>
      </c>
      <c r="H11" s="6" t="s">
        <v>418</v>
      </c>
      <c r="I11" s="6" t="s">
        <v>408</v>
      </c>
      <c r="J11" s="6" t="s">
        <v>712</v>
      </c>
      <c r="K11" s="6" t="s">
        <v>550</v>
      </c>
      <c r="L11" s="157" t="s">
        <v>367</v>
      </c>
      <c r="M11" s="131"/>
      <c r="N11" s="6" t="s">
        <v>711</v>
      </c>
      <c r="O11" s="7" t="s">
        <v>551</v>
      </c>
      <c r="P11" s="6" t="str">
        <f t="shared" si="2"/>
        <v>OPERATIONAL MATURITY</v>
      </c>
      <c r="Q11" s="6" t="str">
        <f t="shared" si="1"/>
        <v>Operational maturity, Weighted sum of indicator scores.  0 - 100 where 100 = best and 0 = worst</v>
      </c>
    </row>
    <row r="12" spans="1:17">
      <c r="A12" s="4" t="s">
        <v>420</v>
      </c>
      <c r="B12" s="4" t="s">
        <v>419</v>
      </c>
      <c r="C12" s="11">
        <v>2</v>
      </c>
      <c r="D12" s="4" t="s">
        <v>323</v>
      </c>
      <c r="E12" s="4">
        <v>0</v>
      </c>
      <c r="F12" s="4">
        <v>25</v>
      </c>
      <c r="G12" s="11">
        <f>IF(K12="GOOD",0,1)</f>
        <v>0</v>
      </c>
      <c r="H12" s="4" t="s">
        <v>354</v>
      </c>
      <c r="I12" s="4" t="s">
        <v>441</v>
      </c>
      <c r="J12" s="4" t="s">
        <v>697</v>
      </c>
      <c r="K12" s="4" t="s">
        <v>550</v>
      </c>
      <c r="L12" s="4" t="s">
        <v>782</v>
      </c>
      <c r="M12" s="130"/>
      <c r="N12" s="4" t="s">
        <v>442</v>
      </c>
      <c r="O12" s="5" t="s">
        <v>296</v>
      </c>
      <c r="P12" s="4" t="str">
        <f t="shared" si="2"/>
        <v xml:space="preserve">   Public capacity to plan and oversee PPPs</v>
      </c>
      <c r="Q12" s="4" t="str">
        <f t="shared" si="1"/>
        <v>Public capacity to plan and oversee PPPs, 0-4, where 4=best and 0=worst</v>
      </c>
    </row>
    <row r="13" spans="1:17">
      <c r="A13" s="4" t="s">
        <v>421</v>
      </c>
      <c r="B13" s="4" t="s">
        <v>419</v>
      </c>
      <c r="C13" s="11">
        <v>2</v>
      </c>
      <c r="D13" s="4" t="s">
        <v>323</v>
      </c>
      <c r="E13" s="4">
        <v>0</v>
      </c>
      <c r="F13" s="4">
        <v>25</v>
      </c>
      <c r="G13" s="11">
        <f t="shared" si="0"/>
        <v>0</v>
      </c>
      <c r="H13" s="4" t="s">
        <v>355</v>
      </c>
      <c r="I13" s="4" t="s">
        <v>441</v>
      </c>
      <c r="J13" s="4" t="s">
        <v>697</v>
      </c>
      <c r="K13" s="4" t="s">
        <v>550</v>
      </c>
      <c r="L13" s="4" t="s">
        <v>783</v>
      </c>
      <c r="M13" s="130"/>
      <c r="N13" s="67" t="s">
        <v>708</v>
      </c>
      <c r="O13" s="5" t="s">
        <v>296</v>
      </c>
      <c r="P13" s="4" t="str">
        <f t="shared" si="2"/>
        <v xml:space="preserve">   Methods and criteria for awarding projects </v>
      </c>
      <c r="Q13" s="4" t="str">
        <f t="shared" si="1"/>
        <v>Methods and criteria for awarding projects , 0-4, where 4=best and 0=worst</v>
      </c>
    </row>
    <row r="14" spans="1:17">
      <c r="A14" s="4" t="s">
        <v>422</v>
      </c>
      <c r="B14" s="4" t="s">
        <v>419</v>
      </c>
      <c r="C14" s="11">
        <v>2</v>
      </c>
      <c r="D14" s="4" t="s">
        <v>323</v>
      </c>
      <c r="E14" s="4">
        <v>0</v>
      </c>
      <c r="F14" s="4">
        <v>25</v>
      </c>
      <c r="G14" s="11">
        <f t="shared" si="0"/>
        <v>0</v>
      </c>
      <c r="H14" s="4" t="s">
        <v>356</v>
      </c>
      <c r="I14" s="4" t="s">
        <v>441</v>
      </c>
      <c r="J14" s="4" t="s">
        <v>697</v>
      </c>
      <c r="K14" s="4" t="s">
        <v>550</v>
      </c>
      <c r="L14" s="4" t="s">
        <v>784</v>
      </c>
      <c r="M14" s="130"/>
      <c r="N14" s="4" t="s">
        <v>443</v>
      </c>
      <c r="O14" s="5" t="s">
        <v>296</v>
      </c>
      <c r="P14" s="4" t="str">
        <f t="shared" si="2"/>
        <v xml:space="preserve">   Regulators' risk allocation record</v>
      </c>
      <c r="Q14" s="4" t="str">
        <f t="shared" si="1"/>
        <v>Regulators' risk allocation record, 0-4, where 4=best and 0=worst</v>
      </c>
    </row>
    <row r="15" spans="1:17">
      <c r="A15" s="4" t="s">
        <v>423</v>
      </c>
      <c r="B15" s="4" t="s">
        <v>419</v>
      </c>
      <c r="C15" s="11">
        <v>2</v>
      </c>
      <c r="D15" s="3" t="s">
        <v>548</v>
      </c>
      <c r="E15" s="3">
        <v>0</v>
      </c>
      <c r="F15" s="3">
        <v>1</v>
      </c>
      <c r="G15" s="11">
        <f t="shared" si="0"/>
        <v>0</v>
      </c>
      <c r="H15" s="4" t="s">
        <v>359</v>
      </c>
      <c r="I15" s="4" t="s">
        <v>739</v>
      </c>
      <c r="J15" s="4" t="s">
        <v>698</v>
      </c>
      <c r="K15" s="3" t="s">
        <v>550</v>
      </c>
      <c r="L15" s="4" t="s">
        <v>372</v>
      </c>
      <c r="M15" s="130"/>
      <c r="N15" s="4" t="s">
        <v>369</v>
      </c>
      <c r="O15" s="5" t="s">
        <v>296</v>
      </c>
      <c r="P15" s="4" t="str">
        <f t="shared" si="2"/>
        <v xml:space="preserve">   Experience in transport &amp; water concessions</v>
      </c>
      <c r="Q15" s="4" t="str">
        <f t="shared" si="1"/>
        <v>Experience in transport &amp; water concessions, Normalised: higher=better</v>
      </c>
    </row>
    <row r="16" spans="1:17">
      <c r="A16" s="4" t="s">
        <v>424</v>
      </c>
      <c r="B16" s="4" t="s">
        <v>419</v>
      </c>
      <c r="C16" s="11">
        <v>2</v>
      </c>
      <c r="D16" s="3" t="s">
        <v>548</v>
      </c>
      <c r="E16" s="3">
        <v>0</v>
      </c>
      <c r="F16" s="3">
        <v>1</v>
      </c>
      <c r="G16" s="11">
        <f t="shared" ref="G16:G22" si="3">IF(K16="GOOD",0,1)</f>
        <v>1</v>
      </c>
      <c r="H16" s="4" t="s">
        <v>368</v>
      </c>
      <c r="I16" s="4" t="s">
        <v>740</v>
      </c>
      <c r="J16" s="4" t="s">
        <v>698</v>
      </c>
      <c r="K16" s="3" t="s">
        <v>552</v>
      </c>
      <c r="L16" s="4" t="s">
        <v>373</v>
      </c>
      <c r="M16" s="130"/>
      <c r="N16" s="4" t="s">
        <v>739</v>
      </c>
      <c r="O16" s="140" t="s">
        <v>551</v>
      </c>
      <c r="P16" s="4" t="str">
        <f t="shared" si="2"/>
        <v xml:space="preserve">   Quality of transport and water concessions</v>
      </c>
      <c r="Q16" s="4" t="str">
        <f t="shared" si="1"/>
        <v>Quality of transport and water concessions, Normalised: lower=better</v>
      </c>
    </row>
    <row r="17" spans="1:17" s="6" customFormat="1">
      <c r="A17" s="6" t="s">
        <v>426</v>
      </c>
      <c r="B17" s="6" t="s">
        <v>532</v>
      </c>
      <c r="C17" s="12">
        <v>1</v>
      </c>
      <c r="D17" s="6" t="s">
        <v>531</v>
      </c>
      <c r="E17" s="6">
        <v>0</v>
      </c>
      <c r="G17" s="11">
        <f t="shared" si="3"/>
        <v>0</v>
      </c>
      <c r="H17" s="6" t="s">
        <v>425</v>
      </c>
      <c r="I17" s="6" t="s">
        <v>408</v>
      </c>
      <c r="J17" s="6" t="s">
        <v>712</v>
      </c>
      <c r="K17" s="6" t="s">
        <v>550</v>
      </c>
      <c r="L17" s="157" t="s">
        <v>363</v>
      </c>
      <c r="M17" s="131"/>
      <c r="N17" s="6" t="s">
        <v>711</v>
      </c>
      <c r="O17" s="7">
        <v>0</v>
      </c>
      <c r="P17" s="6" t="str">
        <f t="shared" si="2"/>
        <v>INVESTMENT CLIMATE</v>
      </c>
      <c r="Q17" s="6" t="str">
        <f t="shared" si="1"/>
        <v>Investment climate, Weighted sum of indicator scores.  0 - 100 where 100 = best and 0 = worst</v>
      </c>
    </row>
    <row r="18" spans="1:17">
      <c r="A18" s="4" t="s">
        <v>427</v>
      </c>
      <c r="B18" s="4" t="s">
        <v>426</v>
      </c>
      <c r="C18" s="11">
        <v>2</v>
      </c>
      <c r="D18" s="3" t="s">
        <v>548</v>
      </c>
      <c r="E18" s="4">
        <v>0</v>
      </c>
      <c r="F18" s="3">
        <v>1</v>
      </c>
      <c r="G18" s="11">
        <f t="shared" si="3"/>
        <v>0</v>
      </c>
      <c r="H18" s="4" t="s">
        <v>741</v>
      </c>
      <c r="I18" s="4" t="s">
        <v>739</v>
      </c>
      <c r="J18" s="4" t="s">
        <v>694</v>
      </c>
      <c r="K18" s="3" t="s">
        <v>550</v>
      </c>
      <c r="L18" s="4" t="s">
        <v>504</v>
      </c>
      <c r="M18" s="130"/>
      <c r="O18" s="5" t="s">
        <v>296</v>
      </c>
      <c r="P18" s="4" t="str">
        <f t="shared" si="2"/>
        <v xml:space="preserve">   Political distortion</v>
      </c>
      <c r="Q18" s="4" t="str">
        <f t="shared" si="1"/>
        <v>Political distortion, Normalised: higher=better</v>
      </c>
    </row>
    <row r="19" spans="1:17">
      <c r="A19" s="4" t="s">
        <v>428</v>
      </c>
      <c r="B19" s="4" t="s">
        <v>426</v>
      </c>
      <c r="C19" s="11">
        <v>2</v>
      </c>
      <c r="D19" s="3" t="s">
        <v>548</v>
      </c>
      <c r="E19" s="4">
        <v>0</v>
      </c>
      <c r="F19" s="3">
        <v>1</v>
      </c>
      <c r="G19" s="11">
        <f t="shared" si="3"/>
        <v>0</v>
      </c>
      <c r="H19" s="4" t="s">
        <v>431</v>
      </c>
      <c r="I19" s="4" t="s">
        <v>739</v>
      </c>
      <c r="J19" s="4" t="s">
        <v>695</v>
      </c>
      <c r="K19" s="3" t="s">
        <v>550</v>
      </c>
      <c r="L19" s="4" t="s">
        <v>700</v>
      </c>
      <c r="M19" s="130"/>
      <c r="O19" s="5" t="s">
        <v>296</v>
      </c>
      <c r="P19" s="4" t="str">
        <f t="shared" si="2"/>
        <v xml:space="preserve">   Business environment</v>
      </c>
      <c r="Q19" s="4" t="str">
        <f t="shared" si="1"/>
        <v>Business environment, Normalised: higher=better</v>
      </c>
    </row>
    <row r="20" spans="1:17">
      <c r="A20" s="4" t="s">
        <v>429</v>
      </c>
      <c r="B20" s="4" t="s">
        <v>426</v>
      </c>
      <c r="C20" s="11">
        <v>2</v>
      </c>
      <c r="D20" s="3" t="s">
        <v>548</v>
      </c>
      <c r="E20" s="3">
        <v>0</v>
      </c>
      <c r="F20" s="3">
        <v>1</v>
      </c>
      <c r="G20" s="11">
        <f t="shared" si="3"/>
        <v>1</v>
      </c>
      <c r="H20" s="4" t="s">
        <v>432</v>
      </c>
      <c r="I20" s="4" t="s">
        <v>740</v>
      </c>
      <c r="J20" s="67" t="s">
        <v>371</v>
      </c>
      <c r="K20" s="3" t="s">
        <v>552</v>
      </c>
      <c r="L20" s="4" t="s">
        <v>696</v>
      </c>
      <c r="M20" s="130"/>
      <c r="N20" s="4" t="s">
        <v>370</v>
      </c>
      <c r="O20" s="140" t="s">
        <v>742</v>
      </c>
      <c r="P20" s="4" t="str">
        <f t="shared" si="2"/>
        <v xml:space="preserve">   Social attitudes towards privatisation</v>
      </c>
      <c r="Q20" s="4" t="str">
        <f t="shared" si="1"/>
        <v>Social attitudes towards privatisation, Normalised: lower=better</v>
      </c>
    </row>
    <row r="21" spans="1:17" s="6" customFormat="1">
      <c r="A21" s="6" t="s">
        <v>433</v>
      </c>
      <c r="B21" s="6" t="s">
        <v>532</v>
      </c>
      <c r="C21" s="12">
        <v>1</v>
      </c>
      <c r="D21" s="6" t="s">
        <v>531</v>
      </c>
      <c r="E21" s="6">
        <v>0</v>
      </c>
      <c r="G21" s="11">
        <f t="shared" si="3"/>
        <v>0</v>
      </c>
      <c r="H21" s="6" t="s">
        <v>709</v>
      </c>
      <c r="I21" s="6" t="s">
        <v>408</v>
      </c>
      <c r="J21" s="6" t="s">
        <v>712</v>
      </c>
      <c r="K21" s="6" t="s">
        <v>550</v>
      </c>
      <c r="L21" s="157" t="s">
        <v>366</v>
      </c>
      <c r="M21" s="131"/>
      <c r="N21" s="6" t="s">
        <v>711</v>
      </c>
      <c r="O21" s="7" t="s">
        <v>551</v>
      </c>
      <c r="P21" s="6" t="str">
        <f t="shared" si="2"/>
        <v>FINANCIAL FACILITIES</v>
      </c>
      <c r="Q21" s="6" t="str">
        <f t="shared" si="1"/>
        <v>Financial facilities, Weighted sum of indicator scores.  0 - 100 where 100 = best and 0 = worst</v>
      </c>
    </row>
    <row r="22" spans="1:17">
      <c r="A22" s="4" t="s">
        <v>434</v>
      </c>
      <c r="B22" s="4" t="s">
        <v>433</v>
      </c>
      <c r="C22" s="11">
        <v>2</v>
      </c>
      <c r="D22" s="4" t="s">
        <v>323</v>
      </c>
      <c r="E22" s="4">
        <v>0</v>
      </c>
      <c r="F22" s="4">
        <v>25</v>
      </c>
      <c r="G22" s="11">
        <f t="shared" si="3"/>
        <v>0</v>
      </c>
      <c r="H22" s="4" t="s">
        <v>365</v>
      </c>
      <c r="I22" s="4" t="s">
        <v>441</v>
      </c>
      <c r="J22" s="4" t="s">
        <v>697</v>
      </c>
      <c r="K22" s="4" t="s">
        <v>550</v>
      </c>
      <c r="L22" s="4" t="s">
        <v>364</v>
      </c>
      <c r="M22" s="130"/>
      <c r="N22" s="4" t="s">
        <v>444</v>
      </c>
      <c r="O22" s="5" t="s">
        <v>296</v>
      </c>
      <c r="P22" s="4" t="str">
        <f t="shared" si="2"/>
        <v xml:space="preserve">   Government payment risk</v>
      </c>
      <c r="Q22" s="4" t="str">
        <f t="shared" si="1"/>
        <v>Government payment risk, 0-4, where 4=best and 0=worst</v>
      </c>
    </row>
    <row r="23" spans="1:17">
      <c r="A23" s="4" t="s">
        <v>435</v>
      </c>
      <c r="B23" s="4" t="s">
        <v>433</v>
      </c>
      <c r="C23" s="11">
        <v>2</v>
      </c>
      <c r="D23" s="4" t="s">
        <v>323</v>
      </c>
      <c r="E23" s="4">
        <v>0</v>
      </c>
      <c r="F23" s="4">
        <v>25</v>
      </c>
      <c r="G23" s="11">
        <f t="shared" ref="G23:G28" si="4">IF(K23="GOOD",0,1)</f>
        <v>0</v>
      </c>
      <c r="H23" s="4" t="s">
        <v>360</v>
      </c>
      <c r="I23" s="4" t="s">
        <v>441</v>
      </c>
      <c r="J23" s="4" t="s">
        <v>697</v>
      </c>
      <c r="K23" s="4" t="s">
        <v>550</v>
      </c>
      <c r="L23" s="4" t="s">
        <v>502</v>
      </c>
      <c r="M23" s="130"/>
      <c r="N23" s="4" t="s">
        <v>751</v>
      </c>
      <c r="O23" s="5" t="s">
        <v>296</v>
      </c>
      <c r="P23" s="4" t="str">
        <f t="shared" ref="P23:P28" si="5">CONCATENATE(REPT("   ",C23-1),IF(C23=1,UPPER(H23),H23))</f>
        <v xml:space="preserve">   Capital market: private infrastructure finance</v>
      </c>
      <c r="Q23" s="4" t="str">
        <f t="shared" ref="Q23:Q28" si="6">CONCATENATE(H23,", ",I23)</f>
        <v>Capital market: private infrastructure finance, 0-4, where 4=best and 0=worst</v>
      </c>
    </row>
    <row r="24" spans="1:17" ht="10.5" customHeight="1">
      <c r="A24" s="4" t="s">
        <v>436</v>
      </c>
      <c r="B24" s="4" t="s">
        <v>433</v>
      </c>
      <c r="C24" s="11">
        <v>2</v>
      </c>
      <c r="D24" s="4" t="s">
        <v>323</v>
      </c>
      <c r="E24" s="4">
        <v>0</v>
      </c>
      <c r="F24" s="4">
        <v>25</v>
      </c>
      <c r="G24" s="11">
        <f t="shared" si="4"/>
        <v>0</v>
      </c>
      <c r="H24" s="4" t="s">
        <v>307</v>
      </c>
      <c r="I24" s="4" t="s">
        <v>441</v>
      </c>
      <c r="J24" s="4" t="s">
        <v>699</v>
      </c>
      <c r="K24" s="4" t="s">
        <v>550</v>
      </c>
      <c r="L24" s="4" t="s">
        <v>503</v>
      </c>
      <c r="M24" s="130"/>
      <c r="N24" s="4" t="s">
        <v>382</v>
      </c>
      <c r="O24" s="5" t="s">
        <v>296</v>
      </c>
      <c r="P24" s="4" t="str">
        <f t="shared" si="5"/>
        <v xml:space="preserve">   Marketable debt</v>
      </c>
      <c r="Q24" s="4" t="str">
        <f t="shared" si="6"/>
        <v>Marketable debt, 0-4, where 4=best and 0=worst</v>
      </c>
    </row>
    <row r="25" spans="1:17" ht="10.5" customHeight="1">
      <c r="A25" s="4" t="s">
        <v>744</v>
      </c>
      <c r="B25" s="4" t="s">
        <v>433</v>
      </c>
      <c r="C25" s="11">
        <v>2</v>
      </c>
      <c r="D25" s="4" t="s">
        <v>323</v>
      </c>
      <c r="E25" s="4">
        <v>0</v>
      </c>
      <c r="F25" s="4">
        <v>25</v>
      </c>
      <c r="G25" s="11">
        <f>IF(K25="GOOD",0,1)</f>
        <v>0</v>
      </c>
      <c r="H25" s="4" t="s">
        <v>736</v>
      </c>
      <c r="I25" s="4" t="s">
        <v>441</v>
      </c>
      <c r="J25" s="4" t="s">
        <v>697</v>
      </c>
      <c r="K25" s="4" t="s">
        <v>550</v>
      </c>
      <c r="L25" s="4" t="s">
        <v>737</v>
      </c>
      <c r="M25" s="130"/>
      <c r="N25" s="146" t="s">
        <v>701</v>
      </c>
      <c r="O25" s="5" t="s">
        <v>296</v>
      </c>
      <c r="P25" s="4" t="str">
        <f>CONCATENATE(REPT("   ",C25-1),IF(C25=1,UPPER(H25),H25))</f>
        <v xml:space="preserve">   Government support for low income users</v>
      </c>
      <c r="Q25" s="4" t="str">
        <f>CONCATENATE(H25,", ",I25)</f>
        <v>Government support for low income users, 0-4, where 4=best and 0=worst</v>
      </c>
    </row>
    <row r="26" spans="1:17" s="6" customFormat="1">
      <c r="A26" s="6" t="s">
        <v>438</v>
      </c>
      <c r="B26" s="6" t="s">
        <v>532</v>
      </c>
      <c r="C26" s="12">
        <v>1</v>
      </c>
      <c r="D26" s="6" t="s">
        <v>531</v>
      </c>
      <c r="E26" s="6">
        <v>0</v>
      </c>
      <c r="G26" s="11">
        <f>IF(K26="GOOD",0,1)</f>
        <v>0</v>
      </c>
      <c r="H26" s="6" t="s">
        <v>437</v>
      </c>
      <c r="I26" s="6" t="s">
        <v>408</v>
      </c>
      <c r="J26" s="6" t="s">
        <v>399</v>
      </c>
      <c r="K26" s="6" t="s">
        <v>550</v>
      </c>
      <c r="M26" s="131"/>
      <c r="O26" s="7" t="s">
        <v>551</v>
      </c>
      <c r="P26" s="6" t="str">
        <f>CONCATENATE(REPT("   ",C26-1),IF(C26=1,UPPER(H26),H26))</f>
        <v>END</v>
      </c>
      <c r="Q26" s="6" t="str">
        <f>CONCATENATE(H26,", ",I26)</f>
        <v>END, Weighted sum of indicator scores.  0 - 100 where 100 = best and 0 = worst</v>
      </c>
    </row>
    <row r="27" spans="1:17" s="6" customFormat="1">
      <c r="C27" s="12"/>
      <c r="G27" s="11"/>
      <c r="M27" s="131"/>
      <c r="O27" s="7"/>
    </row>
    <row r="28" spans="1:17" ht="12.75">
      <c r="A28" s="4" t="s">
        <v>439</v>
      </c>
      <c r="B28" s="4" t="s">
        <v>438</v>
      </c>
      <c r="C28" s="11">
        <v>2</v>
      </c>
      <c r="D28" s="4" t="s">
        <v>323</v>
      </c>
      <c r="E28" s="4">
        <v>0</v>
      </c>
      <c r="F28" s="4">
        <v>25</v>
      </c>
      <c r="G28" s="11">
        <f t="shared" si="4"/>
        <v>0</v>
      </c>
      <c r="H28" s="4" t="s">
        <v>440</v>
      </c>
      <c r="I28" s="4" t="s">
        <v>441</v>
      </c>
      <c r="J28" s="4" t="s">
        <v>430</v>
      </c>
      <c r="K28" s="4" t="s">
        <v>550</v>
      </c>
      <c r="M28" s="130"/>
      <c r="N28"/>
      <c r="O28" s="5" t="s">
        <v>296</v>
      </c>
      <c r="P28" s="4" t="str">
        <f t="shared" si="5"/>
        <v xml:space="preserve">   Spare</v>
      </c>
      <c r="Q28" s="4" t="str">
        <f t="shared" si="6"/>
        <v>Spare, 0-4, where 4=best and 0=worst</v>
      </c>
    </row>
    <row r="29" spans="1:17" s="6" customFormat="1">
      <c r="A29" s="6" t="s">
        <v>327</v>
      </c>
      <c r="C29" s="12">
        <v>1</v>
      </c>
      <c r="G29" s="11">
        <f t="shared" si="0"/>
        <v>1</v>
      </c>
      <c r="H29" s="6" t="s">
        <v>308</v>
      </c>
      <c r="M29" s="131"/>
      <c r="O29" s="7" t="s">
        <v>551</v>
      </c>
      <c r="P29" s="6" t="str">
        <f t="shared" ref="P29:P34" si="7">CONCATENATE(REPT("   ",C29-1),IF(C29=1,UPPER(H29),H29))</f>
        <v>DEPENDENT VARIABLES</v>
      </c>
      <c r="Q29" s="6" t="str">
        <f t="shared" ref="Q29:Q34" si="8">CONCATENATE(H29,", ",I29)</f>
        <v xml:space="preserve">Dependent variables, </v>
      </c>
    </row>
    <row r="30" spans="1:17">
      <c r="A30" s="4" t="s">
        <v>328</v>
      </c>
      <c r="C30" s="11">
        <v>2</v>
      </c>
      <c r="D30" s="4" t="s">
        <v>548</v>
      </c>
      <c r="F30" s="4">
        <v>1</v>
      </c>
      <c r="G30" s="11">
        <f t="shared" si="0"/>
        <v>1</v>
      </c>
      <c r="H30" s="4" t="s">
        <v>345</v>
      </c>
      <c r="I30" s="4" t="s">
        <v>401</v>
      </c>
      <c r="J30" s="4" t="s">
        <v>400</v>
      </c>
      <c r="K30" s="4" t="s">
        <v>552</v>
      </c>
      <c r="M30" s="130"/>
      <c r="O30" s="5" t="s">
        <v>551</v>
      </c>
      <c r="P30" s="4" t="str">
        <f t="shared" si="7"/>
        <v xml:space="preserve">   Cancelled / distressed projects (percent of projects)</v>
      </c>
      <c r="Q30" s="4" t="str">
        <f t="shared" si="8"/>
        <v>Cancelled / distressed projects (percent of projects), % of projects cancelled from 1990-2007</v>
      </c>
    </row>
    <row r="31" spans="1:17">
      <c r="A31" s="4" t="s">
        <v>329</v>
      </c>
      <c r="C31" s="11">
        <v>2</v>
      </c>
      <c r="D31" s="4" t="s">
        <v>548</v>
      </c>
      <c r="F31" s="4">
        <v>1</v>
      </c>
      <c r="G31" s="11">
        <f t="shared" si="0"/>
        <v>1</v>
      </c>
      <c r="H31" s="4" t="s">
        <v>346</v>
      </c>
      <c r="I31" s="4" t="s">
        <v>402</v>
      </c>
      <c r="J31" s="4" t="s">
        <v>400</v>
      </c>
      <c r="K31" s="4" t="s">
        <v>552</v>
      </c>
      <c r="M31" s="130"/>
      <c r="O31" s="140" t="s">
        <v>385</v>
      </c>
      <c r="P31" s="4" t="str">
        <f t="shared" si="7"/>
        <v xml:space="preserve">   Cancelled / distressed projects (percent of investment)</v>
      </c>
      <c r="Q31" s="4" t="str">
        <f t="shared" si="8"/>
        <v>Cancelled / distressed projects (percent of investment), % of investment cancelled from 1990-2007</v>
      </c>
    </row>
    <row r="32" spans="1:17">
      <c r="A32" s="4" t="s">
        <v>330</v>
      </c>
      <c r="C32" s="11">
        <v>2</v>
      </c>
      <c r="D32" s="4" t="s">
        <v>548</v>
      </c>
      <c r="F32" s="4">
        <v>1</v>
      </c>
      <c r="G32" s="11">
        <f t="shared" si="0"/>
        <v>0</v>
      </c>
      <c r="H32" s="4" t="s">
        <v>310</v>
      </c>
      <c r="I32" s="4" t="s">
        <v>702</v>
      </c>
      <c r="J32" s="4" t="s">
        <v>400</v>
      </c>
      <c r="K32" s="4" t="s">
        <v>550</v>
      </c>
      <c r="M32" s="130"/>
      <c r="O32" s="5" t="s">
        <v>551</v>
      </c>
      <c r="P32" s="4" t="str">
        <f t="shared" si="7"/>
        <v xml:space="preserve">   2007 project investment </v>
      </c>
      <c r="Q32" s="4" t="str">
        <f t="shared" si="8"/>
        <v>2007 project investment , US$ mn; represents cumulative investment</v>
      </c>
    </row>
    <row r="33" spans="1:17">
      <c r="A33" s="4" t="s">
        <v>331</v>
      </c>
      <c r="C33" s="11">
        <v>2</v>
      </c>
      <c r="D33" s="4" t="s">
        <v>548</v>
      </c>
      <c r="F33" s="4">
        <v>1</v>
      </c>
      <c r="G33" s="11">
        <f t="shared" si="0"/>
        <v>0</v>
      </c>
      <c r="H33" s="4" t="s">
        <v>407</v>
      </c>
      <c r="I33" s="4" t="s">
        <v>403</v>
      </c>
      <c r="J33" s="4" t="s">
        <v>400</v>
      </c>
      <c r="K33" s="4" t="s">
        <v>550</v>
      </c>
      <c r="M33" s="130"/>
      <c r="O33" s="5"/>
      <c r="P33" s="4" t="str">
        <f t="shared" si="7"/>
        <v xml:space="preserve">   Concessions' share of infrastructure PPPs </v>
      </c>
      <c r="Q33" s="4" t="str">
        <f t="shared" si="8"/>
        <v>Concessions' share of infrastructure PPPs , % of total PPPs from 1990-2007</v>
      </c>
    </row>
    <row r="34" spans="1:17" s="6" customFormat="1">
      <c r="A34" s="6" t="s">
        <v>642</v>
      </c>
      <c r="C34" s="12">
        <v>1</v>
      </c>
      <c r="G34" s="11">
        <f t="shared" si="0"/>
        <v>1</v>
      </c>
      <c r="H34" s="6" t="s">
        <v>332</v>
      </c>
      <c r="M34" s="131"/>
      <c r="O34" s="7" t="s">
        <v>551</v>
      </c>
      <c r="P34" s="6" t="str">
        <f t="shared" si="7"/>
        <v>BACKGROUND DATA</v>
      </c>
      <c r="Q34" s="6" t="str">
        <f t="shared" si="8"/>
        <v xml:space="preserve">Background data, </v>
      </c>
    </row>
    <row r="35" spans="1:17">
      <c r="A35" s="4" t="s">
        <v>641</v>
      </c>
      <c r="C35" s="11">
        <v>2</v>
      </c>
      <c r="D35" s="4" t="s">
        <v>323</v>
      </c>
      <c r="E35" s="4">
        <v>0</v>
      </c>
      <c r="F35" s="4">
        <v>25</v>
      </c>
      <c r="G35" s="11">
        <f t="shared" si="0"/>
        <v>1</v>
      </c>
      <c r="H35" s="4" t="s">
        <v>703</v>
      </c>
      <c r="I35" s="4" t="s">
        <v>295</v>
      </c>
      <c r="J35" s="4" t="s">
        <v>394</v>
      </c>
      <c r="K35" s="4" t="s">
        <v>552</v>
      </c>
      <c r="M35" s="130"/>
      <c r="O35" s="5" t="s">
        <v>551</v>
      </c>
      <c r="P35" s="4" t="str">
        <f t="shared" ref="P35:P45" si="9">CONCATENATE(REPT("   ",C35-1),IF(C35=1,UPPER(H35),H35))</f>
        <v xml:space="preserve">   Fairness of judicial process</v>
      </c>
      <c r="Q35" s="4" t="str">
        <f t="shared" ref="Q35:Q45" si="10">CONCATENATE(H35,", ",I35)</f>
        <v>Fairness of judicial process, 0-4, where 0= best and 4 = worst</v>
      </c>
    </row>
    <row r="36" spans="1:17">
      <c r="A36" s="4" t="s">
        <v>643</v>
      </c>
      <c r="C36" s="11">
        <v>2</v>
      </c>
      <c r="D36" s="4" t="s">
        <v>323</v>
      </c>
      <c r="E36" s="4">
        <v>0</v>
      </c>
      <c r="F36" s="4">
        <v>25</v>
      </c>
      <c r="G36" s="11">
        <f t="shared" si="0"/>
        <v>1</v>
      </c>
      <c r="H36" s="4" t="s">
        <v>299</v>
      </c>
      <c r="I36" s="4" t="s">
        <v>295</v>
      </c>
      <c r="J36" s="4" t="s">
        <v>395</v>
      </c>
      <c r="K36" s="4" t="s">
        <v>552</v>
      </c>
      <c r="M36" s="130"/>
      <c r="O36" s="5" t="s">
        <v>551</v>
      </c>
      <c r="P36" s="4" t="str">
        <f t="shared" si="9"/>
        <v xml:space="preserve">   Speediness of judicial process</v>
      </c>
      <c r="Q36" s="4" t="str">
        <f t="shared" si="10"/>
        <v>Speediness of judicial process, 0-4, where 0= best and 4 = worst</v>
      </c>
    </row>
    <row r="37" spans="1:17">
      <c r="A37" s="4" t="s">
        <v>309</v>
      </c>
      <c r="C37" s="11">
        <v>2</v>
      </c>
      <c r="D37" s="4" t="s">
        <v>323</v>
      </c>
      <c r="E37" s="4">
        <v>0</v>
      </c>
      <c r="F37" s="4">
        <v>10</v>
      </c>
      <c r="G37" s="11">
        <f t="shared" si="0"/>
        <v>0</v>
      </c>
      <c r="H37" s="4" t="s">
        <v>333</v>
      </c>
      <c r="I37" s="4" t="s">
        <v>410</v>
      </c>
      <c r="J37" s="4" t="s">
        <v>404</v>
      </c>
      <c r="K37" s="4" t="s">
        <v>550</v>
      </c>
      <c r="M37" s="130"/>
      <c r="O37" s="5" t="s">
        <v>551</v>
      </c>
      <c r="P37" s="4" t="str">
        <f t="shared" si="9"/>
        <v xml:space="preserve">   Investor protection index</v>
      </c>
      <c r="Q37" s="4" t="str">
        <f t="shared" si="10"/>
        <v>Investor protection index, Average of the World Bank's disclosure, director liability and shareholder suits indices (0-10 where 10=best)</v>
      </c>
    </row>
    <row r="38" spans="1:17">
      <c r="A38" s="4" t="s">
        <v>326</v>
      </c>
      <c r="C38" s="11">
        <v>2</v>
      </c>
      <c r="D38" s="4" t="s">
        <v>548</v>
      </c>
      <c r="F38" s="4">
        <v>1</v>
      </c>
      <c r="G38" s="11">
        <f t="shared" si="0"/>
        <v>1</v>
      </c>
      <c r="H38" s="4" t="s">
        <v>704</v>
      </c>
      <c r="I38" s="4" t="s">
        <v>393</v>
      </c>
      <c r="J38" s="4" t="s">
        <v>302</v>
      </c>
      <c r="K38" s="4" t="s">
        <v>552</v>
      </c>
      <c r="M38" s="130"/>
      <c r="O38" s="5" t="s">
        <v>551</v>
      </c>
      <c r="P38" s="4" t="str">
        <f t="shared" si="9"/>
        <v xml:space="preserve">   Average time to complete a bankruptcy procedure</v>
      </c>
      <c r="Q38" s="4" t="str">
        <f t="shared" si="10"/>
        <v>Average time to complete a bankruptcy procedure, Time in years</v>
      </c>
    </row>
    <row r="39" spans="1:17">
      <c r="A39" s="4" t="s">
        <v>336</v>
      </c>
      <c r="C39" s="11">
        <v>2</v>
      </c>
      <c r="D39" s="4" t="s">
        <v>548</v>
      </c>
      <c r="F39" s="4">
        <v>1</v>
      </c>
      <c r="G39" s="11">
        <f t="shared" si="0"/>
        <v>0</v>
      </c>
      <c r="H39" s="4" t="s">
        <v>392</v>
      </c>
      <c r="I39" s="4" t="s">
        <v>384</v>
      </c>
      <c r="J39" s="4" t="s">
        <v>302</v>
      </c>
      <c r="K39" s="4" t="s">
        <v>550</v>
      </c>
      <c r="M39" s="130"/>
      <c r="O39" s="5" t="s">
        <v>551</v>
      </c>
      <c r="P39" s="4" t="str">
        <f t="shared" si="9"/>
        <v xml:space="preserve">   Cost recovery after bankruptcy</v>
      </c>
      <c r="Q39" s="4" t="str">
        <f t="shared" si="10"/>
        <v>Cost recovery after bankruptcy, Cents on the dollar claimants recover from an insolvent firm</v>
      </c>
    </row>
    <row r="40" spans="1:17">
      <c r="A40" s="4" t="s">
        <v>337</v>
      </c>
      <c r="C40" s="11">
        <v>2</v>
      </c>
      <c r="D40" s="4" t="s">
        <v>548</v>
      </c>
      <c r="F40" s="4">
        <v>1</v>
      </c>
      <c r="G40" s="11">
        <f t="shared" si="0"/>
        <v>1</v>
      </c>
      <c r="H40" s="4" t="s">
        <v>334</v>
      </c>
      <c r="I40" s="4" t="s">
        <v>405</v>
      </c>
      <c r="J40" s="4" t="s">
        <v>406</v>
      </c>
      <c r="K40" s="4" t="s">
        <v>552</v>
      </c>
      <c r="M40" s="130"/>
      <c r="O40" s="5" t="s">
        <v>551</v>
      </c>
      <c r="P40" s="4" t="str">
        <f t="shared" si="9"/>
        <v xml:space="preserve">   Time to settle a dispute</v>
      </c>
      <c r="Q40" s="4" t="str">
        <f t="shared" si="10"/>
        <v>Time to settle a dispute, Time in days</v>
      </c>
    </row>
    <row r="41" spans="1:17">
      <c r="A41" s="4" t="s">
        <v>665</v>
      </c>
      <c r="C41" s="11">
        <v>2</v>
      </c>
      <c r="D41" s="4" t="s">
        <v>323</v>
      </c>
      <c r="E41" s="4">
        <v>0</v>
      </c>
      <c r="F41" s="4">
        <v>25</v>
      </c>
      <c r="G41" s="11">
        <f t="shared" si="0"/>
        <v>1</v>
      </c>
      <c r="H41" s="4" t="s">
        <v>705</v>
      </c>
      <c r="I41" s="4" t="s">
        <v>295</v>
      </c>
      <c r="J41" s="4" t="s">
        <v>396</v>
      </c>
      <c r="K41" s="4" t="s">
        <v>552</v>
      </c>
      <c r="M41" s="130"/>
      <c r="O41" s="5" t="s">
        <v>551</v>
      </c>
      <c r="P41" s="4" t="str">
        <f t="shared" si="9"/>
        <v xml:space="preserve">   Exchange rate volatility</v>
      </c>
      <c r="Q41" s="4" t="str">
        <f t="shared" si="10"/>
        <v>Exchange rate volatility, 0-4, where 0= best and 4 = worst</v>
      </c>
    </row>
    <row r="42" spans="1:17">
      <c r="A42" s="4" t="s">
        <v>338</v>
      </c>
      <c r="C42" s="11">
        <v>2</v>
      </c>
      <c r="D42" s="4" t="s">
        <v>323</v>
      </c>
      <c r="E42" s="4">
        <v>0</v>
      </c>
      <c r="F42" s="4">
        <v>25</v>
      </c>
      <c r="G42" s="11">
        <f t="shared" si="0"/>
        <v>1</v>
      </c>
      <c r="H42" s="4" t="s">
        <v>305</v>
      </c>
      <c r="I42" s="4" t="s">
        <v>295</v>
      </c>
      <c r="J42" s="4" t="s">
        <v>397</v>
      </c>
      <c r="K42" s="4" t="s">
        <v>552</v>
      </c>
      <c r="M42" s="130"/>
      <c r="O42" s="5" t="s">
        <v>551</v>
      </c>
      <c r="P42" s="4" t="str">
        <f t="shared" si="9"/>
        <v xml:space="preserve">   Currency devaluation risk</v>
      </c>
      <c r="Q42" s="4" t="str">
        <f t="shared" si="10"/>
        <v>Currency devaluation risk, 0-4, where 0= best and 4 = worst</v>
      </c>
    </row>
    <row r="43" spans="1:17">
      <c r="A43" s="4" t="s">
        <v>339</v>
      </c>
      <c r="C43" s="11">
        <v>2</v>
      </c>
      <c r="D43" s="4" t="s">
        <v>323</v>
      </c>
      <c r="E43" s="4">
        <v>0</v>
      </c>
      <c r="F43" s="4">
        <v>25</v>
      </c>
      <c r="G43" s="11">
        <f t="shared" si="0"/>
        <v>1</v>
      </c>
      <c r="H43" s="4" t="s">
        <v>306</v>
      </c>
      <c r="I43" s="4" t="s">
        <v>295</v>
      </c>
      <c r="J43" s="4" t="s">
        <v>398</v>
      </c>
      <c r="K43" s="4" t="s">
        <v>552</v>
      </c>
      <c r="M43" s="130"/>
      <c r="O43" s="5" t="s">
        <v>551</v>
      </c>
      <c r="P43" s="4" t="str">
        <f t="shared" si="9"/>
        <v xml:space="preserve">   Foreign investors' access to local capital markets</v>
      </c>
      <c r="Q43" s="4" t="str">
        <f t="shared" si="10"/>
        <v>Foreign investors' access to local capital markets, 0-4, where 0= best and 4 = worst</v>
      </c>
    </row>
    <row r="44" spans="1:17">
      <c r="A44" s="4" t="s">
        <v>340</v>
      </c>
      <c r="C44" s="11">
        <v>2</v>
      </c>
      <c r="D44" s="4" t="s">
        <v>323</v>
      </c>
      <c r="E44" s="4">
        <v>0</v>
      </c>
      <c r="F44" s="4">
        <v>25</v>
      </c>
      <c r="G44" s="11">
        <f t="shared" si="0"/>
        <v>1</v>
      </c>
      <c r="H44" s="4" t="s">
        <v>307</v>
      </c>
      <c r="I44" s="4" t="s">
        <v>295</v>
      </c>
      <c r="J44" s="4" t="s">
        <v>706</v>
      </c>
      <c r="K44" s="4" t="s">
        <v>552</v>
      </c>
      <c r="M44" s="130"/>
      <c r="O44" s="5" t="s">
        <v>551</v>
      </c>
      <c r="P44" s="4" t="str">
        <f t="shared" si="9"/>
        <v xml:space="preserve">   Marketable debt</v>
      </c>
      <c r="Q44" s="4" t="str">
        <f t="shared" si="10"/>
        <v>Marketable debt, 0-4, where 0= best and 4 = worst</v>
      </c>
    </row>
    <row r="45" spans="1:17">
      <c r="A45" s="4" t="s">
        <v>341</v>
      </c>
      <c r="C45" s="11">
        <v>2</v>
      </c>
      <c r="D45" s="4" t="s">
        <v>323</v>
      </c>
      <c r="E45" s="4">
        <v>0</v>
      </c>
      <c r="F45" s="4">
        <v>25</v>
      </c>
      <c r="G45" s="11">
        <f t="shared" si="0"/>
        <v>1</v>
      </c>
      <c r="H45" s="4" t="s">
        <v>335</v>
      </c>
      <c r="I45" s="4" t="s">
        <v>295</v>
      </c>
      <c r="J45" s="4" t="s">
        <v>707</v>
      </c>
      <c r="K45" s="4" t="s">
        <v>552</v>
      </c>
      <c r="M45" s="130"/>
      <c r="O45" s="5" t="s">
        <v>551</v>
      </c>
      <c r="P45" s="4" t="str">
        <f t="shared" si="9"/>
        <v xml:space="preserve">   Hostility to foreigners/private property</v>
      </c>
      <c r="Q45" s="4" t="str">
        <f t="shared" si="10"/>
        <v>Hostility to foreigners/private property, 0-4, where 0= best and 4 = worst</v>
      </c>
    </row>
    <row r="47" spans="1:17" s="6" customFormat="1">
      <c r="C47" s="11"/>
      <c r="D47" s="4"/>
      <c r="E47" s="4"/>
      <c r="F47" s="4"/>
      <c r="G47" s="11"/>
      <c r="K47" s="4"/>
      <c r="O47" s="108"/>
      <c r="P47" s="4"/>
    </row>
    <row r="48" spans="1:17">
      <c r="O48" s="5"/>
    </row>
    <row r="49" spans="1:17">
      <c r="O49" s="5"/>
    </row>
    <row r="50" spans="1:17">
      <c r="A50" s="4" t="s">
        <v>386</v>
      </c>
      <c r="C50" s="11">
        <v>3</v>
      </c>
      <c r="D50" s="4" t="s">
        <v>323</v>
      </c>
      <c r="O50" s="5"/>
    </row>
    <row r="52" spans="1:17" s="6" customFormat="1">
      <c r="C52" s="11"/>
      <c r="D52" s="4"/>
      <c r="E52" s="4"/>
      <c r="F52" s="4"/>
      <c r="G52" s="11"/>
      <c r="K52" s="4"/>
      <c r="O52" s="5"/>
      <c r="P52" s="4"/>
      <c r="Q52" s="4"/>
    </row>
    <row r="53" spans="1:17">
      <c r="O53" s="5"/>
    </row>
    <row r="54" spans="1:17">
      <c r="O54" s="5"/>
    </row>
    <row r="55" spans="1:17">
      <c r="O55" s="5"/>
    </row>
    <row r="56" spans="1:17">
      <c r="O56" s="5"/>
    </row>
    <row r="57" spans="1:17">
      <c r="O57" s="5"/>
    </row>
    <row r="58" spans="1:17">
      <c r="O58" s="5"/>
    </row>
    <row r="59" spans="1:17">
      <c r="O59" s="5"/>
    </row>
    <row r="60" spans="1:17">
      <c r="O60" s="5"/>
    </row>
    <row r="61" spans="1:17">
      <c r="O61" s="5"/>
    </row>
    <row r="62" spans="1:17">
      <c r="O62" s="5"/>
    </row>
    <row r="63" spans="1:17">
      <c r="O63" s="5"/>
    </row>
    <row r="64" spans="1:17">
      <c r="O64" s="5"/>
    </row>
    <row r="65" spans="3:17">
      <c r="O65" s="5"/>
    </row>
    <row r="66" spans="3:17">
      <c r="O66" s="5"/>
    </row>
    <row r="67" spans="3:17">
      <c r="O67" s="5"/>
    </row>
    <row r="68" spans="3:17">
      <c r="O68" s="5"/>
    </row>
    <row r="73" spans="3:17" s="6" customFormat="1">
      <c r="C73" s="11"/>
      <c r="D73" s="4"/>
      <c r="E73" s="4"/>
      <c r="F73" s="4"/>
      <c r="G73" s="11"/>
      <c r="K73" s="4"/>
      <c r="O73" s="5"/>
      <c r="P73" s="4"/>
      <c r="Q73" s="4"/>
    </row>
    <row r="74" spans="3:17">
      <c r="O74" s="5"/>
    </row>
  </sheetData>
  <phoneticPr fontId="0" type="noConversion"/>
  <pageMargins left="0.75" right="0.75" top="1" bottom="1" header="0.5" footer="0.5"/>
  <pageSetup orientation="portrait" r:id="rId1"/>
  <headerFooter alignWithMargins="0"/>
</worksheet>
</file>

<file path=xl/worksheets/sheet18.xml><?xml version="1.0" encoding="utf-8"?>
<worksheet xmlns="http://schemas.openxmlformats.org/spreadsheetml/2006/main" xmlns:r="http://schemas.openxmlformats.org/officeDocument/2006/relationships">
  <sheetPr codeName="Sheet22"/>
  <dimension ref="A2:J78"/>
  <sheetViews>
    <sheetView workbookViewId="0">
      <selection activeCell="E31" sqref="E31"/>
    </sheetView>
  </sheetViews>
  <sheetFormatPr defaultRowHeight="12.75"/>
  <cols>
    <col min="1" max="1" width="26.85546875" bestFit="1" customWidth="1"/>
  </cols>
  <sheetData>
    <row r="2" spans="1:10">
      <c r="A2" s="124" t="s">
        <v>314</v>
      </c>
      <c r="B2" s="68"/>
      <c r="D2" s="124" t="str">
        <f>A2</f>
        <v>Default</v>
      </c>
      <c r="E2" s="124" t="str">
        <f>A3</f>
        <v>Neutral (each category equal)</v>
      </c>
      <c r="F2" s="124" t="str">
        <f>A4</f>
        <v>EIU weights</v>
      </c>
      <c r="G2" s="124" t="str">
        <f>A5</f>
        <v>User defined#2</v>
      </c>
      <c r="H2" s="124" t="str">
        <f>A6</f>
        <v>User defined#3</v>
      </c>
      <c r="I2" s="124" t="str">
        <f>A7</f>
        <v>User defined#4</v>
      </c>
      <c r="J2" s="124" t="str">
        <f>A8</f>
        <v>User defined#5</v>
      </c>
    </row>
    <row r="3" spans="1:10">
      <c r="A3" s="124" t="s">
        <v>315</v>
      </c>
    </row>
    <row r="4" spans="1:10">
      <c r="A4" s="124" t="s">
        <v>750</v>
      </c>
      <c r="C4" s="107" t="str">
        <f ca="1">Weights!F4</f>
        <v>Legal and regulatory framework</v>
      </c>
      <c r="D4">
        <v>1</v>
      </c>
      <c r="E4">
        <v>1</v>
      </c>
      <c r="F4">
        <v>5</v>
      </c>
      <c r="G4">
        <v>1</v>
      </c>
      <c r="H4">
        <v>1</v>
      </c>
      <c r="I4">
        <v>1</v>
      </c>
      <c r="J4">
        <v>1</v>
      </c>
    </row>
    <row r="5" spans="1:10">
      <c r="A5" s="124" t="s">
        <v>316</v>
      </c>
      <c r="C5" s="107" t="str">
        <f ca="1">Weights!F5</f>
        <v>Institutional framework</v>
      </c>
      <c r="D5">
        <v>1</v>
      </c>
      <c r="E5">
        <v>1</v>
      </c>
      <c r="F5">
        <v>3</v>
      </c>
      <c r="G5">
        <v>1</v>
      </c>
      <c r="H5">
        <v>1</v>
      </c>
      <c r="I5">
        <v>1</v>
      </c>
      <c r="J5">
        <v>1</v>
      </c>
    </row>
    <row r="6" spans="1:10">
      <c r="A6" s="124" t="s">
        <v>317</v>
      </c>
      <c r="C6" s="107" t="str">
        <f ca="1">Weights!F6</f>
        <v>Operational maturity</v>
      </c>
      <c r="D6">
        <v>1</v>
      </c>
      <c r="E6">
        <v>1</v>
      </c>
      <c r="F6">
        <v>3</v>
      </c>
      <c r="G6">
        <v>1</v>
      </c>
      <c r="H6">
        <v>1</v>
      </c>
      <c r="I6">
        <v>1</v>
      </c>
      <c r="J6">
        <v>1</v>
      </c>
    </row>
    <row r="7" spans="1:10">
      <c r="A7" s="124" t="s">
        <v>318</v>
      </c>
      <c r="C7" s="107" t="str">
        <f ca="1">Weights!F7</f>
        <v>Investment climate</v>
      </c>
      <c r="D7">
        <v>1</v>
      </c>
      <c r="E7">
        <v>1</v>
      </c>
      <c r="F7">
        <v>0.5</v>
      </c>
      <c r="G7">
        <v>1</v>
      </c>
      <c r="H7">
        <v>1</v>
      </c>
      <c r="I7">
        <v>1</v>
      </c>
      <c r="J7">
        <v>1</v>
      </c>
    </row>
    <row r="8" spans="1:10">
      <c r="A8" s="124" t="s">
        <v>319</v>
      </c>
      <c r="C8" s="107" t="str">
        <f ca="1">Weights!F8</f>
        <v>Financial facilities</v>
      </c>
      <c r="D8">
        <v>1</v>
      </c>
      <c r="E8">
        <v>1</v>
      </c>
      <c r="F8">
        <v>0.5</v>
      </c>
      <c r="G8">
        <v>1</v>
      </c>
      <c r="H8">
        <v>1</v>
      </c>
      <c r="I8">
        <v>1</v>
      </c>
      <c r="J8">
        <v>1</v>
      </c>
    </row>
    <row r="9" spans="1:10">
      <c r="C9" s="107">
        <f ca="1">Weights!F9</f>
        <v>0</v>
      </c>
    </row>
    <row r="10" spans="1:10">
      <c r="C10" s="107" t="str">
        <f ca="1">Weights!F10</f>
        <v>Indicator</v>
      </c>
      <c r="D10" t="s">
        <v>579</v>
      </c>
      <c r="E10" t="s">
        <v>579</v>
      </c>
      <c r="F10" t="s">
        <v>579</v>
      </c>
      <c r="G10" t="s">
        <v>579</v>
      </c>
      <c r="H10" t="s">
        <v>579</v>
      </c>
      <c r="I10" t="s">
        <v>579</v>
      </c>
      <c r="J10" t="s">
        <v>579</v>
      </c>
    </row>
    <row r="11" spans="1:10">
      <c r="C11" s="107" t="str">
        <f ca="1">Weights!F11</f>
        <v>Legal and regulatory framework</v>
      </c>
    </row>
    <row r="12" spans="1:10">
      <c r="C12" s="107" t="str">
        <f ca="1">Weights!F12</f>
        <v>Consistency and quality of PPP regulations</v>
      </c>
      <c r="D12">
        <v>1</v>
      </c>
      <c r="E12">
        <v>1</v>
      </c>
      <c r="F12">
        <v>3</v>
      </c>
      <c r="G12">
        <v>1</v>
      </c>
      <c r="H12">
        <v>1</v>
      </c>
      <c r="I12">
        <v>1</v>
      </c>
      <c r="J12">
        <v>1</v>
      </c>
    </row>
    <row r="13" spans="1:10">
      <c r="C13" s="107" t="str">
        <f ca="1">Weights!F13</f>
        <v>Effective PPP selection and decision making</v>
      </c>
      <c r="D13">
        <v>1</v>
      </c>
      <c r="E13">
        <v>1</v>
      </c>
      <c r="F13">
        <v>3</v>
      </c>
      <c r="G13">
        <v>1</v>
      </c>
      <c r="H13">
        <v>1</v>
      </c>
      <c r="I13">
        <v>1</v>
      </c>
      <c r="J13">
        <v>1</v>
      </c>
    </row>
    <row r="14" spans="1:10">
      <c r="C14" s="107" t="str">
        <f ca="1">Weights!F14</f>
        <v>Fairness/openness of bids, contract changes</v>
      </c>
      <c r="D14">
        <v>1</v>
      </c>
      <c r="E14">
        <v>1</v>
      </c>
      <c r="F14">
        <v>1</v>
      </c>
      <c r="G14">
        <v>1</v>
      </c>
      <c r="H14">
        <v>1</v>
      </c>
      <c r="I14">
        <v>1</v>
      </c>
      <c r="J14">
        <v>1</v>
      </c>
    </row>
    <row r="15" spans="1:10">
      <c r="C15" s="107" t="str">
        <f ca="1">Weights!F15</f>
        <v>Dispute resolution mechanisms</v>
      </c>
      <c r="D15">
        <v>1</v>
      </c>
      <c r="E15">
        <v>1</v>
      </c>
      <c r="F15">
        <v>2</v>
      </c>
      <c r="G15">
        <v>1</v>
      </c>
      <c r="H15">
        <v>1</v>
      </c>
      <c r="I15">
        <v>1</v>
      </c>
      <c r="J15">
        <v>1</v>
      </c>
    </row>
    <row r="16" spans="1:10">
      <c r="C16" s="107" t="str">
        <f ca="1">Weights!F16</f>
        <v>Institutional framework</v>
      </c>
    </row>
    <row r="17" spans="3:10">
      <c r="C17" s="107" t="str">
        <f ca="1">Weights!F17</f>
        <v>Quality of institutional design</v>
      </c>
      <c r="D17">
        <v>1</v>
      </c>
      <c r="E17">
        <v>1</v>
      </c>
      <c r="F17">
        <v>1</v>
      </c>
      <c r="G17">
        <v>1</v>
      </c>
      <c r="H17">
        <v>1</v>
      </c>
      <c r="I17">
        <v>1</v>
      </c>
      <c r="J17">
        <v>1</v>
      </c>
    </row>
    <row r="18" spans="3:10">
      <c r="C18" s="107" t="str">
        <f ca="1">Weights!F18</f>
        <v>PPP contract, hold-up and expropriation risk</v>
      </c>
      <c r="D18">
        <v>1</v>
      </c>
      <c r="E18">
        <v>1</v>
      </c>
      <c r="F18">
        <v>1</v>
      </c>
      <c r="G18">
        <v>1</v>
      </c>
      <c r="H18">
        <v>1</v>
      </c>
      <c r="I18">
        <v>1</v>
      </c>
      <c r="J18">
        <v>1</v>
      </c>
    </row>
    <row r="19" spans="3:10">
      <c r="C19" s="107" t="str">
        <f ca="1">Weights!F19</f>
        <v>Operational maturity</v>
      </c>
    </row>
    <row r="20" spans="3:10">
      <c r="C20" s="107" t="str">
        <f ca="1">Weights!F20</f>
        <v>Public capacity to plan and oversee PPPs</v>
      </c>
      <c r="D20">
        <v>1</v>
      </c>
      <c r="E20">
        <v>1</v>
      </c>
      <c r="F20">
        <v>1</v>
      </c>
      <c r="G20">
        <v>1</v>
      </c>
      <c r="H20">
        <v>1</v>
      </c>
      <c r="I20">
        <v>1</v>
      </c>
      <c r="J20">
        <v>1</v>
      </c>
    </row>
    <row r="21" spans="3:10">
      <c r="C21" s="107" t="str">
        <f ca="1">Weights!F21</f>
        <v xml:space="preserve">Methods and criteria for awarding projects </v>
      </c>
      <c r="D21">
        <v>1</v>
      </c>
      <c r="E21">
        <v>1</v>
      </c>
      <c r="F21">
        <v>1</v>
      </c>
      <c r="G21">
        <v>1</v>
      </c>
      <c r="H21">
        <v>1</v>
      </c>
      <c r="I21">
        <v>1</v>
      </c>
      <c r="J21">
        <v>1</v>
      </c>
    </row>
    <row r="22" spans="3:10">
      <c r="C22" s="107" t="str">
        <f ca="1">Weights!F22</f>
        <v>Regulators' risk allocation record</v>
      </c>
      <c r="D22">
        <v>1</v>
      </c>
      <c r="E22">
        <v>1</v>
      </c>
      <c r="F22">
        <v>1</v>
      </c>
      <c r="G22">
        <v>1</v>
      </c>
      <c r="H22">
        <v>1</v>
      </c>
      <c r="I22">
        <v>1</v>
      </c>
      <c r="J22">
        <v>1</v>
      </c>
    </row>
    <row r="23" spans="3:10">
      <c r="C23" s="107" t="str">
        <f ca="1">Weights!F23</f>
        <v>Experience in transport &amp; water concessions</v>
      </c>
      <c r="D23">
        <v>1</v>
      </c>
      <c r="E23">
        <v>1</v>
      </c>
      <c r="F23">
        <v>1</v>
      </c>
      <c r="G23">
        <v>1</v>
      </c>
      <c r="H23">
        <v>1</v>
      </c>
      <c r="I23">
        <v>1</v>
      </c>
      <c r="J23">
        <v>1</v>
      </c>
    </row>
    <row r="24" spans="3:10">
      <c r="C24" s="107" t="str">
        <f ca="1">Weights!F24</f>
        <v>Quality of transport and water concessions</v>
      </c>
      <c r="D24">
        <v>1</v>
      </c>
      <c r="E24">
        <v>1</v>
      </c>
      <c r="F24">
        <v>2</v>
      </c>
      <c r="G24">
        <v>1</v>
      </c>
      <c r="H24">
        <v>1</v>
      </c>
      <c r="I24">
        <v>1</v>
      </c>
      <c r="J24">
        <v>1</v>
      </c>
    </row>
    <row r="25" spans="3:10">
      <c r="C25" s="107" t="str">
        <f ca="1">Weights!F25</f>
        <v>Investment climate</v>
      </c>
    </row>
    <row r="26" spans="3:10">
      <c r="C26" s="107" t="str">
        <f ca="1">Weights!F26</f>
        <v>Political distortion</v>
      </c>
      <c r="D26">
        <v>1</v>
      </c>
      <c r="E26">
        <v>1</v>
      </c>
      <c r="F26">
        <v>1</v>
      </c>
      <c r="G26">
        <v>1</v>
      </c>
      <c r="H26">
        <v>1</v>
      </c>
      <c r="I26">
        <v>1</v>
      </c>
      <c r="J26">
        <v>1</v>
      </c>
    </row>
    <row r="27" spans="3:10">
      <c r="C27" s="107" t="str">
        <f ca="1">Weights!F27</f>
        <v>Business environment</v>
      </c>
      <c r="D27">
        <v>1</v>
      </c>
      <c r="E27">
        <v>1</v>
      </c>
      <c r="F27">
        <v>1</v>
      </c>
      <c r="G27">
        <v>1</v>
      </c>
      <c r="H27">
        <v>1</v>
      </c>
      <c r="I27">
        <v>1</v>
      </c>
      <c r="J27">
        <v>1</v>
      </c>
    </row>
    <row r="28" spans="3:10">
      <c r="C28" s="107" t="str">
        <f ca="1">Weights!F28</f>
        <v>Social attitudes towards privatisation</v>
      </c>
      <c r="D28">
        <v>1</v>
      </c>
      <c r="E28">
        <v>1</v>
      </c>
      <c r="F28">
        <v>2</v>
      </c>
      <c r="G28">
        <v>1</v>
      </c>
      <c r="H28">
        <v>1</v>
      </c>
      <c r="I28">
        <v>1</v>
      </c>
      <c r="J28">
        <v>1</v>
      </c>
    </row>
    <row r="29" spans="3:10">
      <c r="C29" s="107" t="str">
        <f ca="1">Weights!F29</f>
        <v>Financial facilities</v>
      </c>
    </row>
    <row r="30" spans="3:10">
      <c r="C30" s="107" t="str">
        <f ca="1">Weights!F30</f>
        <v>Government payment risk</v>
      </c>
      <c r="D30">
        <v>1</v>
      </c>
      <c r="E30">
        <v>1</v>
      </c>
      <c r="F30">
        <v>1</v>
      </c>
      <c r="G30">
        <v>1</v>
      </c>
      <c r="H30">
        <v>1</v>
      </c>
      <c r="I30">
        <v>1</v>
      </c>
      <c r="J30">
        <v>1</v>
      </c>
    </row>
    <row r="31" spans="3:10">
      <c r="C31" s="107" t="str">
        <f ca="1">Weights!F31</f>
        <v>Capital market: private infrastructure finance</v>
      </c>
      <c r="D31">
        <v>1</v>
      </c>
      <c r="E31">
        <v>1</v>
      </c>
      <c r="F31">
        <v>1</v>
      </c>
      <c r="G31">
        <v>1</v>
      </c>
      <c r="H31">
        <v>1</v>
      </c>
      <c r="I31">
        <v>1</v>
      </c>
      <c r="J31">
        <v>1</v>
      </c>
    </row>
    <row r="32" spans="3:10">
      <c r="C32" s="107" t="str">
        <f ca="1">Weights!F32</f>
        <v>Marketable debt</v>
      </c>
      <c r="D32">
        <v>1</v>
      </c>
      <c r="E32">
        <v>1</v>
      </c>
      <c r="F32">
        <v>0.5</v>
      </c>
      <c r="G32">
        <v>1</v>
      </c>
      <c r="H32">
        <v>1</v>
      </c>
      <c r="I32">
        <v>1</v>
      </c>
      <c r="J32">
        <v>1</v>
      </c>
    </row>
    <row r="33" spans="3:10">
      <c r="C33" s="107" t="str">
        <f ca="1">Weights!F33</f>
        <v>Government support for low income users</v>
      </c>
      <c r="D33">
        <v>1</v>
      </c>
      <c r="E33">
        <v>1</v>
      </c>
      <c r="F33">
        <v>0.5</v>
      </c>
      <c r="G33">
        <v>1</v>
      </c>
      <c r="H33">
        <v>1</v>
      </c>
      <c r="I33">
        <v>1</v>
      </c>
      <c r="J33">
        <v>1</v>
      </c>
    </row>
    <row r="34" spans="3:10">
      <c r="C34" s="107"/>
    </row>
    <row r="35" spans="3:10">
      <c r="C35" s="107"/>
    </row>
    <row r="36" spans="3:10">
      <c r="C36" s="107"/>
    </row>
    <row r="37" spans="3:10">
      <c r="C37" s="107"/>
    </row>
    <row r="38" spans="3:10">
      <c r="C38" s="107"/>
    </row>
    <row r="39" spans="3:10">
      <c r="C39" s="107"/>
    </row>
    <row r="40" spans="3:10">
      <c r="C40" s="107"/>
    </row>
    <row r="41" spans="3:10">
      <c r="C41" s="107"/>
    </row>
    <row r="42" spans="3:10">
      <c r="C42" s="107"/>
    </row>
    <row r="43" spans="3:10">
      <c r="C43" s="107"/>
    </row>
    <row r="44" spans="3:10">
      <c r="C44" s="107"/>
    </row>
    <row r="45" spans="3:10">
      <c r="C45" s="107"/>
    </row>
    <row r="46" spans="3:10">
      <c r="C46" s="107"/>
    </row>
    <row r="47" spans="3:10">
      <c r="C47" s="107"/>
    </row>
    <row r="48" spans="3:10">
      <c r="C48" s="107"/>
    </row>
    <row r="49" spans="3:3">
      <c r="C49" s="107"/>
    </row>
    <row r="50" spans="3:3">
      <c r="C50" s="107"/>
    </row>
    <row r="51" spans="3:3">
      <c r="C51" s="107"/>
    </row>
    <row r="52" spans="3:3">
      <c r="C52" s="107"/>
    </row>
    <row r="53" spans="3:3">
      <c r="C53" s="107"/>
    </row>
    <row r="54" spans="3:3">
      <c r="C54" s="107"/>
    </row>
    <row r="55" spans="3:3">
      <c r="C55" s="107"/>
    </row>
    <row r="56" spans="3:3">
      <c r="C56" s="107"/>
    </row>
    <row r="57" spans="3:3">
      <c r="C57" s="107"/>
    </row>
    <row r="58" spans="3:3">
      <c r="C58" s="107"/>
    </row>
    <row r="59" spans="3:3">
      <c r="C59" s="107"/>
    </row>
    <row r="60" spans="3:3">
      <c r="C60" s="107"/>
    </row>
    <row r="61" spans="3:3">
      <c r="C61" s="107"/>
    </row>
    <row r="62" spans="3:3">
      <c r="C62" s="107"/>
    </row>
    <row r="63" spans="3:3">
      <c r="C63" s="107"/>
    </row>
    <row r="64" spans="3:3">
      <c r="C64" s="107"/>
    </row>
    <row r="65" spans="3:3">
      <c r="C65" s="107"/>
    </row>
    <row r="66" spans="3:3">
      <c r="C66" s="107"/>
    </row>
    <row r="67" spans="3:3">
      <c r="C67" s="107"/>
    </row>
    <row r="68" spans="3:3">
      <c r="C68" s="107"/>
    </row>
    <row r="69" spans="3:3">
      <c r="C69" s="107"/>
    </row>
    <row r="70" spans="3:3">
      <c r="C70" s="107"/>
    </row>
    <row r="71" spans="3:3">
      <c r="C71" s="107"/>
    </row>
    <row r="72" spans="3:3">
      <c r="C72" s="107"/>
    </row>
    <row r="73" spans="3:3">
      <c r="C73" s="107"/>
    </row>
    <row r="74" spans="3:3">
      <c r="C74" s="107"/>
    </row>
    <row r="75" spans="3:3">
      <c r="C75" s="107"/>
    </row>
    <row r="76" spans="3:3">
      <c r="C76" s="107"/>
    </row>
    <row r="77" spans="3:3">
      <c r="C77" s="107"/>
    </row>
    <row r="78" spans="3:3">
      <c r="C78" s="107"/>
    </row>
  </sheetData>
  <phoneticPr fontId="44" type="noConversion"/>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sheetPr codeName="Sheet4"/>
  <dimension ref="A2:B9"/>
  <sheetViews>
    <sheetView workbookViewId="0">
      <selection activeCell="I44" sqref="I44"/>
    </sheetView>
  </sheetViews>
  <sheetFormatPr defaultRowHeight="12.75"/>
  <sheetData>
    <row r="2" spans="1:2">
      <c r="A2" s="33" t="s">
        <v>532</v>
      </c>
      <c r="B2" s="33" t="s">
        <v>590</v>
      </c>
    </row>
    <row r="3" spans="1:2">
      <c r="A3" s="6" t="s">
        <v>292</v>
      </c>
      <c r="B3" s="122" t="s">
        <v>293</v>
      </c>
    </row>
    <row r="4" spans="1:2">
      <c r="A4" s="6" t="s">
        <v>414</v>
      </c>
      <c r="B4" s="6" t="s">
        <v>415</v>
      </c>
    </row>
    <row r="5" spans="1:2">
      <c r="A5" s="6" t="s">
        <v>419</v>
      </c>
      <c r="B5" s="6" t="s">
        <v>418</v>
      </c>
    </row>
    <row r="6" spans="1:2">
      <c r="A6" s="6" t="s">
        <v>426</v>
      </c>
      <c r="B6" s="6" t="s">
        <v>425</v>
      </c>
    </row>
    <row r="7" spans="1:2">
      <c r="A7" s="6" t="s">
        <v>433</v>
      </c>
      <c r="B7" s="6" t="s">
        <v>709</v>
      </c>
    </row>
    <row r="8" spans="1:2">
      <c r="A8" s="6"/>
      <c r="B8" s="6"/>
    </row>
    <row r="9" spans="1:2">
      <c r="A9" s="6"/>
      <c r="B9" s="6"/>
    </row>
  </sheetData>
  <phoneticPr fontId="26"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sheetPr codeName="Sheet2"/>
  <dimension ref="M5:Q27"/>
  <sheetViews>
    <sheetView showGridLines="0" showRowColHeaders="0" workbookViewId="0">
      <selection activeCell="D40" sqref="D40"/>
    </sheetView>
  </sheetViews>
  <sheetFormatPr defaultRowHeight="12.75"/>
  <cols>
    <col min="1" max="1" width="3" style="73" customWidth="1"/>
    <col min="2" max="16384" width="9.140625" style="73"/>
  </cols>
  <sheetData>
    <row r="5" spans="13:13">
      <c r="M5" s="75"/>
    </row>
    <row r="27" spans="17:17">
      <c r="Q27" s="141"/>
    </row>
  </sheetData>
  <phoneticPr fontId="33" type="noConversion"/>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sheetPr codeName="Sheet20"/>
  <dimension ref="A1:BY31"/>
  <sheetViews>
    <sheetView topLeftCell="AE4" zoomScale="70" zoomScaleNormal="70" workbookViewId="0">
      <selection activeCell="AP9" sqref="AP9"/>
    </sheetView>
  </sheetViews>
  <sheetFormatPr defaultRowHeight="12.75"/>
  <cols>
    <col min="5" max="12" width="5.7109375" customWidth="1"/>
    <col min="15" max="15" width="6" customWidth="1"/>
    <col min="16" max="17" width="8" customWidth="1"/>
    <col min="18" max="19" width="8.7109375" customWidth="1"/>
    <col min="20" max="20" width="8" customWidth="1"/>
    <col min="21" max="21" width="6" customWidth="1"/>
    <col min="22" max="22" width="10.140625" customWidth="1"/>
    <col min="23" max="23" width="6" customWidth="1"/>
    <col min="24" max="24" width="10.7109375" customWidth="1"/>
    <col min="25" max="33" width="6" customWidth="1"/>
    <col min="37" max="37" width="6" customWidth="1"/>
    <col min="38" max="39" width="8" customWidth="1"/>
    <col min="40" max="41" width="8.7109375" customWidth="1"/>
    <col min="42" max="42" width="8" customWidth="1"/>
    <col min="43" max="43" width="6" customWidth="1"/>
    <col min="44" max="44" width="10.140625" customWidth="1"/>
    <col min="45" max="45" width="6" customWidth="1"/>
    <col min="46" max="46" width="10.7109375" customWidth="1"/>
    <col min="47" max="55" width="6" customWidth="1"/>
    <col min="59" max="59" width="6" customWidth="1"/>
    <col min="60" max="61" width="8" customWidth="1"/>
    <col min="62" max="63" width="8.7109375" customWidth="1"/>
    <col min="64" max="64" width="9.5703125" customWidth="1"/>
    <col min="65" max="65" width="6" customWidth="1"/>
    <col min="66" max="66" width="10.140625" customWidth="1"/>
    <col min="67" max="67" width="6" customWidth="1"/>
    <col min="68" max="68" width="10.7109375" customWidth="1"/>
    <col min="69" max="77" width="6" customWidth="1"/>
  </cols>
  <sheetData>
    <row r="1" spans="1:77">
      <c r="A1" s="27" t="s">
        <v>569</v>
      </c>
      <c r="B1" s="34" t="str">
        <f ca="1">uxb_works!B11</f>
        <v>FINC02</v>
      </c>
    </row>
    <row r="2" spans="1:77">
      <c r="A2" s="28" t="s">
        <v>571</v>
      </c>
      <c r="B2" s="34">
        <f ca="1">uxb_works!B10</f>
        <v>2</v>
      </c>
    </row>
    <row r="3" spans="1:77">
      <c r="A3" s="28" t="s">
        <v>570</v>
      </c>
      <c r="B3" s="47" t="str">
        <f ca="1">uxb_works!B12</f>
        <v>0</v>
      </c>
    </row>
    <row r="5" spans="1:77">
      <c r="A5" s="2" t="s">
        <v>584</v>
      </c>
      <c r="B5">
        <f ca="1">uxb_works!B2</f>
        <v>1</v>
      </c>
      <c r="N5" s="68" t="s">
        <v>228</v>
      </c>
      <c r="AJ5" s="68" t="s">
        <v>224</v>
      </c>
      <c r="BF5" s="68" t="s">
        <v>236</v>
      </c>
    </row>
    <row r="6" spans="1:77">
      <c r="A6" s="2" t="s">
        <v>584</v>
      </c>
      <c r="B6" t="str">
        <f ca="1">uxb_works!B3</f>
        <v>TOTL</v>
      </c>
      <c r="AJ6" s="57" t="s">
        <v>229</v>
      </c>
      <c r="AK6" s="109">
        <f ca="1">uxb_works!C31</f>
        <v>0</v>
      </c>
      <c r="BF6" s="57" t="s">
        <v>237</v>
      </c>
      <c r="BG6" s="109" t="e">
        <f ca="1">uxb_works!B80</f>
        <v>#REF!</v>
      </c>
    </row>
    <row r="7" spans="1:77">
      <c r="N7" s="57" t="s">
        <v>672</v>
      </c>
      <c r="O7" s="80">
        <f ca="1">uxb_works!B30</f>
        <v>3</v>
      </c>
      <c r="AJ7" s="57" t="s">
        <v>672</v>
      </c>
      <c r="AK7" s="80">
        <f ca="1">uxb_works!B30</f>
        <v>3</v>
      </c>
      <c r="BF7" s="57" t="s">
        <v>672</v>
      </c>
      <c r="BG7" s="80">
        <f ca="1">uxb_works!B30</f>
        <v>3</v>
      </c>
    </row>
    <row r="9" spans="1:77">
      <c r="L9" s="4"/>
      <c r="N9" s="2" t="s">
        <v>566</v>
      </c>
      <c r="O9" s="57" t="s">
        <v>665</v>
      </c>
      <c r="P9" s="57" t="s">
        <v>667</v>
      </c>
      <c r="Q9" s="57" t="s">
        <v>223</v>
      </c>
      <c r="R9" s="57" t="s">
        <v>668</v>
      </c>
      <c r="S9" s="57" t="s">
        <v>669</v>
      </c>
      <c r="T9" s="57" t="s">
        <v>670</v>
      </c>
      <c r="U9" s="57"/>
      <c r="Y9" t="str">
        <f t="shared" ref="Y9:AD9" si="0">O9</f>
        <v>BACK07</v>
      </c>
      <c r="Z9" t="str">
        <f t="shared" si="0"/>
        <v>FORE01</v>
      </c>
      <c r="AA9" t="str">
        <f t="shared" si="0"/>
        <v>PEN02</v>
      </c>
      <c r="AB9" t="str">
        <f t="shared" si="0"/>
        <v>FORE02</v>
      </c>
      <c r="AC9" t="str">
        <f t="shared" si="0"/>
        <v>FORE03</v>
      </c>
      <c r="AD9" t="str">
        <f t="shared" si="0"/>
        <v>FORE04</v>
      </c>
      <c r="AJ9" s="2" t="s">
        <v>566</v>
      </c>
      <c r="AK9" s="57" t="s">
        <v>532</v>
      </c>
      <c r="AL9" s="57" t="s">
        <v>292</v>
      </c>
      <c r="AM9" s="57" t="s">
        <v>301</v>
      </c>
      <c r="AN9" s="57" t="s">
        <v>303</v>
      </c>
      <c r="AO9" s="57" t="s">
        <v>304</v>
      </c>
      <c r="AP9" s="57" t="str">
        <f>CONCATENATE("FREV",AK6)</f>
        <v>FREV0</v>
      </c>
      <c r="AQ9" s="57"/>
      <c r="AU9" t="str">
        <f t="shared" ref="AU9:AZ9" si="1">AK9</f>
        <v>TOTL</v>
      </c>
      <c r="AV9" t="str">
        <f t="shared" si="1"/>
        <v>LEGF</v>
      </c>
      <c r="AW9" t="str">
        <f t="shared" si="1"/>
        <v>IDEV</v>
      </c>
      <c r="AX9" t="str">
        <f t="shared" si="1"/>
        <v>PENV</v>
      </c>
      <c r="AY9" t="str">
        <f t="shared" si="1"/>
        <v>MACR</v>
      </c>
      <c r="AZ9" t="str">
        <f t="shared" si="1"/>
        <v>FREV0</v>
      </c>
      <c r="BF9" s="2" t="s">
        <v>566</v>
      </c>
      <c r="BG9" s="57" t="s">
        <v>665</v>
      </c>
      <c r="BH9" s="57" t="e">
        <f>CONCATENATE("FPEN",BG6)</f>
        <v>#REF!</v>
      </c>
      <c r="BI9" s="57" t="e">
        <f>CONCATENATE("PEN",BG6)</f>
        <v>#REF!</v>
      </c>
      <c r="BJ9" s="57" t="s">
        <v>226</v>
      </c>
      <c r="BK9" s="57" t="s">
        <v>225</v>
      </c>
      <c r="BL9" s="57" t="s">
        <v>227</v>
      </c>
      <c r="BM9" s="57"/>
      <c r="BQ9" t="str">
        <f t="shared" ref="BQ9:BV9" si="2">BG9</f>
        <v>BACK07</v>
      </c>
      <c r="BR9" t="e">
        <f t="shared" si="2"/>
        <v>#REF!</v>
      </c>
      <c r="BS9" t="e">
        <f t="shared" si="2"/>
        <v>#REF!</v>
      </c>
      <c r="BT9" t="str">
        <f t="shared" si="2"/>
        <v>LMEM01</v>
      </c>
      <c r="BU9" t="str">
        <f t="shared" si="2"/>
        <v>LRPM01</v>
      </c>
      <c r="BV9" t="str">
        <f t="shared" si="2"/>
        <v>LREV01</v>
      </c>
    </row>
    <row r="10" spans="1:77">
      <c r="L10" s="6"/>
      <c r="N10" s="2" t="s">
        <v>567</v>
      </c>
      <c r="O10" t="e">
        <f t="shared" ref="O10:T10" ca="1" si="3">MATCH(O9,score_indicode,0)</f>
        <v>#N/A</v>
      </c>
      <c r="P10" t="e">
        <f t="shared" ca="1" si="3"/>
        <v>#N/A</v>
      </c>
      <c r="Q10" t="e">
        <f t="shared" ca="1" si="3"/>
        <v>#N/A</v>
      </c>
      <c r="R10" t="e">
        <f t="shared" ca="1" si="3"/>
        <v>#N/A</v>
      </c>
      <c r="S10" t="e">
        <f t="shared" ca="1" si="3"/>
        <v>#N/A</v>
      </c>
      <c r="T10" t="e">
        <f t="shared" ca="1" si="3"/>
        <v>#N/A</v>
      </c>
      <c r="AJ10" s="2" t="s">
        <v>567</v>
      </c>
      <c r="AK10">
        <f t="shared" ref="AK10:AP10" ca="1" si="4">MATCH(AK9,score_indicode,0)</f>
        <v>1</v>
      </c>
      <c r="AL10">
        <f t="shared" ca="1" si="4"/>
        <v>2</v>
      </c>
      <c r="AM10" t="e">
        <f t="shared" ca="1" si="4"/>
        <v>#N/A</v>
      </c>
      <c r="AN10" t="e">
        <f t="shared" ca="1" si="4"/>
        <v>#N/A</v>
      </c>
      <c r="AO10" t="e">
        <f t="shared" ca="1" si="4"/>
        <v>#N/A</v>
      </c>
      <c r="AP10" t="e">
        <f t="shared" ca="1" si="4"/>
        <v>#N/A</v>
      </c>
      <c r="BF10" s="2" t="s">
        <v>567</v>
      </c>
      <c r="BG10" t="e">
        <f t="shared" ref="BG10:BL10" ca="1" si="5">MATCH(BG9,score_indicode,0)</f>
        <v>#N/A</v>
      </c>
      <c r="BH10" t="e">
        <f t="shared" ca="1" si="5"/>
        <v>#REF!</v>
      </c>
      <c r="BI10" t="e">
        <f t="shared" ca="1" si="5"/>
        <v>#REF!</v>
      </c>
      <c r="BJ10" t="e">
        <f t="shared" ca="1" si="5"/>
        <v>#N/A</v>
      </c>
      <c r="BK10" t="e">
        <f t="shared" ca="1" si="5"/>
        <v>#N/A</v>
      </c>
      <c r="BL10" t="e">
        <f t="shared" ca="1" si="5"/>
        <v>#N/A</v>
      </c>
    </row>
    <row r="11" spans="1:77">
      <c r="L11" s="6"/>
    </row>
    <row r="12" spans="1:77">
      <c r="A12" s="26" t="s">
        <v>563</v>
      </c>
      <c r="B12" s="26" t="s">
        <v>511</v>
      </c>
      <c r="C12" s="26" t="s">
        <v>564</v>
      </c>
      <c r="D12" s="26" t="s">
        <v>565</v>
      </c>
      <c r="E12" s="26" t="s">
        <v>532</v>
      </c>
      <c r="F12" s="46" t="s">
        <v>539</v>
      </c>
      <c r="G12" s="46" t="s">
        <v>538</v>
      </c>
      <c r="H12" s="46" t="s">
        <v>533</v>
      </c>
      <c r="I12" s="46" t="s">
        <v>534</v>
      </c>
      <c r="J12" s="46" t="s">
        <v>537</v>
      </c>
      <c r="K12" s="46" t="s">
        <v>535</v>
      </c>
      <c r="L12" s="46" t="s">
        <v>536</v>
      </c>
      <c r="U12" s="57" t="s">
        <v>673</v>
      </c>
      <c r="AQ12" s="57" t="s">
        <v>673</v>
      </c>
      <c r="BM12" s="57" t="s">
        <v>673</v>
      </c>
    </row>
    <row r="13" spans="1:77">
      <c r="A13" s="25">
        <v>1</v>
      </c>
      <c r="B13" t="str">
        <f ca="1">tblCountries!E6</f>
        <v>Argentina</v>
      </c>
      <c r="C13">
        <f ca="1">tblCountries!A6</f>
        <v>1</v>
      </c>
      <c r="D13">
        <f ca="1">tblCountries!H6</f>
        <v>1</v>
      </c>
      <c r="L13" s="6"/>
      <c r="O13" s="27" t="e">
        <f t="shared" ref="O13:T31" ca="1" si="6">IF($D13=0,"",ROUND(INDEX(scores,O$10,$C13),2))</f>
        <v>#N/A</v>
      </c>
      <c r="P13" s="27" t="e">
        <f t="shared" ca="1" si="6"/>
        <v>#N/A</v>
      </c>
      <c r="Q13" s="27" t="e">
        <f t="shared" ca="1" si="6"/>
        <v>#N/A</v>
      </c>
      <c r="R13" s="27" t="e">
        <f t="shared" ca="1" si="6"/>
        <v>#N/A</v>
      </c>
      <c r="S13" s="27" t="e">
        <f t="shared" ca="1" si="6"/>
        <v>#N/A</v>
      </c>
      <c r="T13" s="27" t="e">
        <f t="shared" ca="1" si="6"/>
        <v>#N/A</v>
      </c>
      <c r="U13" s="27" t="e">
        <f ca="1">OFFSET(N13,0,O$7)</f>
        <v>#N/A</v>
      </c>
      <c r="V13" s="27" t="e">
        <f ca="1">RANK(U13,U$13:U$31)+COUNTIF(U13:U$31,U13)-1</f>
        <v>#N/A</v>
      </c>
      <c r="W13" s="27" t="e">
        <f t="shared" ref="W13:W31" ca="1" si="7">MATCH($A13,V$13:V$31,0)</f>
        <v>#N/A</v>
      </c>
      <c r="X13" s="27" t="e">
        <f t="shared" ref="X13:X31" ca="1" si="8">INDEX($B$13:$B$31,W13,0)</f>
        <v>#N/A</v>
      </c>
      <c r="Y13" s="27" t="e">
        <f t="shared" ref="Y13:Y31" ca="1" si="9">INDEX(O$13:O$31,$W13,0)</f>
        <v>#N/A</v>
      </c>
      <c r="Z13" s="27" t="e">
        <f t="shared" ref="Z13:Z31" ca="1" si="10">INDEX(P$13:P$31,$W13,0)</f>
        <v>#N/A</v>
      </c>
      <c r="AA13" s="27" t="e">
        <f t="shared" ref="AA13:AA31" ca="1" si="11">INDEX(Q$13:Q$31,$W13,0)</f>
        <v>#N/A</v>
      </c>
      <c r="AB13" s="27" t="e">
        <f t="shared" ref="AB13:AB31" ca="1" si="12">INDEX(R$13:R$31,$W13,0)</f>
        <v>#N/A</v>
      </c>
      <c r="AC13" s="27" t="e">
        <f t="shared" ref="AC13:AC31" ca="1" si="13">INDEX(S$13:S$31,$W13,0)</f>
        <v>#N/A</v>
      </c>
      <c r="AD13" s="27" t="e">
        <f t="shared" ref="AD13:AD31" ca="1" si="14">INDEX(T$13:T$31,$W13,0)</f>
        <v>#N/A</v>
      </c>
      <c r="AE13" s="27">
        <f t="shared" ref="AE13:AE31" ca="1" si="15">IF(ISERROR(INDEX($D$13:$D$31,W13,0)),0,INDEX($D$13:$D$31,W13,0))</f>
        <v>0</v>
      </c>
      <c r="AF13" s="27">
        <v>1</v>
      </c>
      <c r="AG13" s="13">
        <f ca="1">IF(OR(AF13=AF12,AF13=AF14),CONCATENATE("=",AF13),AF13)</f>
        <v>1</v>
      </c>
      <c r="AK13" s="27">
        <f t="shared" ref="AK13:AP31" ca="1" si="16">IF($D13=0,"",ROUND(INDEX(scores,AK$10,$C13),2))</f>
        <v>23.46</v>
      </c>
      <c r="AL13" s="27">
        <f t="shared" ca="1" si="16"/>
        <v>16.670000000000002</v>
      </c>
      <c r="AM13" s="27" t="e">
        <f t="shared" ca="1" si="16"/>
        <v>#N/A</v>
      </c>
      <c r="AN13" s="27" t="e">
        <f t="shared" ca="1" si="16"/>
        <v>#N/A</v>
      </c>
      <c r="AO13" s="27" t="e">
        <f t="shared" ca="1" si="16"/>
        <v>#N/A</v>
      </c>
      <c r="AP13" s="27" t="e">
        <f t="shared" ca="1" si="16"/>
        <v>#N/A</v>
      </c>
      <c r="AQ13" s="27" t="e">
        <f ca="1">OFFSET(AJ13,0,AK$7)</f>
        <v>#N/A</v>
      </c>
      <c r="AR13" s="27" t="e">
        <f ca="1">RANK(AQ13,AQ$13:AQ$31)+COUNTIF(AQ13:AQ$31,AQ13)-1</f>
        <v>#N/A</v>
      </c>
      <c r="AS13" s="27" t="e">
        <f t="shared" ref="AS13:AS31" ca="1" si="17">MATCH($A13,AR$13:AR$31,0)</f>
        <v>#N/A</v>
      </c>
      <c r="AT13" s="27" t="e">
        <f t="shared" ref="AT13:AT31" ca="1" si="18">INDEX($B$13:$B$31,AS13,0)</f>
        <v>#N/A</v>
      </c>
      <c r="AU13" s="27" t="e">
        <f t="shared" ref="AU13:AU31" ca="1" si="19">INDEX(AK$13:AK$31,$AS13,0)</f>
        <v>#N/A</v>
      </c>
      <c r="AV13" s="27" t="e">
        <f t="shared" ref="AV13:AV31" ca="1" si="20">INDEX(AL$13:AL$31,$AS13,0)</f>
        <v>#N/A</v>
      </c>
      <c r="AW13" s="27" t="e">
        <f t="shared" ref="AW13:AW31" ca="1" si="21">INDEX(AM$13:AM$31,$AS13,0)</f>
        <v>#N/A</v>
      </c>
      <c r="AX13" s="27" t="e">
        <f t="shared" ref="AX13:AX31" ca="1" si="22">INDEX(AN$13:AN$31,$AS13,0)</f>
        <v>#N/A</v>
      </c>
      <c r="AY13" s="27" t="e">
        <f t="shared" ref="AY13:AY31" ca="1" si="23">INDEX(AO$13:AO$31,$AS13,0)</f>
        <v>#N/A</v>
      </c>
      <c r="AZ13" s="27" t="e">
        <f t="shared" ref="AZ13:AZ31" ca="1" si="24">INDEX(AP$13:AP$31,$AS13,0)</f>
        <v>#N/A</v>
      </c>
      <c r="BA13" s="27">
        <f t="shared" ref="BA13:BA31" ca="1" si="25">IF(ISERROR(INDEX($D$13:$D$31,AS13,0)),0,INDEX($D$13:$D$31,AS13,0))</f>
        <v>0</v>
      </c>
      <c r="BB13" s="27">
        <v>1</v>
      </c>
      <c r="BC13" s="13">
        <f ca="1">IF(OR(BB13=BB12,BB13=BB14),CONCATENATE("=",BB13),BB13)</f>
        <v>1</v>
      </c>
      <c r="BG13" s="27" t="e">
        <f t="shared" ref="BG13:BL31" ca="1" si="26">IF($D13=0,"",ROUND(INDEX(scores,BG$10,$C13),2))</f>
        <v>#N/A</v>
      </c>
      <c r="BH13" s="27" t="e">
        <f>BG$6</f>
        <v>#REF!</v>
      </c>
      <c r="BI13" s="110" t="s">
        <v>238</v>
      </c>
      <c r="BJ13" s="27" t="e">
        <f t="shared" ca="1" si="26"/>
        <v>#N/A</v>
      </c>
      <c r="BK13" s="27" t="e">
        <f t="shared" ca="1" si="26"/>
        <v>#N/A</v>
      </c>
      <c r="BL13" s="27" t="e">
        <f t="shared" ca="1" si="26"/>
        <v>#N/A</v>
      </c>
      <c r="BM13" s="27" t="str">
        <f ca="1">OFFSET(BF13,0,BG$7)</f>
        <v>-</v>
      </c>
      <c r="BN13" s="27" t="e">
        <f ca="1">RANK(BM13,BM$13:BM$31)+COUNTIF(BM13:BM$31,BM13)-1</f>
        <v>#VALUE!</v>
      </c>
      <c r="BO13" s="27" t="e">
        <f t="shared" ref="BO13:BO31" ca="1" si="27">MATCH($A13,BN$13:BN$31,0)</f>
        <v>#N/A</v>
      </c>
      <c r="BP13" s="27" t="e">
        <f t="shared" ref="BP13:BP31" ca="1" si="28">INDEX($B$13:$B$31,BO13,0)</f>
        <v>#N/A</v>
      </c>
      <c r="BQ13" s="27" t="e">
        <f t="shared" ref="BQ13:BQ31" ca="1" si="29">INDEX(BG$13:BG$31,$BO13,0)</f>
        <v>#N/A</v>
      </c>
      <c r="BR13" s="27" t="e">
        <f t="shared" ref="BR13:BR31" ca="1" si="30">INDEX(BH$13:BH$31,$BO13,0)</f>
        <v>#N/A</v>
      </c>
      <c r="BS13" s="27" t="e">
        <f t="shared" ref="BS13:BS31" ca="1" si="31">INDEX(BI$13:BI$31,$BO13,0)</f>
        <v>#N/A</v>
      </c>
      <c r="BT13" s="27" t="e">
        <f t="shared" ref="BT13:BT31" ca="1" si="32">INDEX(BJ$13:BJ$31,$BO13,0)</f>
        <v>#N/A</v>
      </c>
      <c r="BU13" s="27" t="e">
        <f t="shared" ref="BU13:BU31" ca="1" si="33">INDEX(BK$13:BK$31,$BO13,0)</f>
        <v>#N/A</v>
      </c>
      <c r="BV13" s="27" t="e">
        <f t="shared" ref="BV13:BV31" ca="1" si="34">INDEX(BL$13:BL$31,$BO13,0)</f>
        <v>#N/A</v>
      </c>
      <c r="BW13" s="27">
        <f t="shared" ref="BW13:BW31" ca="1" si="35">IF(ISERROR(INDEX($D$13:$D$31,BO13,0)),0,INDEX($D$13:$D$31,BO13,0))</f>
        <v>0</v>
      </c>
      <c r="BX13" s="27">
        <v>1</v>
      </c>
      <c r="BY13" s="13">
        <f ca="1">IF(OR(BX13=BX12,BX13=BX14),CONCATENATE("=",BX13),BX13)</f>
        <v>1</v>
      </c>
    </row>
    <row r="14" spans="1:77">
      <c r="A14" s="25">
        <v>2</v>
      </c>
      <c r="B14" t="str">
        <f ca="1">tblCountries!E7</f>
        <v>Brazil</v>
      </c>
      <c r="C14">
        <f ca="1">tblCountries!A7</f>
        <v>2</v>
      </c>
      <c r="D14">
        <f ca="1">tblCountries!H7</f>
        <v>1</v>
      </c>
      <c r="L14" s="6"/>
      <c r="O14" s="27" t="e">
        <f t="shared" ca="1" si="6"/>
        <v>#N/A</v>
      </c>
      <c r="P14" s="27" t="e">
        <f t="shared" ca="1" si="6"/>
        <v>#N/A</v>
      </c>
      <c r="Q14" s="27" t="e">
        <f t="shared" ca="1" si="6"/>
        <v>#N/A</v>
      </c>
      <c r="R14" s="27" t="e">
        <f t="shared" ca="1" si="6"/>
        <v>#N/A</v>
      </c>
      <c r="S14" s="27" t="e">
        <f t="shared" ca="1" si="6"/>
        <v>#N/A</v>
      </c>
      <c r="T14" s="27" t="e">
        <f t="shared" ca="1" si="6"/>
        <v>#N/A</v>
      </c>
      <c r="U14" s="27" t="e">
        <f t="shared" ref="U14:U31" ca="1" si="36">OFFSET(N14,0,O$7)</f>
        <v>#N/A</v>
      </c>
      <c r="V14" s="27" t="e">
        <f ca="1">RANK(U14,U$13:U$31)+COUNTIF(U14:U$31,U14)-1</f>
        <v>#N/A</v>
      </c>
      <c r="W14" s="27" t="e">
        <f t="shared" ca="1" si="7"/>
        <v>#N/A</v>
      </c>
      <c r="X14" s="27" t="e">
        <f t="shared" ca="1" si="8"/>
        <v>#N/A</v>
      </c>
      <c r="Y14" s="27" t="e">
        <f t="shared" ca="1" si="9"/>
        <v>#N/A</v>
      </c>
      <c r="Z14" s="27" t="e">
        <f t="shared" ca="1" si="10"/>
        <v>#N/A</v>
      </c>
      <c r="AA14" s="27" t="e">
        <f t="shared" ca="1" si="11"/>
        <v>#N/A</v>
      </c>
      <c r="AB14" s="27" t="e">
        <f t="shared" ca="1" si="12"/>
        <v>#N/A</v>
      </c>
      <c r="AC14" s="27" t="e">
        <f t="shared" ca="1" si="13"/>
        <v>#N/A</v>
      </c>
      <c r="AD14" s="27" t="e">
        <f t="shared" ca="1" si="14"/>
        <v>#N/A</v>
      </c>
      <c r="AE14" s="27">
        <f t="shared" ca="1" si="15"/>
        <v>0</v>
      </c>
      <c r="AF14" s="27" t="str">
        <f ca="1">IF(AE14=0,"",IF(ROUND(Y14,1)=ROUND(Y13,1),AF13,$A14))</f>
        <v/>
      </c>
      <c r="AG14" s="13" t="str">
        <f t="shared" ref="AG14:AG30" ca="1" si="37">IF(OR(AF14=AF13,AF14=AF15),CONCATENATE("=",AF14),AF14)</f>
        <v>=</v>
      </c>
      <c r="AK14" s="27">
        <f t="shared" ca="1" si="16"/>
        <v>60.71</v>
      </c>
      <c r="AL14" s="27">
        <f t="shared" ca="1" si="16"/>
        <v>50</v>
      </c>
      <c r="AM14" s="27" t="e">
        <f t="shared" ca="1" si="16"/>
        <v>#N/A</v>
      </c>
      <c r="AN14" s="27" t="e">
        <f t="shared" ca="1" si="16"/>
        <v>#N/A</v>
      </c>
      <c r="AO14" s="27" t="e">
        <f t="shared" ca="1" si="16"/>
        <v>#N/A</v>
      </c>
      <c r="AP14" s="27" t="e">
        <f t="shared" ca="1" si="16"/>
        <v>#N/A</v>
      </c>
      <c r="AQ14" s="27" t="e">
        <f t="shared" ref="AQ14:AQ31" ca="1" si="38">OFFSET(AJ14,0,AK$7)</f>
        <v>#N/A</v>
      </c>
      <c r="AR14" s="27" t="e">
        <f ca="1">RANK(AQ14,AQ$13:AQ$31)+COUNTIF(AQ14:AQ$31,AQ14)-1</f>
        <v>#N/A</v>
      </c>
      <c r="AS14" s="27" t="e">
        <f t="shared" ca="1" si="17"/>
        <v>#N/A</v>
      </c>
      <c r="AT14" s="27" t="e">
        <f t="shared" ca="1" si="18"/>
        <v>#N/A</v>
      </c>
      <c r="AU14" s="27" t="e">
        <f t="shared" ca="1" si="19"/>
        <v>#N/A</v>
      </c>
      <c r="AV14" s="27" t="e">
        <f t="shared" ca="1" si="20"/>
        <v>#N/A</v>
      </c>
      <c r="AW14" s="27" t="e">
        <f t="shared" ca="1" si="21"/>
        <v>#N/A</v>
      </c>
      <c r="AX14" s="27" t="e">
        <f t="shared" ca="1" si="22"/>
        <v>#N/A</v>
      </c>
      <c r="AY14" s="27" t="e">
        <f t="shared" ca="1" si="23"/>
        <v>#N/A</v>
      </c>
      <c r="AZ14" s="27" t="e">
        <f t="shared" ca="1" si="24"/>
        <v>#N/A</v>
      </c>
      <c r="BA14" s="27">
        <f t="shared" ca="1" si="25"/>
        <v>0</v>
      </c>
      <c r="BB14" s="27" t="str">
        <f ca="1">IF(BA14=0,"",IF(ROUND(AU14,1)=ROUND(AU13,1),BB13,$A14))</f>
        <v/>
      </c>
      <c r="BC14" s="13" t="str">
        <f t="shared" ref="BC14:BC31" ca="1" si="39">IF(OR(BB14=BB13,BB14=BB15),CONCATENATE("=",BB14),BB14)</f>
        <v>=</v>
      </c>
      <c r="BG14" s="27" t="e">
        <f t="shared" ca="1" si="26"/>
        <v>#N/A</v>
      </c>
      <c r="BH14" s="27" t="e">
        <f t="shared" ref="BH14:BH31" si="40">BG$6</f>
        <v>#REF!</v>
      </c>
      <c r="BI14" s="110" t="s">
        <v>238</v>
      </c>
      <c r="BJ14" s="27" t="e">
        <f t="shared" ca="1" si="26"/>
        <v>#N/A</v>
      </c>
      <c r="BK14" s="27" t="e">
        <f t="shared" ca="1" si="26"/>
        <v>#N/A</v>
      </c>
      <c r="BL14" s="27" t="e">
        <f t="shared" ca="1" si="26"/>
        <v>#N/A</v>
      </c>
      <c r="BM14" s="27" t="str">
        <f t="shared" ref="BM14:BM31" ca="1" si="41">OFFSET(BF14,0,BG$7)</f>
        <v>-</v>
      </c>
      <c r="BN14" s="27" t="e">
        <f ca="1">RANK(BM14,BM$13:BM$31)+COUNTIF(BM14:BM$31,BM14)-1</f>
        <v>#VALUE!</v>
      </c>
      <c r="BO14" s="27" t="e">
        <f t="shared" ca="1" si="27"/>
        <v>#N/A</v>
      </c>
      <c r="BP14" s="27" t="e">
        <f t="shared" ca="1" si="28"/>
        <v>#N/A</v>
      </c>
      <c r="BQ14" s="27" t="e">
        <f t="shared" ca="1" si="29"/>
        <v>#N/A</v>
      </c>
      <c r="BR14" s="27" t="e">
        <f t="shared" ca="1" si="30"/>
        <v>#N/A</v>
      </c>
      <c r="BS14" s="27" t="e">
        <f t="shared" ca="1" si="31"/>
        <v>#N/A</v>
      </c>
      <c r="BT14" s="27" t="e">
        <f t="shared" ca="1" si="32"/>
        <v>#N/A</v>
      </c>
      <c r="BU14" s="27" t="e">
        <f t="shared" ca="1" si="33"/>
        <v>#N/A</v>
      </c>
      <c r="BV14" s="27" t="e">
        <f t="shared" ca="1" si="34"/>
        <v>#N/A</v>
      </c>
      <c r="BW14" s="27">
        <f t="shared" ca="1" si="35"/>
        <v>0</v>
      </c>
      <c r="BX14" s="27" t="str">
        <f ca="1">IF(BW14=0,"",IF(ROUND(BQ14,1)=ROUND(BQ13,1),BX13,$A14))</f>
        <v/>
      </c>
      <c r="BY14" s="13" t="str">
        <f t="shared" ref="BY14:BY31" ca="1" si="42">IF(OR(BX14=BX13,BX14=BX15),CONCATENATE("=",BX14),BX14)</f>
        <v>=</v>
      </c>
    </row>
    <row r="15" spans="1:77">
      <c r="A15" s="25">
        <v>3</v>
      </c>
      <c r="B15" t="str">
        <f ca="1">tblCountries!E8</f>
        <v xml:space="preserve">Chile </v>
      </c>
      <c r="C15">
        <f ca="1">tblCountries!A8</f>
        <v>3</v>
      </c>
      <c r="D15">
        <f ca="1">tblCountries!H8</f>
        <v>1</v>
      </c>
      <c r="L15" s="6"/>
      <c r="O15" s="27" t="e">
        <f t="shared" ca="1" si="6"/>
        <v>#N/A</v>
      </c>
      <c r="P15" s="27" t="e">
        <f t="shared" ca="1" si="6"/>
        <v>#N/A</v>
      </c>
      <c r="Q15" s="27" t="e">
        <f t="shared" ca="1" si="6"/>
        <v>#N/A</v>
      </c>
      <c r="R15" s="27" t="e">
        <f t="shared" ca="1" si="6"/>
        <v>#N/A</v>
      </c>
      <c r="S15" s="27" t="e">
        <f t="shared" ca="1" si="6"/>
        <v>#N/A</v>
      </c>
      <c r="T15" s="27" t="e">
        <f t="shared" ca="1" si="6"/>
        <v>#N/A</v>
      </c>
      <c r="U15" s="27" t="e">
        <f t="shared" ca="1" si="36"/>
        <v>#N/A</v>
      </c>
      <c r="V15" s="27" t="e">
        <f ca="1">RANK(U15,U$13:U$31)+COUNTIF(U15:U$31,U15)-1</f>
        <v>#N/A</v>
      </c>
      <c r="W15" s="27" t="e">
        <f t="shared" ca="1" si="7"/>
        <v>#N/A</v>
      </c>
      <c r="X15" s="27" t="e">
        <f t="shared" ca="1" si="8"/>
        <v>#N/A</v>
      </c>
      <c r="Y15" s="27" t="e">
        <f t="shared" ca="1" si="9"/>
        <v>#N/A</v>
      </c>
      <c r="Z15" s="27" t="e">
        <f t="shared" ca="1" si="10"/>
        <v>#N/A</v>
      </c>
      <c r="AA15" s="27" t="e">
        <f t="shared" ca="1" si="11"/>
        <v>#N/A</v>
      </c>
      <c r="AB15" s="27" t="e">
        <f t="shared" ca="1" si="12"/>
        <v>#N/A</v>
      </c>
      <c r="AC15" s="27" t="e">
        <f t="shared" ca="1" si="13"/>
        <v>#N/A</v>
      </c>
      <c r="AD15" s="27" t="e">
        <f t="shared" ca="1" si="14"/>
        <v>#N/A</v>
      </c>
      <c r="AE15" s="27">
        <f t="shared" ca="1" si="15"/>
        <v>0</v>
      </c>
      <c r="AF15" s="27" t="str">
        <f t="shared" ref="AF15:AF31" ca="1" si="43">IF(AE15=0,"",IF(ROUND(Y15,1)=ROUND(Y14,1),AF14,$A15))</f>
        <v/>
      </c>
      <c r="AG15" s="13" t="str">
        <f t="shared" ca="1" si="37"/>
        <v>=</v>
      </c>
      <c r="AK15" s="27">
        <f t="shared" ca="1" si="16"/>
        <v>65.290000000000006</v>
      </c>
      <c r="AL15" s="27">
        <f t="shared" ca="1" si="16"/>
        <v>61.11</v>
      </c>
      <c r="AM15" s="27" t="e">
        <f t="shared" ca="1" si="16"/>
        <v>#N/A</v>
      </c>
      <c r="AN15" s="27" t="e">
        <f t="shared" ca="1" si="16"/>
        <v>#N/A</v>
      </c>
      <c r="AO15" s="27" t="e">
        <f t="shared" ca="1" si="16"/>
        <v>#N/A</v>
      </c>
      <c r="AP15" s="27" t="e">
        <f t="shared" ca="1" si="16"/>
        <v>#N/A</v>
      </c>
      <c r="AQ15" s="27" t="e">
        <f t="shared" ca="1" si="38"/>
        <v>#N/A</v>
      </c>
      <c r="AR15" s="27" t="e">
        <f ca="1">RANK(AQ15,AQ$13:AQ$31)+COUNTIF(AQ15:AQ$31,AQ15)-1</f>
        <v>#N/A</v>
      </c>
      <c r="AS15" s="27" t="e">
        <f t="shared" ca="1" si="17"/>
        <v>#N/A</v>
      </c>
      <c r="AT15" s="27" t="e">
        <f t="shared" ca="1" si="18"/>
        <v>#N/A</v>
      </c>
      <c r="AU15" s="27" t="e">
        <f t="shared" ca="1" si="19"/>
        <v>#N/A</v>
      </c>
      <c r="AV15" s="27" t="e">
        <f t="shared" ca="1" si="20"/>
        <v>#N/A</v>
      </c>
      <c r="AW15" s="27" t="e">
        <f t="shared" ca="1" si="21"/>
        <v>#N/A</v>
      </c>
      <c r="AX15" s="27" t="e">
        <f t="shared" ca="1" si="22"/>
        <v>#N/A</v>
      </c>
      <c r="AY15" s="27" t="e">
        <f t="shared" ca="1" si="23"/>
        <v>#N/A</v>
      </c>
      <c r="AZ15" s="27" t="e">
        <f t="shared" ca="1" si="24"/>
        <v>#N/A</v>
      </c>
      <c r="BA15" s="27">
        <f t="shared" ca="1" si="25"/>
        <v>0</v>
      </c>
      <c r="BB15" s="27" t="str">
        <f t="shared" ref="BB15:BB31" ca="1" si="44">IF(BA15=0,"",IF(ROUND(AU15,1)=ROUND(AU14,1),BB14,$A15))</f>
        <v/>
      </c>
      <c r="BC15" s="13" t="str">
        <f t="shared" ca="1" si="39"/>
        <v>=</v>
      </c>
      <c r="BG15" s="27" t="e">
        <f t="shared" ca="1" si="26"/>
        <v>#N/A</v>
      </c>
      <c r="BH15" s="27" t="e">
        <f t="shared" si="40"/>
        <v>#REF!</v>
      </c>
      <c r="BI15" s="110" t="s">
        <v>238</v>
      </c>
      <c r="BJ15" s="27" t="e">
        <f t="shared" ca="1" si="26"/>
        <v>#N/A</v>
      </c>
      <c r="BK15" s="27" t="e">
        <f t="shared" ca="1" si="26"/>
        <v>#N/A</v>
      </c>
      <c r="BL15" s="27" t="e">
        <f t="shared" ca="1" si="26"/>
        <v>#N/A</v>
      </c>
      <c r="BM15" s="27" t="str">
        <f t="shared" ca="1" si="41"/>
        <v>-</v>
      </c>
      <c r="BN15" s="27" t="e">
        <f ca="1">RANK(BM15,BM$13:BM$31)+COUNTIF(BM15:BM$31,BM15)-1</f>
        <v>#VALUE!</v>
      </c>
      <c r="BO15" s="27" t="e">
        <f t="shared" ca="1" si="27"/>
        <v>#N/A</v>
      </c>
      <c r="BP15" s="27" t="e">
        <f t="shared" ca="1" si="28"/>
        <v>#N/A</v>
      </c>
      <c r="BQ15" s="27" t="e">
        <f t="shared" ca="1" si="29"/>
        <v>#N/A</v>
      </c>
      <c r="BR15" s="27" t="e">
        <f t="shared" ca="1" si="30"/>
        <v>#N/A</v>
      </c>
      <c r="BS15" s="27" t="e">
        <f t="shared" ca="1" si="31"/>
        <v>#N/A</v>
      </c>
      <c r="BT15" s="27" t="e">
        <f t="shared" ca="1" si="32"/>
        <v>#N/A</v>
      </c>
      <c r="BU15" s="27" t="e">
        <f t="shared" ca="1" si="33"/>
        <v>#N/A</v>
      </c>
      <c r="BV15" s="27" t="e">
        <f t="shared" ca="1" si="34"/>
        <v>#N/A</v>
      </c>
      <c r="BW15" s="27">
        <f t="shared" ca="1" si="35"/>
        <v>0</v>
      </c>
      <c r="BX15" s="27" t="str">
        <f t="shared" ref="BX15:BX31" ca="1" si="45">IF(BW15=0,"",IF(ROUND(BQ15,1)=ROUND(BQ14,1),BX14,$A15))</f>
        <v/>
      </c>
      <c r="BY15" s="13" t="str">
        <f t="shared" ca="1" si="42"/>
        <v>=</v>
      </c>
    </row>
    <row r="16" spans="1:77">
      <c r="A16" s="25">
        <v>4</v>
      </c>
      <c r="B16" t="str">
        <f ca="1">tblCountries!E9</f>
        <v>Colombia</v>
      </c>
      <c r="C16">
        <f ca="1">tblCountries!A9</f>
        <v>4</v>
      </c>
      <c r="D16">
        <f ca="1">tblCountries!H9</f>
        <v>1</v>
      </c>
      <c r="L16" s="6"/>
      <c r="O16" s="27" t="e">
        <f t="shared" ca="1" si="6"/>
        <v>#N/A</v>
      </c>
      <c r="P16" s="27" t="e">
        <f t="shared" ca="1" si="6"/>
        <v>#N/A</v>
      </c>
      <c r="Q16" s="27" t="e">
        <f t="shared" ca="1" si="6"/>
        <v>#N/A</v>
      </c>
      <c r="R16" s="27" t="e">
        <f t="shared" ca="1" si="6"/>
        <v>#N/A</v>
      </c>
      <c r="S16" s="27" t="e">
        <f t="shared" ca="1" si="6"/>
        <v>#N/A</v>
      </c>
      <c r="T16" s="27" t="e">
        <f t="shared" ca="1" si="6"/>
        <v>#N/A</v>
      </c>
      <c r="U16" s="27" t="e">
        <f t="shared" ca="1" si="36"/>
        <v>#N/A</v>
      </c>
      <c r="V16" s="27" t="e">
        <f ca="1">RANK(U16,U$13:U$31)+COUNTIF(U16:U$31,U16)-1</f>
        <v>#N/A</v>
      </c>
      <c r="W16" s="27" t="e">
        <f t="shared" ca="1" si="7"/>
        <v>#N/A</v>
      </c>
      <c r="X16" s="27" t="e">
        <f t="shared" ca="1" si="8"/>
        <v>#N/A</v>
      </c>
      <c r="Y16" s="27" t="e">
        <f t="shared" ca="1" si="9"/>
        <v>#N/A</v>
      </c>
      <c r="Z16" s="27" t="e">
        <f t="shared" ca="1" si="10"/>
        <v>#N/A</v>
      </c>
      <c r="AA16" s="27" t="e">
        <f t="shared" ca="1" si="11"/>
        <v>#N/A</v>
      </c>
      <c r="AB16" s="27" t="e">
        <f t="shared" ca="1" si="12"/>
        <v>#N/A</v>
      </c>
      <c r="AC16" s="27" t="e">
        <f t="shared" ca="1" si="13"/>
        <v>#N/A</v>
      </c>
      <c r="AD16" s="27" t="e">
        <f t="shared" ca="1" si="14"/>
        <v>#N/A</v>
      </c>
      <c r="AE16" s="27">
        <f t="shared" ca="1" si="15"/>
        <v>0</v>
      </c>
      <c r="AF16" s="27" t="str">
        <f t="shared" ca="1" si="43"/>
        <v/>
      </c>
      <c r="AG16" s="13" t="str">
        <f t="shared" ca="1" si="37"/>
        <v>=</v>
      </c>
      <c r="AK16" s="27">
        <f t="shared" ca="1" si="16"/>
        <v>42.37</v>
      </c>
      <c r="AL16" s="27">
        <f t="shared" ca="1" si="16"/>
        <v>33.33</v>
      </c>
      <c r="AM16" s="27" t="e">
        <f t="shared" ca="1" si="16"/>
        <v>#N/A</v>
      </c>
      <c r="AN16" s="27" t="e">
        <f t="shared" ca="1" si="16"/>
        <v>#N/A</v>
      </c>
      <c r="AO16" s="27" t="e">
        <f t="shared" ca="1" si="16"/>
        <v>#N/A</v>
      </c>
      <c r="AP16" s="27" t="e">
        <f t="shared" ca="1" si="16"/>
        <v>#N/A</v>
      </c>
      <c r="AQ16" s="27" t="e">
        <f t="shared" ca="1" si="38"/>
        <v>#N/A</v>
      </c>
      <c r="AR16" s="27" t="e">
        <f ca="1">RANK(AQ16,AQ$13:AQ$31)+COUNTIF(AQ16:AQ$31,AQ16)-1</f>
        <v>#N/A</v>
      </c>
      <c r="AS16" s="27" t="e">
        <f t="shared" ca="1" si="17"/>
        <v>#N/A</v>
      </c>
      <c r="AT16" s="27" t="e">
        <f t="shared" ca="1" si="18"/>
        <v>#N/A</v>
      </c>
      <c r="AU16" s="27" t="e">
        <f t="shared" ca="1" si="19"/>
        <v>#N/A</v>
      </c>
      <c r="AV16" s="27" t="e">
        <f t="shared" ca="1" si="20"/>
        <v>#N/A</v>
      </c>
      <c r="AW16" s="27" t="e">
        <f t="shared" ca="1" si="21"/>
        <v>#N/A</v>
      </c>
      <c r="AX16" s="27" t="e">
        <f t="shared" ca="1" si="22"/>
        <v>#N/A</v>
      </c>
      <c r="AY16" s="27" t="e">
        <f t="shared" ca="1" si="23"/>
        <v>#N/A</v>
      </c>
      <c r="AZ16" s="27" t="e">
        <f t="shared" ca="1" si="24"/>
        <v>#N/A</v>
      </c>
      <c r="BA16" s="27">
        <f t="shared" ca="1" si="25"/>
        <v>0</v>
      </c>
      <c r="BB16" s="27" t="str">
        <f t="shared" ca="1" si="44"/>
        <v/>
      </c>
      <c r="BC16" s="13" t="str">
        <f t="shared" ca="1" si="39"/>
        <v>=</v>
      </c>
      <c r="BG16" s="27" t="e">
        <f t="shared" ca="1" si="26"/>
        <v>#N/A</v>
      </c>
      <c r="BH16" s="27" t="e">
        <f t="shared" si="40"/>
        <v>#REF!</v>
      </c>
      <c r="BI16" s="110" t="s">
        <v>238</v>
      </c>
      <c r="BJ16" s="27" t="e">
        <f t="shared" ca="1" si="26"/>
        <v>#N/A</v>
      </c>
      <c r="BK16" s="27" t="e">
        <f t="shared" ca="1" si="26"/>
        <v>#N/A</v>
      </c>
      <c r="BL16" s="27" t="e">
        <f t="shared" ca="1" si="26"/>
        <v>#N/A</v>
      </c>
      <c r="BM16" s="27" t="str">
        <f t="shared" ca="1" si="41"/>
        <v>-</v>
      </c>
      <c r="BN16" s="27" t="e">
        <f ca="1">RANK(BM16,BM$13:BM$31)+COUNTIF(BM16:BM$31,BM16)-1</f>
        <v>#VALUE!</v>
      </c>
      <c r="BO16" s="27" t="e">
        <f t="shared" ca="1" si="27"/>
        <v>#N/A</v>
      </c>
      <c r="BP16" s="27" t="e">
        <f t="shared" ca="1" si="28"/>
        <v>#N/A</v>
      </c>
      <c r="BQ16" s="27" t="e">
        <f t="shared" ca="1" si="29"/>
        <v>#N/A</v>
      </c>
      <c r="BR16" s="27" t="e">
        <f t="shared" ca="1" si="30"/>
        <v>#N/A</v>
      </c>
      <c r="BS16" s="27" t="e">
        <f t="shared" ca="1" si="31"/>
        <v>#N/A</v>
      </c>
      <c r="BT16" s="27" t="e">
        <f t="shared" ca="1" si="32"/>
        <v>#N/A</v>
      </c>
      <c r="BU16" s="27" t="e">
        <f t="shared" ca="1" si="33"/>
        <v>#N/A</v>
      </c>
      <c r="BV16" s="27" t="e">
        <f t="shared" ca="1" si="34"/>
        <v>#N/A</v>
      </c>
      <c r="BW16" s="27">
        <f t="shared" ca="1" si="35"/>
        <v>0</v>
      </c>
      <c r="BX16" s="27" t="str">
        <f t="shared" ca="1" si="45"/>
        <v/>
      </c>
      <c r="BY16" s="13" t="str">
        <f t="shared" ca="1" si="42"/>
        <v>=</v>
      </c>
    </row>
    <row r="17" spans="1:77">
      <c r="A17" s="25">
        <v>5</v>
      </c>
      <c r="B17" t="str">
        <f ca="1">tblCountries!E10</f>
        <v>Costa Rica</v>
      </c>
      <c r="C17">
        <f ca="1">tblCountries!A10</f>
        <v>5</v>
      </c>
      <c r="D17">
        <f ca="1">tblCountries!H10</f>
        <v>1</v>
      </c>
      <c r="O17" s="27" t="e">
        <f t="shared" ca="1" si="6"/>
        <v>#N/A</v>
      </c>
      <c r="P17" s="27" t="e">
        <f t="shared" ca="1" si="6"/>
        <v>#N/A</v>
      </c>
      <c r="Q17" s="27" t="e">
        <f t="shared" ca="1" si="6"/>
        <v>#N/A</v>
      </c>
      <c r="R17" s="27" t="e">
        <f t="shared" ca="1" si="6"/>
        <v>#N/A</v>
      </c>
      <c r="S17" s="27" t="e">
        <f t="shared" ca="1" si="6"/>
        <v>#N/A</v>
      </c>
      <c r="T17" s="27" t="e">
        <f t="shared" ca="1" si="6"/>
        <v>#N/A</v>
      </c>
      <c r="U17" s="27" t="e">
        <f t="shared" ca="1" si="36"/>
        <v>#N/A</v>
      </c>
      <c r="V17" s="27" t="e">
        <f ca="1">RANK(U17,U$13:U$31)+COUNTIF(U17:U$31,U17)-1</f>
        <v>#N/A</v>
      </c>
      <c r="W17" s="27" t="e">
        <f t="shared" ca="1" si="7"/>
        <v>#N/A</v>
      </c>
      <c r="X17" s="27" t="e">
        <f t="shared" ca="1" si="8"/>
        <v>#N/A</v>
      </c>
      <c r="Y17" s="27" t="e">
        <f t="shared" ca="1" si="9"/>
        <v>#N/A</v>
      </c>
      <c r="Z17" s="27" t="e">
        <f t="shared" ca="1" si="10"/>
        <v>#N/A</v>
      </c>
      <c r="AA17" s="27" t="e">
        <f t="shared" ca="1" si="11"/>
        <v>#N/A</v>
      </c>
      <c r="AB17" s="27" t="e">
        <f t="shared" ca="1" si="12"/>
        <v>#N/A</v>
      </c>
      <c r="AC17" s="27" t="e">
        <f t="shared" ca="1" si="13"/>
        <v>#N/A</v>
      </c>
      <c r="AD17" s="27" t="e">
        <f t="shared" ca="1" si="14"/>
        <v>#N/A</v>
      </c>
      <c r="AE17" s="27">
        <f t="shared" ca="1" si="15"/>
        <v>0</v>
      </c>
      <c r="AF17" s="27" t="str">
        <f t="shared" ca="1" si="43"/>
        <v/>
      </c>
      <c r="AG17" s="13" t="str">
        <f t="shared" ca="1" si="37"/>
        <v>=</v>
      </c>
      <c r="AK17" s="27">
        <f t="shared" ca="1" si="16"/>
        <v>41.91</v>
      </c>
      <c r="AL17" s="27">
        <f t="shared" ca="1" si="16"/>
        <v>41.67</v>
      </c>
      <c r="AM17" s="27" t="e">
        <f t="shared" ca="1" si="16"/>
        <v>#N/A</v>
      </c>
      <c r="AN17" s="27" t="e">
        <f t="shared" ca="1" si="16"/>
        <v>#N/A</v>
      </c>
      <c r="AO17" s="27" t="e">
        <f t="shared" ca="1" si="16"/>
        <v>#N/A</v>
      </c>
      <c r="AP17" s="27" t="e">
        <f t="shared" ca="1" si="16"/>
        <v>#N/A</v>
      </c>
      <c r="AQ17" s="27" t="e">
        <f t="shared" ca="1" si="38"/>
        <v>#N/A</v>
      </c>
      <c r="AR17" s="27" t="e">
        <f ca="1">RANK(AQ17,AQ$13:AQ$31)+COUNTIF(AQ17:AQ$31,AQ17)-1</f>
        <v>#N/A</v>
      </c>
      <c r="AS17" s="27" t="e">
        <f t="shared" ca="1" si="17"/>
        <v>#N/A</v>
      </c>
      <c r="AT17" s="27" t="e">
        <f t="shared" ca="1" si="18"/>
        <v>#N/A</v>
      </c>
      <c r="AU17" s="27" t="e">
        <f t="shared" ca="1" si="19"/>
        <v>#N/A</v>
      </c>
      <c r="AV17" s="27" t="e">
        <f t="shared" ca="1" si="20"/>
        <v>#N/A</v>
      </c>
      <c r="AW17" s="27" t="e">
        <f t="shared" ca="1" si="21"/>
        <v>#N/A</v>
      </c>
      <c r="AX17" s="27" t="e">
        <f t="shared" ca="1" si="22"/>
        <v>#N/A</v>
      </c>
      <c r="AY17" s="27" t="e">
        <f t="shared" ca="1" si="23"/>
        <v>#N/A</v>
      </c>
      <c r="AZ17" s="27" t="e">
        <f t="shared" ca="1" si="24"/>
        <v>#N/A</v>
      </c>
      <c r="BA17" s="27">
        <f t="shared" ca="1" si="25"/>
        <v>0</v>
      </c>
      <c r="BB17" s="27" t="str">
        <f t="shared" ca="1" si="44"/>
        <v/>
      </c>
      <c r="BC17" s="13" t="str">
        <f t="shared" ca="1" si="39"/>
        <v>=</v>
      </c>
      <c r="BG17" s="27" t="e">
        <f t="shared" ca="1" si="26"/>
        <v>#N/A</v>
      </c>
      <c r="BH17" s="27" t="e">
        <f t="shared" si="40"/>
        <v>#REF!</v>
      </c>
      <c r="BI17" s="110" t="s">
        <v>238</v>
      </c>
      <c r="BJ17" s="27" t="e">
        <f t="shared" ca="1" si="26"/>
        <v>#N/A</v>
      </c>
      <c r="BK17" s="27" t="e">
        <f t="shared" ca="1" si="26"/>
        <v>#N/A</v>
      </c>
      <c r="BL17" s="27" t="e">
        <f t="shared" ca="1" si="26"/>
        <v>#N/A</v>
      </c>
      <c r="BM17" s="27" t="str">
        <f t="shared" ca="1" si="41"/>
        <v>-</v>
      </c>
      <c r="BN17" s="27" t="e">
        <f ca="1">RANK(BM17,BM$13:BM$31)+COUNTIF(BM17:BM$31,BM17)-1</f>
        <v>#VALUE!</v>
      </c>
      <c r="BO17" s="27" t="e">
        <f t="shared" ca="1" si="27"/>
        <v>#N/A</v>
      </c>
      <c r="BP17" s="27" t="e">
        <f t="shared" ca="1" si="28"/>
        <v>#N/A</v>
      </c>
      <c r="BQ17" s="27" t="e">
        <f t="shared" ca="1" si="29"/>
        <v>#N/A</v>
      </c>
      <c r="BR17" s="27" t="e">
        <f t="shared" ca="1" si="30"/>
        <v>#N/A</v>
      </c>
      <c r="BS17" s="27" t="e">
        <f t="shared" ca="1" si="31"/>
        <v>#N/A</v>
      </c>
      <c r="BT17" s="27" t="e">
        <f t="shared" ca="1" si="32"/>
        <v>#N/A</v>
      </c>
      <c r="BU17" s="27" t="e">
        <f t="shared" ca="1" si="33"/>
        <v>#N/A</v>
      </c>
      <c r="BV17" s="27" t="e">
        <f t="shared" ca="1" si="34"/>
        <v>#N/A</v>
      </c>
      <c r="BW17" s="27">
        <f t="shared" ca="1" si="35"/>
        <v>0</v>
      </c>
      <c r="BX17" s="27" t="str">
        <f t="shared" ca="1" si="45"/>
        <v/>
      </c>
      <c r="BY17" s="13" t="str">
        <f t="shared" ca="1" si="42"/>
        <v>=</v>
      </c>
    </row>
    <row r="18" spans="1:77">
      <c r="A18" s="25">
        <v>6</v>
      </c>
      <c r="B18" t="str">
        <f ca="1">tblCountries!E11</f>
        <v>Dominican Rep.</v>
      </c>
      <c r="C18">
        <f ca="1">tblCountries!A11</f>
        <v>6</v>
      </c>
      <c r="D18">
        <f ca="1">tblCountries!H11</f>
        <v>1</v>
      </c>
      <c r="O18" s="27" t="e">
        <f t="shared" ca="1" si="6"/>
        <v>#N/A</v>
      </c>
      <c r="P18" s="27" t="e">
        <f t="shared" ca="1" si="6"/>
        <v>#N/A</v>
      </c>
      <c r="Q18" s="27" t="e">
        <f t="shared" ca="1" si="6"/>
        <v>#N/A</v>
      </c>
      <c r="R18" s="27" t="e">
        <f t="shared" ca="1" si="6"/>
        <v>#N/A</v>
      </c>
      <c r="S18" s="27" t="e">
        <f t="shared" ca="1" si="6"/>
        <v>#N/A</v>
      </c>
      <c r="T18" s="27" t="e">
        <f t="shared" ca="1" si="6"/>
        <v>#N/A</v>
      </c>
      <c r="U18" s="27" t="e">
        <f t="shared" ca="1" si="36"/>
        <v>#N/A</v>
      </c>
      <c r="V18" s="27" t="e">
        <f ca="1">RANK(U18,U$13:U$31)+COUNTIF(U18:U$31,U18)-1</f>
        <v>#N/A</v>
      </c>
      <c r="W18" s="27" t="e">
        <f t="shared" ca="1" si="7"/>
        <v>#N/A</v>
      </c>
      <c r="X18" s="27" t="e">
        <f t="shared" ca="1" si="8"/>
        <v>#N/A</v>
      </c>
      <c r="Y18" s="27" t="e">
        <f t="shared" ca="1" si="9"/>
        <v>#N/A</v>
      </c>
      <c r="Z18" s="27" t="e">
        <f t="shared" ca="1" si="10"/>
        <v>#N/A</v>
      </c>
      <c r="AA18" s="27" t="e">
        <f t="shared" ca="1" si="11"/>
        <v>#N/A</v>
      </c>
      <c r="AB18" s="27" t="e">
        <f t="shared" ca="1" si="12"/>
        <v>#N/A</v>
      </c>
      <c r="AC18" s="27" t="e">
        <f t="shared" ca="1" si="13"/>
        <v>#N/A</v>
      </c>
      <c r="AD18" s="27" t="e">
        <f t="shared" ca="1" si="14"/>
        <v>#N/A</v>
      </c>
      <c r="AE18" s="27">
        <f t="shared" ca="1" si="15"/>
        <v>0</v>
      </c>
      <c r="AF18" s="27" t="str">
        <f t="shared" ca="1" si="43"/>
        <v/>
      </c>
      <c r="AG18" s="13" t="str">
        <f t="shared" ca="1" si="37"/>
        <v>=</v>
      </c>
      <c r="AK18" s="27">
        <f t="shared" ca="1" si="16"/>
        <v>23.62</v>
      </c>
      <c r="AL18" s="27">
        <f t="shared" ca="1" si="16"/>
        <v>13.89</v>
      </c>
      <c r="AM18" s="27" t="e">
        <f t="shared" ca="1" si="16"/>
        <v>#N/A</v>
      </c>
      <c r="AN18" s="27" t="e">
        <f t="shared" ca="1" si="16"/>
        <v>#N/A</v>
      </c>
      <c r="AO18" s="27" t="e">
        <f t="shared" ca="1" si="16"/>
        <v>#N/A</v>
      </c>
      <c r="AP18" s="27" t="e">
        <f t="shared" ca="1" si="16"/>
        <v>#N/A</v>
      </c>
      <c r="AQ18" s="27" t="e">
        <f t="shared" ca="1" si="38"/>
        <v>#N/A</v>
      </c>
      <c r="AR18" s="27" t="e">
        <f ca="1">RANK(AQ18,AQ$13:AQ$31)+COUNTIF(AQ18:AQ$31,AQ18)-1</f>
        <v>#N/A</v>
      </c>
      <c r="AS18" s="27" t="e">
        <f t="shared" ca="1" si="17"/>
        <v>#N/A</v>
      </c>
      <c r="AT18" s="27" t="e">
        <f t="shared" ca="1" si="18"/>
        <v>#N/A</v>
      </c>
      <c r="AU18" s="27" t="e">
        <f t="shared" ca="1" si="19"/>
        <v>#N/A</v>
      </c>
      <c r="AV18" s="27" t="e">
        <f t="shared" ca="1" si="20"/>
        <v>#N/A</v>
      </c>
      <c r="AW18" s="27" t="e">
        <f t="shared" ca="1" si="21"/>
        <v>#N/A</v>
      </c>
      <c r="AX18" s="27" t="e">
        <f t="shared" ca="1" si="22"/>
        <v>#N/A</v>
      </c>
      <c r="AY18" s="27" t="e">
        <f t="shared" ca="1" si="23"/>
        <v>#N/A</v>
      </c>
      <c r="AZ18" s="27" t="e">
        <f t="shared" ca="1" si="24"/>
        <v>#N/A</v>
      </c>
      <c r="BA18" s="27">
        <f t="shared" ca="1" si="25"/>
        <v>0</v>
      </c>
      <c r="BB18" s="27" t="str">
        <f t="shared" ca="1" si="44"/>
        <v/>
      </c>
      <c r="BC18" s="13" t="str">
        <f t="shared" ca="1" si="39"/>
        <v>=</v>
      </c>
      <c r="BG18" s="27" t="e">
        <f t="shared" ca="1" si="26"/>
        <v>#N/A</v>
      </c>
      <c r="BH18" s="27" t="e">
        <f t="shared" si="40"/>
        <v>#REF!</v>
      </c>
      <c r="BI18" s="110" t="s">
        <v>238</v>
      </c>
      <c r="BJ18" s="27" t="e">
        <f t="shared" ca="1" si="26"/>
        <v>#N/A</v>
      </c>
      <c r="BK18" s="27" t="e">
        <f t="shared" ca="1" si="26"/>
        <v>#N/A</v>
      </c>
      <c r="BL18" s="27" t="e">
        <f t="shared" ca="1" si="26"/>
        <v>#N/A</v>
      </c>
      <c r="BM18" s="27" t="str">
        <f t="shared" ca="1" si="41"/>
        <v>-</v>
      </c>
      <c r="BN18" s="27" t="e">
        <f ca="1">RANK(BM18,BM$13:BM$31)+COUNTIF(BM18:BM$31,BM18)-1</f>
        <v>#VALUE!</v>
      </c>
      <c r="BO18" s="27" t="e">
        <f t="shared" ca="1" si="27"/>
        <v>#N/A</v>
      </c>
      <c r="BP18" s="27" t="e">
        <f t="shared" ca="1" si="28"/>
        <v>#N/A</v>
      </c>
      <c r="BQ18" s="27" t="e">
        <f t="shared" ca="1" si="29"/>
        <v>#N/A</v>
      </c>
      <c r="BR18" s="27" t="e">
        <f t="shared" ca="1" si="30"/>
        <v>#N/A</v>
      </c>
      <c r="BS18" s="27" t="e">
        <f t="shared" ca="1" si="31"/>
        <v>#N/A</v>
      </c>
      <c r="BT18" s="27" t="e">
        <f t="shared" ca="1" si="32"/>
        <v>#N/A</v>
      </c>
      <c r="BU18" s="27" t="e">
        <f t="shared" ca="1" si="33"/>
        <v>#N/A</v>
      </c>
      <c r="BV18" s="27" t="e">
        <f t="shared" ca="1" si="34"/>
        <v>#N/A</v>
      </c>
      <c r="BW18" s="27">
        <f t="shared" ca="1" si="35"/>
        <v>0</v>
      </c>
      <c r="BX18" s="27" t="str">
        <f t="shared" ca="1" si="45"/>
        <v/>
      </c>
      <c r="BY18" s="13" t="str">
        <f t="shared" ca="1" si="42"/>
        <v>=</v>
      </c>
    </row>
    <row r="19" spans="1:77">
      <c r="A19" s="25">
        <v>7</v>
      </c>
      <c r="B19" t="str">
        <f ca="1">tblCountries!E12</f>
        <v>Ecuador</v>
      </c>
      <c r="C19">
        <f ca="1">tblCountries!A12</f>
        <v>7</v>
      </c>
      <c r="D19">
        <f ca="1">tblCountries!H12</f>
        <v>1</v>
      </c>
      <c r="I19" s="4"/>
      <c r="O19" s="27" t="e">
        <f t="shared" ca="1" si="6"/>
        <v>#N/A</v>
      </c>
      <c r="P19" s="27" t="e">
        <f t="shared" ca="1" si="6"/>
        <v>#N/A</v>
      </c>
      <c r="Q19" s="27" t="e">
        <f t="shared" ca="1" si="6"/>
        <v>#N/A</v>
      </c>
      <c r="R19" s="27" t="e">
        <f t="shared" ca="1" si="6"/>
        <v>#N/A</v>
      </c>
      <c r="S19" s="27" t="e">
        <f t="shared" ca="1" si="6"/>
        <v>#N/A</v>
      </c>
      <c r="T19" s="27" t="e">
        <f t="shared" ca="1" si="6"/>
        <v>#N/A</v>
      </c>
      <c r="U19" s="27" t="e">
        <f t="shared" ca="1" si="36"/>
        <v>#N/A</v>
      </c>
      <c r="V19" s="27" t="e">
        <f ca="1">RANK(U19,U$13:U$31)+COUNTIF(U19:U$31,U19)-1</f>
        <v>#N/A</v>
      </c>
      <c r="W19" s="27" t="e">
        <f t="shared" ca="1" si="7"/>
        <v>#N/A</v>
      </c>
      <c r="X19" s="27" t="e">
        <f t="shared" ca="1" si="8"/>
        <v>#N/A</v>
      </c>
      <c r="Y19" s="27" t="e">
        <f t="shared" ca="1" si="9"/>
        <v>#N/A</v>
      </c>
      <c r="Z19" s="27" t="e">
        <f t="shared" ca="1" si="10"/>
        <v>#N/A</v>
      </c>
      <c r="AA19" s="27" t="e">
        <f t="shared" ca="1" si="11"/>
        <v>#N/A</v>
      </c>
      <c r="AB19" s="27" t="e">
        <f t="shared" ca="1" si="12"/>
        <v>#N/A</v>
      </c>
      <c r="AC19" s="27" t="e">
        <f t="shared" ca="1" si="13"/>
        <v>#N/A</v>
      </c>
      <c r="AD19" s="27" t="e">
        <f t="shared" ca="1" si="14"/>
        <v>#N/A</v>
      </c>
      <c r="AE19" s="27">
        <f t="shared" ca="1" si="15"/>
        <v>0</v>
      </c>
      <c r="AF19" s="27" t="str">
        <f t="shared" ca="1" si="43"/>
        <v/>
      </c>
      <c r="AG19" s="13" t="str">
        <f t="shared" ca="1" si="37"/>
        <v>=</v>
      </c>
      <c r="AK19" s="27">
        <f t="shared" ca="1" si="16"/>
        <v>14.72</v>
      </c>
      <c r="AL19" s="27">
        <f t="shared" ca="1" si="16"/>
        <v>5.56</v>
      </c>
      <c r="AM19" s="27" t="e">
        <f t="shared" ca="1" si="16"/>
        <v>#N/A</v>
      </c>
      <c r="AN19" s="27" t="e">
        <f t="shared" ca="1" si="16"/>
        <v>#N/A</v>
      </c>
      <c r="AO19" s="27" t="e">
        <f t="shared" ca="1" si="16"/>
        <v>#N/A</v>
      </c>
      <c r="AP19" s="27" t="e">
        <f t="shared" ca="1" si="16"/>
        <v>#N/A</v>
      </c>
      <c r="AQ19" s="27" t="e">
        <f t="shared" ca="1" si="38"/>
        <v>#N/A</v>
      </c>
      <c r="AR19" s="27" t="e">
        <f ca="1">RANK(AQ19,AQ$13:AQ$31)+COUNTIF(AQ19:AQ$31,AQ19)-1</f>
        <v>#N/A</v>
      </c>
      <c r="AS19" s="27" t="e">
        <f t="shared" ca="1" si="17"/>
        <v>#N/A</v>
      </c>
      <c r="AT19" s="27" t="e">
        <f t="shared" ca="1" si="18"/>
        <v>#N/A</v>
      </c>
      <c r="AU19" s="27" t="e">
        <f t="shared" ca="1" si="19"/>
        <v>#N/A</v>
      </c>
      <c r="AV19" s="27" t="e">
        <f t="shared" ca="1" si="20"/>
        <v>#N/A</v>
      </c>
      <c r="AW19" s="27" t="e">
        <f t="shared" ca="1" si="21"/>
        <v>#N/A</v>
      </c>
      <c r="AX19" s="27" t="e">
        <f t="shared" ca="1" si="22"/>
        <v>#N/A</v>
      </c>
      <c r="AY19" s="27" t="e">
        <f t="shared" ca="1" si="23"/>
        <v>#N/A</v>
      </c>
      <c r="AZ19" s="27" t="e">
        <f t="shared" ca="1" si="24"/>
        <v>#N/A</v>
      </c>
      <c r="BA19" s="27">
        <f t="shared" ca="1" si="25"/>
        <v>0</v>
      </c>
      <c r="BB19" s="27" t="str">
        <f t="shared" ca="1" si="44"/>
        <v/>
      </c>
      <c r="BC19" s="13" t="str">
        <f t="shared" ca="1" si="39"/>
        <v>=</v>
      </c>
      <c r="BG19" s="27" t="e">
        <f t="shared" ca="1" si="26"/>
        <v>#N/A</v>
      </c>
      <c r="BH19" s="27" t="e">
        <f t="shared" si="40"/>
        <v>#REF!</v>
      </c>
      <c r="BI19" s="110" t="s">
        <v>238</v>
      </c>
      <c r="BJ19" s="27" t="e">
        <f t="shared" ca="1" si="26"/>
        <v>#N/A</v>
      </c>
      <c r="BK19" s="27" t="e">
        <f t="shared" ca="1" si="26"/>
        <v>#N/A</v>
      </c>
      <c r="BL19" s="27" t="e">
        <f t="shared" ca="1" si="26"/>
        <v>#N/A</v>
      </c>
      <c r="BM19" s="27" t="str">
        <f t="shared" ca="1" si="41"/>
        <v>-</v>
      </c>
      <c r="BN19" s="27" t="e">
        <f ca="1">RANK(BM19,BM$13:BM$31)+COUNTIF(BM19:BM$31,BM19)-1</f>
        <v>#VALUE!</v>
      </c>
      <c r="BO19" s="27" t="e">
        <f t="shared" ca="1" si="27"/>
        <v>#N/A</v>
      </c>
      <c r="BP19" s="27" t="e">
        <f t="shared" ca="1" si="28"/>
        <v>#N/A</v>
      </c>
      <c r="BQ19" s="27" t="e">
        <f t="shared" ca="1" si="29"/>
        <v>#N/A</v>
      </c>
      <c r="BR19" s="27" t="e">
        <f t="shared" ca="1" si="30"/>
        <v>#N/A</v>
      </c>
      <c r="BS19" s="27" t="e">
        <f t="shared" ca="1" si="31"/>
        <v>#N/A</v>
      </c>
      <c r="BT19" s="27" t="e">
        <f t="shared" ca="1" si="32"/>
        <v>#N/A</v>
      </c>
      <c r="BU19" s="27" t="e">
        <f t="shared" ca="1" si="33"/>
        <v>#N/A</v>
      </c>
      <c r="BV19" s="27" t="e">
        <f t="shared" ca="1" si="34"/>
        <v>#N/A</v>
      </c>
      <c r="BW19" s="27">
        <f t="shared" ca="1" si="35"/>
        <v>0</v>
      </c>
      <c r="BX19" s="27" t="str">
        <f t="shared" ca="1" si="45"/>
        <v/>
      </c>
      <c r="BY19" s="13" t="str">
        <f t="shared" ca="1" si="42"/>
        <v>=</v>
      </c>
    </row>
    <row r="20" spans="1:77">
      <c r="A20" s="25">
        <v>8</v>
      </c>
      <c r="B20" t="str">
        <f ca="1">tblCountries!E13</f>
        <v>El Salvador</v>
      </c>
      <c r="C20">
        <f ca="1">tblCountries!A13</f>
        <v>8</v>
      </c>
      <c r="D20">
        <f ca="1">tblCountries!H13</f>
        <v>1</v>
      </c>
      <c r="I20" s="6"/>
      <c r="O20" s="27" t="e">
        <f t="shared" ca="1" si="6"/>
        <v>#N/A</v>
      </c>
      <c r="P20" s="27" t="e">
        <f t="shared" ca="1" si="6"/>
        <v>#N/A</v>
      </c>
      <c r="Q20" s="27" t="e">
        <f t="shared" ca="1" si="6"/>
        <v>#N/A</v>
      </c>
      <c r="R20" s="27" t="e">
        <f t="shared" ca="1" si="6"/>
        <v>#N/A</v>
      </c>
      <c r="S20" s="27" t="e">
        <f t="shared" ca="1" si="6"/>
        <v>#N/A</v>
      </c>
      <c r="T20" s="27" t="e">
        <f t="shared" ca="1" si="6"/>
        <v>#N/A</v>
      </c>
      <c r="U20" s="27" t="e">
        <f t="shared" ca="1" si="36"/>
        <v>#N/A</v>
      </c>
      <c r="V20" s="27" t="e">
        <f ca="1">RANK(U20,U$13:U$31)+COUNTIF(U20:U$31,U20)-1</f>
        <v>#N/A</v>
      </c>
      <c r="W20" s="27" t="e">
        <f t="shared" ca="1" si="7"/>
        <v>#N/A</v>
      </c>
      <c r="X20" s="27" t="e">
        <f t="shared" ca="1" si="8"/>
        <v>#N/A</v>
      </c>
      <c r="Y20" s="27" t="e">
        <f t="shared" ca="1" si="9"/>
        <v>#N/A</v>
      </c>
      <c r="Z20" s="27" t="e">
        <f t="shared" ca="1" si="10"/>
        <v>#N/A</v>
      </c>
      <c r="AA20" s="27" t="e">
        <f t="shared" ca="1" si="11"/>
        <v>#N/A</v>
      </c>
      <c r="AB20" s="27" t="e">
        <f t="shared" ca="1" si="12"/>
        <v>#N/A</v>
      </c>
      <c r="AC20" s="27" t="e">
        <f t="shared" ca="1" si="13"/>
        <v>#N/A</v>
      </c>
      <c r="AD20" s="27" t="e">
        <f t="shared" ca="1" si="14"/>
        <v>#N/A</v>
      </c>
      <c r="AE20" s="27">
        <f t="shared" ca="1" si="15"/>
        <v>0</v>
      </c>
      <c r="AF20" s="27" t="str">
        <f t="shared" ca="1" si="43"/>
        <v/>
      </c>
      <c r="AG20" s="13" t="str">
        <f t="shared" ca="1" si="37"/>
        <v>=</v>
      </c>
      <c r="AK20" s="27">
        <f t="shared" ca="1" si="16"/>
        <v>21.82</v>
      </c>
      <c r="AL20" s="27">
        <f t="shared" ca="1" si="16"/>
        <v>19.440000000000001</v>
      </c>
      <c r="AM20" s="27" t="e">
        <f t="shared" ca="1" si="16"/>
        <v>#N/A</v>
      </c>
      <c r="AN20" s="27" t="e">
        <f t="shared" ca="1" si="16"/>
        <v>#N/A</v>
      </c>
      <c r="AO20" s="27" t="e">
        <f t="shared" ca="1" si="16"/>
        <v>#N/A</v>
      </c>
      <c r="AP20" s="27" t="e">
        <f t="shared" ca="1" si="16"/>
        <v>#N/A</v>
      </c>
      <c r="AQ20" s="27" t="e">
        <f t="shared" ca="1" si="38"/>
        <v>#N/A</v>
      </c>
      <c r="AR20" s="27" t="e">
        <f ca="1">RANK(AQ20,AQ$13:AQ$31)+COUNTIF(AQ20:AQ$31,AQ20)-1</f>
        <v>#N/A</v>
      </c>
      <c r="AS20" s="27" t="e">
        <f t="shared" ca="1" si="17"/>
        <v>#N/A</v>
      </c>
      <c r="AT20" s="27" t="e">
        <f t="shared" ca="1" si="18"/>
        <v>#N/A</v>
      </c>
      <c r="AU20" s="27" t="e">
        <f t="shared" ca="1" si="19"/>
        <v>#N/A</v>
      </c>
      <c r="AV20" s="27" t="e">
        <f t="shared" ca="1" si="20"/>
        <v>#N/A</v>
      </c>
      <c r="AW20" s="27" t="e">
        <f t="shared" ca="1" si="21"/>
        <v>#N/A</v>
      </c>
      <c r="AX20" s="27" t="e">
        <f t="shared" ca="1" si="22"/>
        <v>#N/A</v>
      </c>
      <c r="AY20" s="27" t="e">
        <f t="shared" ca="1" si="23"/>
        <v>#N/A</v>
      </c>
      <c r="AZ20" s="27" t="e">
        <f t="shared" ca="1" si="24"/>
        <v>#N/A</v>
      </c>
      <c r="BA20" s="27">
        <f t="shared" ca="1" si="25"/>
        <v>0</v>
      </c>
      <c r="BB20" s="27" t="str">
        <f t="shared" ca="1" si="44"/>
        <v/>
      </c>
      <c r="BC20" s="13" t="str">
        <f t="shared" ca="1" si="39"/>
        <v>=</v>
      </c>
      <c r="BG20" s="27" t="e">
        <f t="shared" ca="1" si="26"/>
        <v>#N/A</v>
      </c>
      <c r="BH20" s="27" t="e">
        <f t="shared" si="40"/>
        <v>#REF!</v>
      </c>
      <c r="BI20" s="110" t="s">
        <v>238</v>
      </c>
      <c r="BJ20" s="27" t="e">
        <f t="shared" ca="1" si="26"/>
        <v>#N/A</v>
      </c>
      <c r="BK20" s="27" t="e">
        <f t="shared" ca="1" si="26"/>
        <v>#N/A</v>
      </c>
      <c r="BL20" s="27" t="e">
        <f t="shared" ca="1" si="26"/>
        <v>#N/A</v>
      </c>
      <c r="BM20" s="27" t="str">
        <f t="shared" ca="1" si="41"/>
        <v>-</v>
      </c>
      <c r="BN20" s="27" t="e">
        <f ca="1">RANK(BM20,BM$13:BM$31)+COUNTIF(BM20:BM$31,BM20)-1</f>
        <v>#VALUE!</v>
      </c>
      <c r="BO20" s="27" t="e">
        <f t="shared" ca="1" si="27"/>
        <v>#N/A</v>
      </c>
      <c r="BP20" s="27" t="e">
        <f t="shared" ca="1" si="28"/>
        <v>#N/A</v>
      </c>
      <c r="BQ20" s="27" t="e">
        <f t="shared" ca="1" si="29"/>
        <v>#N/A</v>
      </c>
      <c r="BR20" s="27" t="e">
        <f t="shared" ca="1" si="30"/>
        <v>#N/A</v>
      </c>
      <c r="BS20" s="27" t="e">
        <f t="shared" ca="1" si="31"/>
        <v>#N/A</v>
      </c>
      <c r="BT20" s="27" t="e">
        <f t="shared" ca="1" si="32"/>
        <v>#N/A</v>
      </c>
      <c r="BU20" s="27" t="e">
        <f t="shared" ca="1" si="33"/>
        <v>#N/A</v>
      </c>
      <c r="BV20" s="27" t="e">
        <f t="shared" ca="1" si="34"/>
        <v>#N/A</v>
      </c>
      <c r="BW20" s="27">
        <f t="shared" ca="1" si="35"/>
        <v>0</v>
      </c>
      <c r="BX20" s="27" t="str">
        <f t="shared" ca="1" si="45"/>
        <v/>
      </c>
      <c r="BY20" s="13" t="str">
        <f t="shared" ca="1" si="42"/>
        <v>=</v>
      </c>
    </row>
    <row r="21" spans="1:77">
      <c r="A21" s="25">
        <v>9</v>
      </c>
      <c r="B21" t="str">
        <f ca="1">tblCountries!E14</f>
        <v>Guatemala</v>
      </c>
      <c r="C21">
        <f ca="1">tblCountries!A14</f>
        <v>9</v>
      </c>
      <c r="D21">
        <f ca="1">tblCountries!H14</f>
        <v>1</v>
      </c>
      <c r="I21" s="6"/>
      <c r="O21" s="27" t="e">
        <f t="shared" ca="1" si="6"/>
        <v>#N/A</v>
      </c>
      <c r="P21" s="27" t="e">
        <f t="shared" ca="1" si="6"/>
        <v>#N/A</v>
      </c>
      <c r="Q21" s="27" t="e">
        <f t="shared" ca="1" si="6"/>
        <v>#N/A</v>
      </c>
      <c r="R21" s="27" t="e">
        <f t="shared" ca="1" si="6"/>
        <v>#N/A</v>
      </c>
      <c r="S21" s="27" t="e">
        <f t="shared" ca="1" si="6"/>
        <v>#N/A</v>
      </c>
      <c r="T21" s="27" t="e">
        <f t="shared" ca="1" si="6"/>
        <v>#N/A</v>
      </c>
      <c r="U21" s="27" t="e">
        <f t="shared" ca="1" si="36"/>
        <v>#N/A</v>
      </c>
      <c r="V21" s="27" t="e">
        <f ca="1">RANK(U21,U$13:U$31)+COUNTIF(U21:U$31,U21)-1</f>
        <v>#N/A</v>
      </c>
      <c r="W21" s="27" t="e">
        <f t="shared" ca="1" si="7"/>
        <v>#N/A</v>
      </c>
      <c r="X21" s="27" t="e">
        <f t="shared" ca="1" si="8"/>
        <v>#N/A</v>
      </c>
      <c r="Y21" s="27" t="e">
        <f t="shared" ca="1" si="9"/>
        <v>#N/A</v>
      </c>
      <c r="Z21" s="27" t="e">
        <f t="shared" ca="1" si="10"/>
        <v>#N/A</v>
      </c>
      <c r="AA21" s="27" t="e">
        <f t="shared" ca="1" si="11"/>
        <v>#N/A</v>
      </c>
      <c r="AB21" s="27" t="e">
        <f t="shared" ca="1" si="12"/>
        <v>#N/A</v>
      </c>
      <c r="AC21" s="27" t="e">
        <f t="shared" ca="1" si="13"/>
        <v>#N/A</v>
      </c>
      <c r="AD21" s="27" t="e">
        <f t="shared" ca="1" si="14"/>
        <v>#N/A</v>
      </c>
      <c r="AE21" s="27">
        <f t="shared" ca="1" si="15"/>
        <v>0</v>
      </c>
      <c r="AF21" s="27" t="str">
        <f t="shared" ca="1" si="43"/>
        <v/>
      </c>
      <c r="AG21" s="13" t="str">
        <f t="shared" ca="1" si="37"/>
        <v>=</v>
      </c>
      <c r="AK21" s="27">
        <f t="shared" ca="1" si="16"/>
        <v>21.96</v>
      </c>
      <c r="AL21" s="27">
        <f t="shared" ca="1" si="16"/>
        <v>16.670000000000002</v>
      </c>
      <c r="AM21" s="27" t="e">
        <f t="shared" ca="1" si="16"/>
        <v>#N/A</v>
      </c>
      <c r="AN21" s="27" t="e">
        <f t="shared" ca="1" si="16"/>
        <v>#N/A</v>
      </c>
      <c r="AO21" s="27" t="e">
        <f t="shared" ca="1" si="16"/>
        <v>#N/A</v>
      </c>
      <c r="AP21" s="27" t="e">
        <f t="shared" ca="1" si="16"/>
        <v>#N/A</v>
      </c>
      <c r="AQ21" s="27" t="e">
        <f t="shared" ca="1" si="38"/>
        <v>#N/A</v>
      </c>
      <c r="AR21" s="27" t="e">
        <f ca="1">RANK(AQ21,AQ$13:AQ$31)+COUNTIF(AQ21:AQ$31,AQ21)-1</f>
        <v>#N/A</v>
      </c>
      <c r="AS21" s="27" t="e">
        <f t="shared" ca="1" si="17"/>
        <v>#N/A</v>
      </c>
      <c r="AT21" s="27" t="e">
        <f t="shared" ca="1" si="18"/>
        <v>#N/A</v>
      </c>
      <c r="AU21" s="27" t="e">
        <f t="shared" ca="1" si="19"/>
        <v>#N/A</v>
      </c>
      <c r="AV21" s="27" t="e">
        <f t="shared" ca="1" si="20"/>
        <v>#N/A</v>
      </c>
      <c r="AW21" s="27" t="e">
        <f t="shared" ca="1" si="21"/>
        <v>#N/A</v>
      </c>
      <c r="AX21" s="27" t="e">
        <f t="shared" ca="1" si="22"/>
        <v>#N/A</v>
      </c>
      <c r="AY21" s="27" t="e">
        <f t="shared" ca="1" si="23"/>
        <v>#N/A</v>
      </c>
      <c r="AZ21" s="27" t="e">
        <f t="shared" ca="1" si="24"/>
        <v>#N/A</v>
      </c>
      <c r="BA21" s="27">
        <f t="shared" ca="1" si="25"/>
        <v>0</v>
      </c>
      <c r="BB21" s="27" t="str">
        <f t="shared" ca="1" si="44"/>
        <v/>
      </c>
      <c r="BC21" s="13" t="str">
        <f t="shared" ca="1" si="39"/>
        <v>=</v>
      </c>
      <c r="BG21" s="27" t="e">
        <f t="shared" ca="1" si="26"/>
        <v>#N/A</v>
      </c>
      <c r="BH21" s="27" t="e">
        <f t="shared" si="40"/>
        <v>#REF!</v>
      </c>
      <c r="BI21" s="110" t="s">
        <v>238</v>
      </c>
      <c r="BJ21" s="27" t="e">
        <f t="shared" ca="1" si="26"/>
        <v>#N/A</v>
      </c>
      <c r="BK21" s="27" t="e">
        <f t="shared" ca="1" si="26"/>
        <v>#N/A</v>
      </c>
      <c r="BL21" s="27" t="e">
        <f t="shared" ca="1" si="26"/>
        <v>#N/A</v>
      </c>
      <c r="BM21" s="27" t="str">
        <f t="shared" ca="1" si="41"/>
        <v>-</v>
      </c>
      <c r="BN21" s="27" t="e">
        <f ca="1">RANK(BM21,BM$13:BM$31)+COUNTIF(BM21:BM$31,BM21)-1</f>
        <v>#VALUE!</v>
      </c>
      <c r="BO21" s="27" t="e">
        <f t="shared" ca="1" si="27"/>
        <v>#N/A</v>
      </c>
      <c r="BP21" s="27" t="e">
        <f t="shared" ca="1" si="28"/>
        <v>#N/A</v>
      </c>
      <c r="BQ21" s="27" t="e">
        <f t="shared" ca="1" si="29"/>
        <v>#N/A</v>
      </c>
      <c r="BR21" s="27" t="e">
        <f t="shared" ca="1" si="30"/>
        <v>#N/A</v>
      </c>
      <c r="BS21" s="27" t="e">
        <f t="shared" ca="1" si="31"/>
        <v>#N/A</v>
      </c>
      <c r="BT21" s="27" t="e">
        <f t="shared" ca="1" si="32"/>
        <v>#N/A</v>
      </c>
      <c r="BU21" s="27" t="e">
        <f t="shared" ca="1" si="33"/>
        <v>#N/A</v>
      </c>
      <c r="BV21" s="27" t="e">
        <f t="shared" ca="1" si="34"/>
        <v>#N/A</v>
      </c>
      <c r="BW21" s="27">
        <f t="shared" ca="1" si="35"/>
        <v>0</v>
      </c>
      <c r="BX21" s="27" t="str">
        <f t="shared" ca="1" si="45"/>
        <v/>
      </c>
      <c r="BY21" s="13" t="str">
        <f t="shared" ca="1" si="42"/>
        <v>=</v>
      </c>
    </row>
    <row r="22" spans="1:77">
      <c r="A22" s="25">
        <v>10</v>
      </c>
      <c r="B22" t="str">
        <f ca="1">tblCountries!E15</f>
        <v>Honduras</v>
      </c>
      <c r="C22">
        <f ca="1">tblCountries!A15</f>
        <v>10</v>
      </c>
      <c r="D22">
        <f ca="1">tblCountries!H15</f>
        <v>1</v>
      </c>
      <c r="I22" s="6"/>
      <c r="O22" s="27" t="e">
        <f t="shared" ca="1" si="6"/>
        <v>#N/A</v>
      </c>
      <c r="P22" s="27" t="e">
        <f t="shared" ca="1" si="6"/>
        <v>#N/A</v>
      </c>
      <c r="Q22" s="27" t="e">
        <f t="shared" ca="1" si="6"/>
        <v>#N/A</v>
      </c>
      <c r="R22" s="27" t="e">
        <f t="shared" ca="1" si="6"/>
        <v>#N/A</v>
      </c>
      <c r="S22" s="27" t="e">
        <f t="shared" ca="1" si="6"/>
        <v>#N/A</v>
      </c>
      <c r="T22" s="27" t="e">
        <f t="shared" ca="1" si="6"/>
        <v>#N/A</v>
      </c>
      <c r="U22" s="27" t="e">
        <f t="shared" ca="1" si="36"/>
        <v>#N/A</v>
      </c>
      <c r="V22" s="27" t="e">
        <f ca="1">RANK(U22,U$13:U$31)+COUNTIF(U22:U$31,U22)-1</f>
        <v>#N/A</v>
      </c>
      <c r="W22" s="27" t="e">
        <f t="shared" ca="1" si="7"/>
        <v>#N/A</v>
      </c>
      <c r="X22" s="27" t="e">
        <f t="shared" ca="1" si="8"/>
        <v>#N/A</v>
      </c>
      <c r="Y22" s="27" t="e">
        <f t="shared" ca="1" si="9"/>
        <v>#N/A</v>
      </c>
      <c r="Z22" s="27" t="e">
        <f t="shared" ca="1" si="10"/>
        <v>#N/A</v>
      </c>
      <c r="AA22" s="27" t="e">
        <f t="shared" ca="1" si="11"/>
        <v>#N/A</v>
      </c>
      <c r="AB22" s="27" t="e">
        <f t="shared" ca="1" si="12"/>
        <v>#N/A</v>
      </c>
      <c r="AC22" s="27" t="e">
        <f t="shared" ca="1" si="13"/>
        <v>#N/A</v>
      </c>
      <c r="AD22" s="27" t="e">
        <f t="shared" ca="1" si="14"/>
        <v>#N/A</v>
      </c>
      <c r="AE22" s="27">
        <f t="shared" ca="1" si="15"/>
        <v>0</v>
      </c>
      <c r="AF22" s="27" t="str">
        <f t="shared" ca="1" si="43"/>
        <v/>
      </c>
      <c r="AG22" s="13" t="str">
        <f t="shared" ca="1" si="37"/>
        <v>=</v>
      </c>
      <c r="AK22" s="27">
        <f t="shared" ca="1" si="16"/>
        <v>33.29</v>
      </c>
      <c r="AL22" s="27">
        <f t="shared" ca="1" si="16"/>
        <v>25</v>
      </c>
      <c r="AM22" s="27" t="e">
        <f t="shared" ca="1" si="16"/>
        <v>#N/A</v>
      </c>
      <c r="AN22" s="27" t="e">
        <f t="shared" ca="1" si="16"/>
        <v>#N/A</v>
      </c>
      <c r="AO22" s="27" t="e">
        <f t="shared" ca="1" si="16"/>
        <v>#N/A</v>
      </c>
      <c r="AP22" s="27" t="e">
        <f t="shared" ca="1" si="16"/>
        <v>#N/A</v>
      </c>
      <c r="AQ22" s="27" t="e">
        <f t="shared" ca="1" si="38"/>
        <v>#N/A</v>
      </c>
      <c r="AR22" s="27" t="e">
        <f ca="1">RANK(AQ22,AQ$13:AQ$31)+COUNTIF(AQ22:AQ$31,AQ22)-1</f>
        <v>#N/A</v>
      </c>
      <c r="AS22" s="27" t="e">
        <f t="shared" ca="1" si="17"/>
        <v>#N/A</v>
      </c>
      <c r="AT22" s="27" t="e">
        <f t="shared" ca="1" si="18"/>
        <v>#N/A</v>
      </c>
      <c r="AU22" s="27" t="e">
        <f t="shared" ca="1" si="19"/>
        <v>#N/A</v>
      </c>
      <c r="AV22" s="27" t="e">
        <f t="shared" ca="1" si="20"/>
        <v>#N/A</v>
      </c>
      <c r="AW22" s="27" t="e">
        <f t="shared" ca="1" si="21"/>
        <v>#N/A</v>
      </c>
      <c r="AX22" s="27" t="e">
        <f t="shared" ca="1" si="22"/>
        <v>#N/A</v>
      </c>
      <c r="AY22" s="27" t="e">
        <f t="shared" ca="1" si="23"/>
        <v>#N/A</v>
      </c>
      <c r="AZ22" s="27" t="e">
        <f t="shared" ca="1" si="24"/>
        <v>#N/A</v>
      </c>
      <c r="BA22" s="27">
        <f t="shared" ca="1" si="25"/>
        <v>0</v>
      </c>
      <c r="BB22" s="27" t="str">
        <f t="shared" ca="1" si="44"/>
        <v/>
      </c>
      <c r="BC22" s="13" t="str">
        <f t="shared" ca="1" si="39"/>
        <v>=</v>
      </c>
      <c r="BG22" s="27" t="e">
        <f t="shared" ca="1" si="26"/>
        <v>#N/A</v>
      </c>
      <c r="BH22" s="27" t="e">
        <f t="shared" si="40"/>
        <v>#REF!</v>
      </c>
      <c r="BI22" s="110" t="s">
        <v>238</v>
      </c>
      <c r="BJ22" s="27" t="e">
        <f t="shared" ca="1" si="26"/>
        <v>#N/A</v>
      </c>
      <c r="BK22" s="27" t="e">
        <f t="shared" ca="1" si="26"/>
        <v>#N/A</v>
      </c>
      <c r="BL22" s="27" t="e">
        <f t="shared" ca="1" si="26"/>
        <v>#N/A</v>
      </c>
      <c r="BM22" s="27" t="str">
        <f t="shared" ca="1" si="41"/>
        <v>-</v>
      </c>
      <c r="BN22" s="27" t="e">
        <f ca="1">RANK(BM22,BM$13:BM$31)+COUNTIF(BM22:BM$31,BM22)-1</f>
        <v>#VALUE!</v>
      </c>
      <c r="BO22" s="27" t="e">
        <f t="shared" ca="1" si="27"/>
        <v>#N/A</v>
      </c>
      <c r="BP22" s="27" t="e">
        <f t="shared" ca="1" si="28"/>
        <v>#N/A</v>
      </c>
      <c r="BQ22" s="27" t="e">
        <f t="shared" ca="1" si="29"/>
        <v>#N/A</v>
      </c>
      <c r="BR22" s="27" t="e">
        <f t="shared" ca="1" si="30"/>
        <v>#N/A</v>
      </c>
      <c r="BS22" s="27" t="e">
        <f t="shared" ca="1" si="31"/>
        <v>#N/A</v>
      </c>
      <c r="BT22" s="27" t="e">
        <f t="shared" ca="1" si="32"/>
        <v>#N/A</v>
      </c>
      <c r="BU22" s="27" t="e">
        <f t="shared" ca="1" si="33"/>
        <v>#N/A</v>
      </c>
      <c r="BV22" s="27" t="e">
        <f t="shared" ca="1" si="34"/>
        <v>#N/A</v>
      </c>
      <c r="BW22" s="27">
        <f t="shared" ca="1" si="35"/>
        <v>0</v>
      </c>
      <c r="BX22" s="27" t="str">
        <f t="shared" ca="1" si="45"/>
        <v/>
      </c>
      <c r="BY22" s="13" t="str">
        <f t="shared" ca="1" si="42"/>
        <v>=</v>
      </c>
    </row>
    <row r="23" spans="1:77">
      <c r="A23" s="25">
        <v>11</v>
      </c>
      <c r="B23" t="str">
        <f ca="1">tblCountries!E16</f>
        <v>Jamaica</v>
      </c>
      <c r="C23">
        <f ca="1">tblCountries!A16</f>
        <v>11</v>
      </c>
      <c r="D23">
        <f ca="1">tblCountries!H16</f>
        <v>1</v>
      </c>
      <c r="I23" s="6"/>
      <c r="O23" s="27" t="e">
        <f t="shared" ca="1" si="6"/>
        <v>#N/A</v>
      </c>
      <c r="P23" s="27" t="e">
        <f t="shared" ca="1" si="6"/>
        <v>#N/A</v>
      </c>
      <c r="Q23" s="27" t="e">
        <f t="shared" ca="1" si="6"/>
        <v>#N/A</v>
      </c>
      <c r="R23" s="27" t="e">
        <f t="shared" ca="1" si="6"/>
        <v>#N/A</v>
      </c>
      <c r="S23" s="27" t="e">
        <f t="shared" ca="1" si="6"/>
        <v>#N/A</v>
      </c>
      <c r="T23" s="27" t="e">
        <f t="shared" ca="1" si="6"/>
        <v>#N/A</v>
      </c>
      <c r="U23" s="27" t="e">
        <f t="shared" ca="1" si="36"/>
        <v>#N/A</v>
      </c>
      <c r="V23" s="27" t="e">
        <f ca="1">RANK(U23,U$13:U$31)+COUNTIF(U23:U$31,U23)-1</f>
        <v>#N/A</v>
      </c>
      <c r="W23" s="27" t="e">
        <f t="shared" ca="1" si="7"/>
        <v>#N/A</v>
      </c>
      <c r="X23" s="27" t="e">
        <f t="shared" ca="1" si="8"/>
        <v>#N/A</v>
      </c>
      <c r="Y23" s="27" t="e">
        <f t="shared" ca="1" si="9"/>
        <v>#N/A</v>
      </c>
      <c r="Z23" s="27" t="e">
        <f t="shared" ca="1" si="10"/>
        <v>#N/A</v>
      </c>
      <c r="AA23" s="27" t="e">
        <f t="shared" ca="1" si="11"/>
        <v>#N/A</v>
      </c>
      <c r="AB23" s="27" t="e">
        <f t="shared" ca="1" si="12"/>
        <v>#N/A</v>
      </c>
      <c r="AC23" s="27" t="e">
        <f t="shared" ca="1" si="13"/>
        <v>#N/A</v>
      </c>
      <c r="AD23" s="27" t="e">
        <f t="shared" ca="1" si="14"/>
        <v>#N/A</v>
      </c>
      <c r="AE23" s="27">
        <f t="shared" ca="1" si="15"/>
        <v>0</v>
      </c>
      <c r="AF23" s="27" t="str">
        <f t="shared" ca="1" si="43"/>
        <v/>
      </c>
      <c r="AG23" s="13" t="str">
        <f t="shared" ca="1" si="37"/>
        <v>=</v>
      </c>
      <c r="AK23" s="27">
        <f t="shared" ca="1" si="16"/>
        <v>31.63</v>
      </c>
      <c r="AL23" s="27">
        <f t="shared" ca="1" si="16"/>
        <v>25</v>
      </c>
      <c r="AM23" s="27" t="e">
        <f t="shared" ca="1" si="16"/>
        <v>#N/A</v>
      </c>
      <c r="AN23" s="27" t="e">
        <f t="shared" ca="1" si="16"/>
        <v>#N/A</v>
      </c>
      <c r="AO23" s="27" t="e">
        <f t="shared" ca="1" si="16"/>
        <v>#N/A</v>
      </c>
      <c r="AP23" s="27" t="e">
        <f t="shared" ca="1" si="16"/>
        <v>#N/A</v>
      </c>
      <c r="AQ23" s="27" t="e">
        <f t="shared" ca="1" si="38"/>
        <v>#N/A</v>
      </c>
      <c r="AR23" s="27" t="e">
        <f ca="1">RANK(AQ23,AQ$13:AQ$31)+COUNTIF(AQ23:AQ$31,AQ23)-1</f>
        <v>#N/A</v>
      </c>
      <c r="AS23" s="27" t="e">
        <f t="shared" ca="1" si="17"/>
        <v>#N/A</v>
      </c>
      <c r="AT23" s="27" t="e">
        <f t="shared" ca="1" si="18"/>
        <v>#N/A</v>
      </c>
      <c r="AU23" s="27" t="e">
        <f t="shared" ca="1" si="19"/>
        <v>#N/A</v>
      </c>
      <c r="AV23" s="27" t="e">
        <f t="shared" ca="1" si="20"/>
        <v>#N/A</v>
      </c>
      <c r="AW23" s="27" t="e">
        <f t="shared" ca="1" si="21"/>
        <v>#N/A</v>
      </c>
      <c r="AX23" s="27" t="e">
        <f t="shared" ca="1" si="22"/>
        <v>#N/A</v>
      </c>
      <c r="AY23" s="27" t="e">
        <f t="shared" ca="1" si="23"/>
        <v>#N/A</v>
      </c>
      <c r="AZ23" s="27" t="e">
        <f t="shared" ca="1" si="24"/>
        <v>#N/A</v>
      </c>
      <c r="BA23" s="27">
        <f t="shared" ca="1" si="25"/>
        <v>0</v>
      </c>
      <c r="BB23" s="27" t="str">
        <f t="shared" ca="1" si="44"/>
        <v/>
      </c>
      <c r="BC23" s="13" t="str">
        <f t="shared" ca="1" si="39"/>
        <v>=</v>
      </c>
      <c r="BG23" s="27" t="e">
        <f t="shared" ca="1" si="26"/>
        <v>#N/A</v>
      </c>
      <c r="BH23" s="27" t="e">
        <f t="shared" si="40"/>
        <v>#REF!</v>
      </c>
      <c r="BI23" s="110" t="s">
        <v>238</v>
      </c>
      <c r="BJ23" s="27" t="e">
        <f t="shared" ca="1" si="26"/>
        <v>#N/A</v>
      </c>
      <c r="BK23" s="27" t="e">
        <f t="shared" ca="1" si="26"/>
        <v>#N/A</v>
      </c>
      <c r="BL23" s="27" t="e">
        <f t="shared" ca="1" si="26"/>
        <v>#N/A</v>
      </c>
      <c r="BM23" s="27" t="str">
        <f t="shared" ca="1" si="41"/>
        <v>-</v>
      </c>
      <c r="BN23" s="27" t="e">
        <f ca="1">RANK(BM23,BM$13:BM$31)+COUNTIF(BM23:BM$31,BM23)-1</f>
        <v>#VALUE!</v>
      </c>
      <c r="BO23" s="27" t="e">
        <f t="shared" ca="1" si="27"/>
        <v>#N/A</v>
      </c>
      <c r="BP23" s="27" t="e">
        <f t="shared" ca="1" si="28"/>
        <v>#N/A</v>
      </c>
      <c r="BQ23" s="27" t="e">
        <f t="shared" ca="1" si="29"/>
        <v>#N/A</v>
      </c>
      <c r="BR23" s="27" t="e">
        <f t="shared" ca="1" si="30"/>
        <v>#N/A</v>
      </c>
      <c r="BS23" s="27" t="e">
        <f t="shared" ca="1" si="31"/>
        <v>#N/A</v>
      </c>
      <c r="BT23" s="27" t="e">
        <f t="shared" ca="1" si="32"/>
        <v>#N/A</v>
      </c>
      <c r="BU23" s="27" t="e">
        <f t="shared" ca="1" si="33"/>
        <v>#N/A</v>
      </c>
      <c r="BV23" s="27" t="e">
        <f t="shared" ca="1" si="34"/>
        <v>#N/A</v>
      </c>
      <c r="BW23" s="27">
        <f t="shared" ca="1" si="35"/>
        <v>0</v>
      </c>
      <c r="BX23" s="27" t="str">
        <f t="shared" ca="1" si="45"/>
        <v/>
      </c>
      <c r="BY23" s="13" t="str">
        <f t="shared" ca="1" si="42"/>
        <v>=</v>
      </c>
    </row>
    <row r="24" spans="1:77">
      <c r="A24" s="25">
        <v>12</v>
      </c>
      <c r="B24" t="str">
        <f ca="1">tblCountries!E17</f>
        <v>Mexico</v>
      </c>
      <c r="C24">
        <f ca="1">tblCountries!A17</f>
        <v>12</v>
      </c>
      <c r="D24">
        <f ca="1">tblCountries!H17</f>
        <v>3</v>
      </c>
      <c r="I24" s="6"/>
      <c r="O24" s="27" t="e">
        <f t="shared" ca="1" si="6"/>
        <v>#N/A</v>
      </c>
      <c r="P24" s="27" t="e">
        <f t="shared" ca="1" si="6"/>
        <v>#N/A</v>
      </c>
      <c r="Q24" s="27" t="e">
        <f t="shared" ca="1" si="6"/>
        <v>#N/A</v>
      </c>
      <c r="R24" s="27" t="e">
        <f t="shared" ca="1" si="6"/>
        <v>#N/A</v>
      </c>
      <c r="S24" s="27" t="e">
        <f t="shared" ca="1" si="6"/>
        <v>#N/A</v>
      </c>
      <c r="T24" s="27" t="e">
        <f t="shared" ca="1" si="6"/>
        <v>#N/A</v>
      </c>
      <c r="U24" s="27" t="e">
        <f t="shared" ca="1" si="36"/>
        <v>#N/A</v>
      </c>
      <c r="V24" s="27" t="e">
        <f ca="1">RANK(U24,U$13:U$31)+COUNTIF(U24:U$31,U24)-1</f>
        <v>#N/A</v>
      </c>
      <c r="W24" s="27" t="e">
        <f t="shared" ca="1" si="7"/>
        <v>#N/A</v>
      </c>
      <c r="X24" s="27" t="e">
        <f t="shared" ca="1" si="8"/>
        <v>#N/A</v>
      </c>
      <c r="Y24" s="27" t="e">
        <f t="shared" ca="1" si="9"/>
        <v>#N/A</v>
      </c>
      <c r="Z24" s="27" t="e">
        <f t="shared" ca="1" si="10"/>
        <v>#N/A</v>
      </c>
      <c r="AA24" s="27" t="e">
        <f t="shared" ca="1" si="11"/>
        <v>#N/A</v>
      </c>
      <c r="AB24" s="27" t="e">
        <f t="shared" ca="1" si="12"/>
        <v>#N/A</v>
      </c>
      <c r="AC24" s="27" t="e">
        <f t="shared" ca="1" si="13"/>
        <v>#N/A</v>
      </c>
      <c r="AD24" s="27" t="e">
        <f t="shared" ca="1" si="14"/>
        <v>#N/A</v>
      </c>
      <c r="AE24" s="27">
        <f t="shared" ca="1" si="15"/>
        <v>0</v>
      </c>
      <c r="AF24" s="27" t="str">
        <f t="shared" ca="1" si="43"/>
        <v/>
      </c>
      <c r="AG24" s="13" t="str">
        <f t="shared" ca="1" si="37"/>
        <v>=</v>
      </c>
      <c r="AK24" s="27">
        <f t="shared" ca="1" si="16"/>
        <v>44.59</v>
      </c>
      <c r="AL24" s="27">
        <f t="shared" ca="1" si="16"/>
        <v>38.89</v>
      </c>
      <c r="AM24" s="27" t="e">
        <f t="shared" ca="1" si="16"/>
        <v>#N/A</v>
      </c>
      <c r="AN24" s="27" t="e">
        <f t="shared" ca="1" si="16"/>
        <v>#N/A</v>
      </c>
      <c r="AO24" s="27" t="e">
        <f t="shared" ca="1" si="16"/>
        <v>#N/A</v>
      </c>
      <c r="AP24" s="27" t="e">
        <f t="shared" ca="1" si="16"/>
        <v>#N/A</v>
      </c>
      <c r="AQ24" s="27" t="e">
        <f t="shared" ca="1" si="38"/>
        <v>#N/A</v>
      </c>
      <c r="AR24" s="27" t="e">
        <f ca="1">RANK(AQ24,AQ$13:AQ$31)+COUNTIF(AQ24:AQ$31,AQ24)-1</f>
        <v>#N/A</v>
      </c>
      <c r="AS24" s="27" t="e">
        <f t="shared" ca="1" si="17"/>
        <v>#N/A</v>
      </c>
      <c r="AT24" s="27" t="e">
        <f t="shared" ca="1" si="18"/>
        <v>#N/A</v>
      </c>
      <c r="AU24" s="27" t="e">
        <f t="shared" ca="1" si="19"/>
        <v>#N/A</v>
      </c>
      <c r="AV24" s="27" t="e">
        <f t="shared" ca="1" si="20"/>
        <v>#N/A</v>
      </c>
      <c r="AW24" s="27" t="e">
        <f t="shared" ca="1" si="21"/>
        <v>#N/A</v>
      </c>
      <c r="AX24" s="27" t="e">
        <f t="shared" ca="1" si="22"/>
        <v>#N/A</v>
      </c>
      <c r="AY24" s="27" t="e">
        <f t="shared" ca="1" si="23"/>
        <v>#N/A</v>
      </c>
      <c r="AZ24" s="27" t="e">
        <f t="shared" ca="1" si="24"/>
        <v>#N/A</v>
      </c>
      <c r="BA24" s="27">
        <f t="shared" ca="1" si="25"/>
        <v>0</v>
      </c>
      <c r="BB24" s="27" t="str">
        <f t="shared" ca="1" si="44"/>
        <v/>
      </c>
      <c r="BC24" s="13" t="str">
        <f t="shared" ca="1" si="39"/>
        <v>=</v>
      </c>
      <c r="BG24" s="27" t="e">
        <f t="shared" ca="1" si="26"/>
        <v>#N/A</v>
      </c>
      <c r="BH24" s="27" t="e">
        <f t="shared" si="40"/>
        <v>#REF!</v>
      </c>
      <c r="BI24" s="110" t="s">
        <v>238</v>
      </c>
      <c r="BJ24" s="27" t="e">
        <f t="shared" ca="1" si="26"/>
        <v>#N/A</v>
      </c>
      <c r="BK24" s="27" t="e">
        <f t="shared" ca="1" si="26"/>
        <v>#N/A</v>
      </c>
      <c r="BL24" s="27" t="e">
        <f t="shared" ca="1" si="26"/>
        <v>#N/A</v>
      </c>
      <c r="BM24" s="27" t="str">
        <f t="shared" ca="1" si="41"/>
        <v>-</v>
      </c>
      <c r="BN24" s="27" t="e">
        <f ca="1">RANK(BM24,BM$13:BM$31)+COUNTIF(BM24:BM$31,BM24)-1</f>
        <v>#VALUE!</v>
      </c>
      <c r="BO24" s="27" t="e">
        <f t="shared" ca="1" si="27"/>
        <v>#N/A</v>
      </c>
      <c r="BP24" s="27" t="e">
        <f t="shared" ca="1" si="28"/>
        <v>#N/A</v>
      </c>
      <c r="BQ24" s="27" t="e">
        <f t="shared" ca="1" si="29"/>
        <v>#N/A</v>
      </c>
      <c r="BR24" s="27" t="e">
        <f t="shared" ca="1" si="30"/>
        <v>#N/A</v>
      </c>
      <c r="BS24" s="27" t="e">
        <f t="shared" ca="1" si="31"/>
        <v>#N/A</v>
      </c>
      <c r="BT24" s="27" t="e">
        <f t="shared" ca="1" si="32"/>
        <v>#N/A</v>
      </c>
      <c r="BU24" s="27" t="e">
        <f t="shared" ca="1" si="33"/>
        <v>#N/A</v>
      </c>
      <c r="BV24" s="27" t="e">
        <f t="shared" ca="1" si="34"/>
        <v>#N/A</v>
      </c>
      <c r="BW24" s="27">
        <f t="shared" ca="1" si="35"/>
        <v>0</v>
      </c>
      <c r="BX24" s="27" t="str">
        <f t="shared" ca="1" si="45"/>
        <v/>
      </c>
      <c r="BY24" s="13" t="str">
        <f t="shared" ca="1" si="42"/>
        <v>=</v>
      </c>
    </row>
    <row r="25" spans="1:77">
      <c r="A25" s="25">
        <v>13</v>
      </c>
      <c r="B25" t="str">
        <f ca="1">tblCountries!E18</f>
        <v>Nicaragua</v>
      </c>
      <c r="C25">
        <f ca="1">tblCountries!A18</f>
        <v>13</v>
      </c>
      <c r="D25">
        <f ca="1">tblCountries!H18</f>
        <v>1</v>
      </c>
      <c r="I25" s="6"/>
      <c r="O25" s="27" t="e">
        <f t="shared" ca="1" si="6"/>
        <v>#N/A</v>
      </c>
      <c r="P25" s="27" t="e">
        <f t="shared" ca="1" si="6"/>
        <v>#N/A</v>
      </c>
      <c r="Q25" s="27" t="e">
        <f t="shared" ca="1" si="6"/>
        <v>#N/A</v>
      </c>
      <c r="R25" s="27" t="e">
        <f t="shared" ca="1" si="6"/>
        <v>#N/A</v>
      </c>
      <c r="S25" s="27" t="e">
        <f t="shared" ca="1" si="6"/>
        <v>#N/A</v>
      </c>
      <c r="T25" s="27" t="e">
        <f t="shared" ca="1" si="6"/>
        <v>#N/A</v>
      </c>
      <c r="U25" s="27" t="e">
        <f t="shared" ca="1" si="36"/>
        <v>#N/A</v>
      </c>
      <c r="V25" s="27" t="e">
        <f ca="1">RANK(U25,U$13:U$31)+COUNTIF(U25:U$31,U25)-1</f>
        <v>#N/A</v>
      </c>
      <c r="W25" s="27" t="e">
        <f t="shared" ca="1" si="7"/>
        <v>#N/A</v>
      </c>
      <c r="X25" s="27" t="e">
        <f t="shared" ca="1" si="8"/>
        <v>#N/A</v>
      </c>
      <c r="Y25" s="27" t="e">
        <f t="shared" ca="1" si="9"/>
        <v>#N/A</v>
      </c>
      <c r="Z25" s="27" t="e">
        <f t="shared" ca="1" si="10"/>
        <v>#N/A</v>
      </c>
      <c r="AA25" s="27" t="e">
        <f t="shared" ca="1" si="11"/>
        <v>#N/A</v>
      </c>
      <c r="AB25" s="27" t="e">
        <f t="shared" ca="1" si="12"/>
        <v>#N/A</v>
      </c>
      <c r="AC25" s="27" t="e">
        <f t="shared" ca="1" si="13"/>
        <v>#N/A</v>
      </c>
      <c r="AD25" s="27" t="e">
        <f t="shared" ca="1" si="14"/>
        <v>#N/A</v>
      </c>
      <c r="AE25" s="27">
        <f t="shared" ca="1" si="15"/>
        <v>0</v>
      </c>
      <c r="AF25" s="27" t="str">
        <f t="shared" ca="1" si="43"/>
        <v/>
      </c>
      <c r="AG25" s="13" t="str">
        <f t="shared" ca="1" si="37"/>
        <v>=</v>
      </c>
      <c r="AK25" s="27">
        <f t="shared" ca="1" si="16"/>
        <v>16.489999999999998</v>
      </c>
      <c r="AL25" s="27">
        <f t="shared" ca="1" si="16"/>
        <v>5.56</v>
      </c>
      <c r="AM25" s="27" t="e">
        <f t="shared" ca="1" si="16"/>
        <v>#N/A</v>
      </c>
      <c r="AN25" s="27" t="e">
        <f t="shared" ca="1" si="16"/>
        <v>#N/A</v>
      </c>
      <c r="AO25" s="27" t="e">
        <f t="shared" ca="1" si="16"/>
        <v>#N/A</v>
      </c>
      <c r="AP25" s="27" t="e">
        <f t="shared" ca="1" si="16"/>
        <v>#N/A</v>
      </c>
      <c r="AQ25" s="27" t="e">
        <f t="shared" ca="1" si="38"/>
        <v>#N/A</v>
      </c>
      <c r="AR25" s="27" t="e">
        <f ca="1">RANK(AQ25,AQ$13:AQ$31)+COUNTIF(AQ25:AQ$31,AQ25)-1</f>
        <v>#N/A</v>
      </c>
      <c r="AS25" s="27" t="e">
        <f t="shared" ca="1" si="17"/>
        <v>#N/A</v>
      </c>
      <c r="AT25" s="27" t="e">
        <f t="shared" ca="1" si="18"/>
        <v>#N/A</v>
      </c>
      <c r="AU25" s="27" t="e">
        <f t="shared" ca="1" si="19"/>
        <v>#N/A</v>
      </c>
      <c r="AV25" s="27" t="e">
        <f t="shared" ca="1" si="20"/>
        <v>#N/A</v>
      </c>
      <c r="AW25" s="27" t="e">
        <f t="shared" ca="1" si="21"/>
        <v>#N/A</v>
      </c>
      <c r="AX25" s="27" t="e">
        <f t="shared" ca="1" si="22"/>
        <v>#N/A</v>
      </c>
      <c r="AY25" s="27" t="e">
        <f t="shared" ca="1" si="23"/>
        <v>#N/A</v>
      </c>
      <c r="AZ25" s="27" t="e">
        <f t="shared" ca="1" si="24"/>
        <v>#N/A</v>
      </c>
      <c r="BA25" s="27">
        <f t="shared" ca="1" si="25"/>
        <v>0</v>
      </c>
      <c r="BB25" s="27" t="str">
        <f t="shared" ca="1" si="44"/>
        <v/>
      </c>
      <c r="BC25" s="13" t="str">
        <f t="shared" ca="1" si="39"/>
        <v>=</v>
      </c>
      <c r="BG25" s="27" t="e">
        <f t="shared" ca="1" si="26"/>
        <v>#N/A</v>
      </c>
      <c r="BH25" s="27" t="e">
        <f t="shared" si="40"/>
        <v>#REF!</v>
      </c>
      <c r="BI25" s="110" t="s">
        <v>238</v>
      </c>
      <c r="BJ25" s="27" t="e">
        <f t="shared" ca="1" si="26"/>
        <v>#N/A</v>
      </c>
      <c r="BK25" s="27" t="e">
        <f t="shared" ca="1" si="26"/>
        <v>#N/A</v>
      </c>
      <c r="BL25" s="27" t="e">
        <f t="shared" ca="1" si="26"/>
        <v>#N/A</v>
      </c>
      <c r="BM25" s="27" t="str">
        <f t="shared" ca="1" si="41"/>
        <v>-</v>
      </c>
      <c r="BN25" s="27" t="e">
        <f ca="1">RANK(BM25,BM$13:BM$31)+COUNTIF(BM25:BM$31,BM25)-1</f>
        <v>#VALUE!</v>
      </c>
      <c r="BO25" s="27" t="e">
        <f t="shared" ca="1" si="27"/>
        <v>#N/A</v>
      </c>
      <c r="BP25" s="27" t="e">
        <f t="shared" ca="1" si="28"/>
        <v>#N/A</v>
      </c>
      <c r="BQ25" s="27" t="e">
        <f t="shared" ca="1" si="29"/>
        <v>#N/A</v>
      </c>
      <c r="BR25" s="27" t="e">
        <f t="shared" ca="1" si="30"/>
        <v>#N/A</v>
      </c>
      <c r="BS25" s="27" t="e">
        <f t="shared" ca="1" si="31"/>
        <v>#N/A</v>
      </c>
      <c r="BT25" s="27" t="e">
        <f t="shared" ca="1" si="32"/>
        <v>#N/A</v>
      </c>
      <c r="BU25" s="27" t="e">
        <f t="shared" ca="1" si="33"/>
        <v>#N/A</v>
      </c>
      <c r="BV25" s="27" t="e">
        <f t="shared" ca="1" si="34"/>
        <v>#N/A</v>
      </c>
      <c r="BW25" s="27">
        <f t="shared" ca="1" si="35"/>
        <v>0</v>
      </c>
      <c r="BX25" s="27" t="str">
        <f t="shared" ca="1" si="45"/>
        <v/>
      </c>
      <c r="BY25" s="13" t="str">
        <f t="shared" ca="1" si="42"/>
        <v>=</v>
      </c>
    </row>
    <row r="26" spans="1:77">
      <c r="A26" s="25">
        <v>14</v>
      </c>
      <c r="B26" t="str">
        <f ca="1">tblCountries!E19</f>
        <v>Panama</v>
      </c>
      <c r="C26">
        <f ca="1">tblCountries!A19</f>
        <v>14</v>
      </c>
      <c r="D26">
        <f ca="1">tblCountries!H19</f>
        <v>1</v>
      </c>
      <c r="I26" s="6"/>
      <c r="O26" s="27" t="e">
        <f t="shared" ca="1" si="6"/>
        <v>#N/A</v>
      </c>
      <c r="P26" s="27" t="e">
        <f t="shared" ca="1" si="6"/>
        <v>#N/A</v>
      </c>
      <c r="Q26" s="27" t="e">
        <f t="shared" ca="1" si="6"/>
        <v>#N/A</v>
      </c>
      <c r="R26" s="27" t="e">
        <f t="shared" ca="1" si="6"/>
        <v>#N/A</v>
      </c>
      <c r="S26" s="27" t="e">
        <f t="shared" ca="1" si="6"/>
        <v>#N/A</v>
      </c>
      <c r="T26" s="27" t="e">
        <f t="shared" ca="1" si="6"/>
        <v>#N/A</v>
      </c>
      <c r="U26" s="27" t="e">
        <f t="shared" ca="1" si="36"/>
        <v>#N/A</v>
      </c>
      <c r="V26" s="27" t="e">
        <f ca="1">RANK(U26,U$13:U$31)+COUNTIF(U26:U$31,U26)-1</f>
        <v>#N/A</v>
      </c>
      <c r="W26" s="27" t="e">
        <f t="shared" ca="1" si="7"/>
        <v>#N/A</v>
      </c>
      <c r="X26" s="27" t="e">
        <f t="shared" ca="1" si="8"/>
        <v>#N/A</v>
      </c>
      <c r="Y26" s="27" t="e">
        <f t="shared" ca="1" si="9"/>
        <v>#N/A</v>
      </c>
      <c r="Z26" s="27" t="e">
        <f t="shared" ca="1" si="10"/>
        <v>#N/A</v>
      </c>
      <c r="AA26" s="27" t="e">
        <f t="shared" ca="1" si="11"/>
        <v>#N/A</v>
      </c>
      <c r="AB26" s="27" t="e">
        <f t="shared" ca="1" si="12"/>
        <v>#N/A</v>
      </c>
      <c r="AC26" s="27" t="e">
        <f t="shared" ca="1" si="13"/>
        <v>#N/A</v>
      </c>
      <c r="AD26" s="27" t="e">
        <f t="shared" ca="1" si="14"/>
        <v>#N/A</v>
      </c>
      <c r="AE26" s="27">
        <f t="shared" ca="1" si="15"/>
        <v>0</v>
      </c>
      <c r="AF26" s="27" t="str">
        <f t="shared" ca="1" si="43"/>
        <v/>
      </c>
      <c r="AG26" s="13" t="str">
        <f t="shared" ca="1" si="37"/>
        <v>=</v>
      </c>
      <c r="AK26" s="27">
        <f t="shared" ca="1" si="16"/>
        <v>26.96</v>
      </c>
      <c r="AL26" s="27">
        <f t="shared" ca="1" si="16"/>
        <v>25</v>
      </c>
      <c r="AM26" s="27" t="e">
        <f t="shared" ca="1" si="16"/>
        <v>#N/A</v>
      </c>
      <c r="AN26" s="27" t="e">
        <f t="shared" ca="1" si="16"/>
        <v>#N/A</v>
      </c>
      <c r="AO26" s="27" t="e">
        <f t="shared" ca="1" si="16"/>
        <v>#N/A</v>
      </c>
      <c r="AP26" s="27" t="e">
        <f t="shared" ca="1" si="16"/>
        <v>#N/A</v>
      </c>
      <c r="AQ26" s="27" t="e">
        <f t="shared" ca="1" si="38"/>
        <v>#N/A</v>
      </c>
      <c r="AR26" s="27" t="e">
        <f ca="1">RANK(AQ26,AQ$13:AQ$31)+COUNTIF(AQ26:AQ$31,AQ26)-1</f>
        <v>#N/A</v>
      </c>
      <c r="AS26" s="27" t="e">
        <f t="shared" ca="1" si="17"/>
        <v>#N/A</v>
      </c>
      <c r="AT26" s="27" t="e">
        <f t="shared" ca="1" si="18"/>
        <v>#N/A</v>
      </c>
      <c r="AU26" s="27" t="e">
        <f t="shared" ca="1" si="19"/>
        <v>#N/A</v>
      </c>
      <c r="AV26" s="27" t="e">
        <f t="shared" ca="1" si="20"/>
        <v>#N/A</v>
      </c>
      <c r="AW26" s="27" t="e">
        <f t="shared" ca="1" si="21"/>
        <v>#N/A</v>
      </c>
      <c r="AX26" s="27" t="e">
        <f t="shared" ca="1" si="22"/>
        <v>#N/A</v>
      </c>
      <c r="AY26" s="27" t="e">
        <f t="shared" ca="1" si="23"/>
        <v>#N/A</v>
      </c>
      <c r="AZ26" s="27" t="e">
        <f t="shared" ca="1" si="24"/>
        <v>#N/A</v>
      </c>
      <c r="BA26" s="27">
        <f t="shared" ca="1" si="25"/>
        <v>0</v>
      </c>
      <c r="BB26" s="27" t="str">
        <f t="shared" ca="1" si="44"/>
        <v/>
      </c>
      <c r="BC26" s="13" t="str">
        <f t="shared" ca="1" si="39"/>
        <v>=</v>
      </c>
      <c r="BG26" s="27" t="e">
        <f t="shared" ca="1" si="26"/>
        <v>#N/A</v>
      </c>
      <c r="BH26" s="27" t="e">
        <f t="shared" si="40"/>
        <v>#REF!</v>
      </c>
      <c r="BI26" s="110" t="s">
        <v>238</v>
      </c>
      <c r="BJ26" s="27" t="e">
        <f t="shared" ca="1" si="26"/>
        <v>#N/A</v>
      </c>
      <c r="BK26" s="27" t="e">
        <f t="shared" ca="1" si="26"/>
        <v>#N/A</v>
      </c>
      <c r="BL26" s="27" t="e">
        <f t="shared" ca="1" si="26"/>
        <v>#N/A</v>
      </c>
      <c r="BM26" s="27" t="str">
        <f t="shared" ca="1" si="41"/>
        <v>-</v>
      </c>
      <c r="BN26" s="27" t="e">
        <f ca="1">RANK(BM26,BM$13:BM$31)+COUNTIF(BM26:BM$31,BM26)-1</f>
        <v>#VALUE!</v>
      </c>
      <c r="BO26" s="27" t="e">
        <f t="shared" ca="1" si="27"/>
        <v>#N/A</v>
      </c>
      <c r="BP26" s="27" t="e">
        <f t="shared" ca="1" si="28"/>
        <v>#N/A</v>
      </c>
      <c r="BQ26" s="27" t="e">
        <f t="shared" ca="1" si="29"/>
        <v>#N/A</v>
      </c>
      <c r="BR26" s="27" t="e">
        <f t="shared" ca="1" si="30"/>
        <v>#N/A</v>
      </c>
      <c r="BS26" s="27" t="e">
        <f t="shared" ca="1" si="31"/>
        <v>#N/A</v>
      </c>
      <c r="BT26" s="27" t="e">
        <f t="shared" ca="1" si="32"/>
        <v>#N/A</v>
      </c>
      <c r="BU26" s="27" t="e">
        <f t="shared" ca="1" si="33"/>
        <v>#N/A</v>
      </c>
      <c r="BV26" s="27" t="e">
        <f t="shared" ca="1" si="34"/>
        <v>#N/A</v>
      </c>
      <c r="BW26" s="27">
        <f t="shared" ca="1" si="35"/>
        <v>0</v>
      </c>
      <c r="BX26" s="27" t="str">
        <f t="shared" ca="1" si="45"/>
        <v/>
      </c>
      <c r="BY26" s="13" t="str">
        <f t="shared" ca="1" si="42"/>
        <v>=</v>
      </c>
    </row>
    <row r="27" spans="1:77">
      <c r="A27" s="25">
        <v>15</v>
      </c>
      <c r="B27" t="str">
        <f ca="1">tblCountries!E20</f>
        <v>Paraguay</v>
      </c>
      <c r="C27">
        <f ca="1">tblCountries!A20</f>
        <v>15</v>
      </c>
      <c r="D27">
        <f ca="1">tblCountries!H20</f>
        <v>1</v>
      </c>
      <c r="O27" s="27" t="e">
        <f t="shared" ca="1" si="6"/>
        <v>#N/A</v>
      </c>
      <c r="P27" s="27" t="e">
        <f t="shared" ca="1" si="6"/>
        <v>#N/A</v>
      </c>
      <c r="Q27" s="27" t="e">
        <f t="shared" ca="1" si="6"/>
        <v>#N/A</v>
      </c>
      <c r="R27" s="27" t="e">
        <f t="shared" ca="1" si="6"/>
        <v>#N/A</v>
      </c>
      <c r="S27" s="27" t="e">
        <f t="shared" ca="1" si="6"/>
        <v>#N/A</v>
      </c>
      <c r="T27" s="27" t="e">
        <f t="shared" ca="1" si="6"/>
        <v>#N/A</v>
      </c>
      <c r="U27" s="27" t="e">
        <f t="shared" ca="1" si="36"/>
        <v>#N/A</v>
      </c>
      <c r="V27" s="27" t="e">
        <f ca="1">RANK(U27,U$13:U$31)+COUNTIF(U27:U$31,U27)-1</f>
        <v>#N/A</v>
      </c>
      <c r="W27" s="27" t="e">
        <f t="shared" ca="1" si="7"/>
        <v>#N/A</v>
      </c>
      <c r="X27" s="27" t="e">
        <f t="shared" ca="1" si="8"/>
        <v>#N/A</v>
      </c>
      <c r="Y27" s="27" t="e">
        <f t="shared" ca="1" si="9"/>
        <v>#N/A</v>
      </c>
      <c r="Z27" s="27" t="e">
        <f t="shared" ca="1" si="10"/>
        <v>#N/A</v>
      </c>
      <c r="AA27" s="27" t="e">
        <f t="shared" ca="1" si="11"/>
        <v>#N/A</v>
      </c>
      <c r="AB27" s="27" t="e">
        <f t="shared" ca="1" si="12"/>
        <v>#N/A</v>
      </c>
      <c r="AC27" s="27" t="e">
        <f t="shared" ca="1" si="13"/>
        <v>#N/A</v>
      </c>
      <c r="AD27" s="27" t="e">
        <f t="shared" ca="1" si="14"/>
        <v>#N/A</v>
      </c>
      <c r="AE27" s="27">
        <f t="shared" ca="1" si="15"/>
        <v>0</v>
      </c>
      <c r="AF27" s="27" t="str">
        <f t="shared" ca="1" si="43"/>
        <v/>
      </c>
      <c r="AG27" s="13" t="str">
        <f t="shared" ca="1" si="37"/>
        <v>=</v>
      </c>
      <c r="AK27" s="27">
        <f t="shared" ca="1" si="16"/>
        <v>27.84</v>
      </c>
      <c r="AL27" s="27">
        <f t="shared" ca="1" si="16"/>
        <v>22.22</v>
      </c>
      <c r="AM27" s="27" t="e">
        <f t="shared" ca="1" si="16"/>
        <v>#N/A</v>
      </c>
      <c r="AN27" s="27" t="e">
        <f t="shared" ca="1" si="16"/>
        <v>#N/A</v>
      </c>
      <c r="AO27" s="27" t="e">
        <f t="shared" ca="1" si="16"/>
        <v>#N/A</v>
      </c>
      <c r="AP27" s="27" t="e">
        <f t="shared" ca="1" si="16"/>
        <v>#N/A</v>
      </c>
      <c r="AQ27" s="27" t="e">
        <f t="shared" ca="1" si="38"/>
        <v>#N/A</v>
      </c>
      <c r="AR27" s="27" t="e">
        <f ca="1">RANK(AQ27,AQ$13:AQ$31)+COUNTIF(AQ27:AQ$31,AQ27)-1</f>
        <v>#N/A</v>
      </c>
      <c r="AS27" s="27" t="e">
        <f t="shared" ca="1" si="17"/>
        <v>#N/A</v>
      </c>
      <c r="AT27" s="27" t="e">
        <f t="shared" ca="1" si="18"/>
        <v>#N/A</v>
      </c>
      <c r="AU27" s="27" t="e">
        <f t="shared" ca="1" si="19"/>
        <v>#N/A</v>
      </c>
      <c r="AV27" s="27" t="e">
        <f t="shared" ca="1" si="20"/>
        <v>#N/A</v>
      </c>
      <c r="AW27" s="27" t="e">
        <f t="shared" ca="1" si="21"/>
        <v>#N/A</v>
      </c>
      <c r="AX27" s="27" t="e">
        <f t="shared" ca="1" si="22"/>
        <v>#N/A</v>
      </c>
      <c r="AY27" s="27" t="e">
        <f t="shared" ca="1" si="23"/>
        <v>#N/A</v>
      </c>
      <c r="AZ27" s="27" t="e">
        <f t="shared" ca="1" si="24"/>
        <v>#N/A</v>
      </c>
      <c r="BA27" s="27">
        <f t="shared" ca="1" si="25"/>
        <v>0</v>
      </c>
      <c r="BB27" s="27" t="str">
        <f t="shared" ca="1" si="44"/>
        <v/>
      </c>
      <c r="BC27" s="13" t="str">
        <f t="shared" ca="1" si="39"/>
        <v>=</v>
      </c>
      <c r="BG27" s="27" t="e">
        <f t="shared" ca="1" si="26"/>
        <v>#N/A</v>
      </c>
      <c r="BH27" s="27" t="e">
        <f t="shared" si="40"/>
        <v>#REF!</v>
      </c>
      <c r="BI27" s="110" t="s">
        <v>238</v>
      </c>
      <c r="BJ27" s="27" t="e">
        <f t="shared" ca="1" si="26"/>
        <v>#N/A</v>
      </c>
      <c r="BK27" s="27" t="e">
        <f t="shared" ca="1" si="26"/>
        <v>#N/A</v>
      </c>
      <c r="BL27" s="27" t="e">
        <f t="shared" ca="1" si="26"/>
        <v>#N/A</v>
      </c>
      <c r="BM27" s="27" t="str">
        <f t="shared" ca="1" si="41"/>
        <v>-</v>
      </c>
      <c r="BN27" s="27" t="e">
        <f ca="1">RANK(BM27,BM$13:BM$31)+COUNTIF(BM27:BM$31,BM27)-1</f>
        <v>#VALUE!</v>
      </c>
      <c r="BO27" s="27" t="e">
        <f t="shared" ca="1" si="27"/>
        <v>#N/A</v>
      </c>
      <c r="BP27" s="27" t="e">
        <f t="shared" ca="1" si="28"/>
        <v>#N/A</v>
      </c>
      <c r="BQ27" s="27" t="e">
        <f t="shared" ca="1" si="29"/>
        <v>#N/A</v>
      </c>
      <c r="BR27" s="27" t="e">
        <f t="shared" ca="1" si="30"/>
        <v>#N/A</v>
      </c>
      <c r="BS27" s="27" t="e">
        <f t="shared" ca="1" si="31"/>
        <v>#N/A</v>
      </c>
      <c r="BT27" s="27" t="e">
        <f t="shared" ca="1" si="32"/>
        <v>#N/A</v>
      </c>
      <c r="BU27" s="27" t="e">
        <f t="shared" ca="1" si="33"/>
        <v>#N/A</v>
      </c>
      <c r="BV27" s="27" t="e">
        <f t="shared" ca="1" si="34"/>
        <v>#N/A</v>
      </c>
      <c r="BW27" s="27">
        <f t="shared" ca="1" si="35"/>
        <v>0</v>
      </c>
      <c r="BX27" s="27" t="str">
        <f t="shared" ca="1" si="45"/>
        <v/>
      </c>
      <c r="BY27" s="13" t="str">
        <f t="shared" ca="1" si="42"/>
        <v>=</v>
      </c>
    </row>
    <row r="28" spans="1:77">
      <c r="A28" s="25">
        <v>16</v>
      </c>
      <c r="B28" t="str">
        <f ca="1">tblCountries!E21</f>
        <v>Peru</v>
      </c>
      <c r="C28">
        <f ca="1">tblCountries!A21</f>
        <v>16</v>
      </c>
      <c r="D28">
        <f ca="1">tblCountries!H21</f>
        <v>1</v>
      </c>
      <c r="O28" s="27" t="e">
        <f t="shared" ca="1" si="6"/>
        <v>#N/A</v>
      </c>
      <c r="P28" s="27" t="e">
        <f t="shared" ca="1" si="6"/>
        <v>#N/A</v>
      </c>
      <c r="Q28" s="27" t="e">
        <f t="shared" ca="1" si="6"/>
        <v>#N/A</v>
      </c>
      <c r="R28" s="27" t="e">
        <f t="shared" ca="1" si="6"/>
        <v>#N/A</v>
      </c>
      <c r="S28" s="27" t="e">
        <f t="shared" ca="1" si="6"/>
        <v>#N/A</v>
      </c>
      <c r="T28" s="27" t="e">
        <f t="shared" ca="1" si="6"/>
        <v>#N/A</v>
      </c>
      <c r="U28" s="27" t="e">
        <f t="shared" ca="1" si="36"/>
        <v>#N/A</v>
      </c>
      <c r="V28" s="27" t="e">
        <f ca="1">RANK(U28,U$13:U$31)+COUNTIF(U28:U$31,U28)-1</f>
        <v>#N/A</v>
      </c>
      <c r="W28" s="27" t="e">
        <f t="shared" ca="1" si="7"/>
        <v>#N/A</v>
      </c>
      <c r="X28" s="27" t="e">
        <f t="shared" ca="1" si="8"/>
        <v>#N/A</v>
      </c>
      <c r="Y28" s="27" t="e">
        <f t="shared" ca="1" si="9"/>
        <v>#N/A</v>
      </c>
      <c r="Z28" s="27" t="e">
        <f t="shared" ca="1" si="10"/>
        <v>#N/A</v>
      </c>
      <c r="AA28" s="27" t="e">
        <f t="shared" ca="1" si="11"/>
        <v>#N/A</v>
      </c>
      <c r="AB28" s="27" t="e">
        <f t="shared" ca="1" si="12"/>
        <v>#N/A</v>
      </c>
      <c r="AC28" s="27" t="e">
        <f t="shared" ca="1" si="13"/>
        <v>#N/A</v>
      </c>
      <c r="AD28" s="27" t="e">
        <f t="shared" ca="1" si="14"/>
        <v>#N/A</v>
      </c>
      <c r="AE28" s="27">
        <f t="shared" ca="1" si="15"/>
        <v>0</v>
      </c>
      <c r="AF28" s="27" t="str">
        <f t="shared" ca="1" si="43"/>
        <v/>
      </c>
      <c r="AG28" s="13" t="str">
        <f t="shared" ca="1" si="37"/>
        <v>=</v>
      </c>
      <c r="AK28" s="27">
        <f t="shared" ca="1" si="16"/>
        <v>53.76</v>
      </c>
      <c r="AL28" s="27">
        <f t="shared" ca="1" si="16"/>
        <v>52.78</v>
      </c>
      <c r="AM28" s="27" t="e">
        <f t="shared" ca="1" si="16"/>
        <v>#N/A</v>
      </c>
      <c r="AN28" s="27" t="e">
        <f t="shared" ca="1" si="16"/>
        <v>#N/A</v>
      </c>
      <c r="AO28" s="27" t="e">
        <f t="shared" ca="1" si="16"/>
        <v>#N/A</v>
      </c>
      <c r="AP28" s="27" t="e">
        <f t="shared" ca="1" si="16"/>
        <v>#N/A</v>
      </c>
      <c r="AQ28" s="27" t="e">
        <f t="shared" ca="1" si="38"/>
        <v>#N/A</v>
      </c>
      <c r="AR28" s="27" t="e">
        <f ca="1">RANK(AQ28,AQ$13:AQ$31)+COUNTIF(AQ28:AQ$31,AQ28)-1</f>
        <v>#N/A</v>
      </c>
      <c r="AS28" s="27" t="e">
        <f t="shared" ca="1" si="17"/>
        <v>#N/A</v>
      </c>
      <c r="AT28" s="27" t="e">
        <f t="shared" ca="1" si="18"/>
        <v>#N/A</v>
      </c>
      <c r="AU28" s="27" t="e">
        <f t="shared" ca="1" si="19"/>
        <v>#N/A</v>
      </c>
      <c r="AV28" s="27" t="e">
        <f t="shared" ca="1" si="20"/>
        <v>#N/A</v>
      </c>
      <c r="AW28" s="27" t="e">
        <f t="shared" ca="1" si="21"/>
        <v>#N/A</v>
      </c>
      <c r="AX28" s="27" t="e">
        <f t="shared" ca="1" si="22"/>
        <v>#N/A</v>
      </c>
      <c r="AY28" s="27" t="e">
        <f t="shared" ca="1" si="23"/>
        <v>#N/A</v>
      </c>
      <c r="AZ28" s="27" t="e">
        <f t="shared" ca="1" si="24"/>
        <v>#N/A</v>
      </c>
      <c r="BA28" s="27">
        <f t="shared" ca="1" si="25"/>
        <v>0</v>
      </c>
      <c r="BB28" s="27" t="str">
        <f t="shared" ca="1" si="44"/>
        <v/>
      </c>
      <c r="BC28" s="13" t="str">
        <f t="shared" ca="1" si="39"/>
        <v>=</v>
      </c>
      <c r="BG28" s="27" t="e">
        <f t="shared" ca="1" si="26"/>
        <v>#N/A</v>
      </c>
      <c r="BH28" s="27" t="e">
        <f t="shared" si="40"/>
        <v>#REF!</v>
      </c>
      <c r="BI28" s="110" t="s">
        <v>238</v>
      </c>
      <c r="BJ28" s="27" t="e">
        <f t="shared" ca="1" si="26"/>
        <v>#N/A</v>
      </c>
      <c r="BK28" s="27" t="e">
        <f t="shared" ca="1" si="26"/>
        <v>#N/A</v>
      </c>
      <c r="BL28" s="27" t="e">
        <f t="shared" ca="1" si="26"/>
        <v>#N/A</v>
      </c>
      <c r="BM28" s="27" t="str">
        <f t="shared" ca="1" si="41"/>
        <v>-</v>
      </c>
      <c r="BN28" s="27" t="e">
        <f ca="1">RANK(BM28,BM$13:BM$31)+COUNTIF(BM28:BM$31,BM28)-1</f>
        <v>#VALUE!</v>
      </c>
      <c r="BO28" s="27" t="e">
        <f t="shared" ca="1" si="27"/>
        <v>#N/A</v>
      </c>
      <c r="BP28" s="27" t="e">
        <f t="shared" ca="1" si="28"/>
        <v>#N/A</v>
      </c>
      <c r="BQ28" s="27" t="e">
        <f t="shared" ca="1" si="29"/>
        <v>#N/A</v>
      </c>
      <c r="BR28" s="27" t="e">
        <f t="shared" ca="1" si="30"/>
        <v>#N/A</v>
      </c>
      <c r="BS28" s="27" t="e">
        <f t="shared" ca="1" si="31"/>
        <v>#N/A</v>
      </c>
      <c r="BT28" s="27" t="e">
        <f t="shared" ca="1" si="32"/>
        <v>#N/A</v>
      </c>
      <c r="BU28" s="27" t="e">
        <f t="shared" ca="1" si="33"/>
        <v>#N/A</v>
      </c>
      <c r="BV28" s="27" t="e">
        <f t="shared" ca="1" si="34"/>
        <v>#N/A</v>
      </c>
      <c r="BW28" s="27">
        <f t="shared" ca="1" si="35"/>
        <v>0</v>
      </c>
      <c r="BX28" s="27" t="str">
        <f t="shared" ca="1" si="45"/>
        <v/>
      </c>
      <c r="BY28" s="13" t="str">
        <f t="shared" ca="1" si="42"/>
        <v>=</v>
      </c>
    </row>
    <row r="29" spans="1:77">
      <c r="A29" s="25">
        <v>17</v>
      </c>
      <c r="B29" t="str">
        <f ca="1">tblCountries!E22</f>
        <v>Trinidad &amp; Tobago</v>
      </c>
      <c r="C29">
        <f ca="1">tblCountries!A22</f>
        <v>17</v>
      </c>
      <c r="D29">
        <f ca="1">tblCountries!H22</f>
        <v>1</v>
      </c>
      <c r="O29" s="27" t="e">
        <f t="shared" ca="1" si="6"/>
        <v>#N/A</v>
      </c>
      <c r="P29" s="27" t="e">
        <f t="shared" ca="1" si="6"/>
        <v>#N/A</v>
      </c>
      <c r="Q29" s="27" t="e">
        <f t="shared" ca="1" si="6"/>
        <v>#N/A</v>
      </c>
      <c r="R29" s="27" t="e">
        <f t="shared" ca="1" si="6"/>
        <v>#N/A</v>
      </c>
      <c r="S29" s="27" t="e">
        <f t="shared" ca="1" si="6"/>
        <v>#N/A</v>
      </c>
      <c r="T29" s="27" t="e">
        <f t="shared" ca="1" si="6"/>
        <v>#N/A</v>
      </c>
      <c r="U29" s="27" t="e">
        <f t="shared" ca="1" si="36"/>
        <v>#N/A</v>
      </c>
      <c r="V29" s="27" t="e">
        <f ca="1">RANK(U29,U$13:U$31)+COUNTIF(U29:U$31,U29)-1</f>
        <v>#N/A</v>
      </c>
      <c r="W29" s="27" t="e">
        <f t="shared" ca="1" si="7"/>
        <v>#N/A</v>
      </c>
      <c r="X29" s="27" t="e">
        <f t="shared" ca="1" si="8"/>
        <v>#N/A</v>
      </c>
      <c r="Y29" s="27" t="e">
        <f t="shared" ca="1" si="9"/>
        <v>#N/A</v>
      </c>
      <c r="Z29" s="27" t="e">
        <f t="shared" ca="1" si="10"/>
        <v>#N/A</v>
      </c>
      <c r="AA29" s="27" t="e">
        <f t="shared" ca="1" si="11"/>
        <v>#N/A</v>
      </c>
      <c r="AB29" s="27" t="e">
        <f t="shared" ca="1" si="12"/>
        <v>#N/A</v>
      </c>
      <c r="AC29" s="27" t="e">
        <f t="shared" ca="1" si="13"/>
        <v>#N/A</v>
      </c>
      <c r="AD29" s="27" t="e">
        <f t="shared" ca="1" si="14"/>
        <v>#N/A</v>
      </c>
      <c r="AE29" s="27">
        <f t="shared" ca="1" si="15"/>
        <v>0</v>
      </c>
      <c r="AF29" s="27" t="str">
        <f t="shared" ca="1" si="43"/>
        <v/>
      </c>
      <c r="AG29" s="13" t="str">
        <f t="shared" ca="1" si="37"/>
        <v>=</v>
      </c>
      <c r="AK29" s="27">
        <f t="shared" ca="1" si="16"/>
        <v>19.38</v>
      </c>
      <c r="AL29" s="27">
        <f t="shared" ca="1" si="16"/>
        <v>16.670000000000002</v>
      </c>
      <c r="AM29" s="27" t="e">
        <f t="shared" ca="1" si="16"/>
        <v>#N/A</v>
      </c>
      <c r="AN29" s="27" t="e">
        <f t="shared" ca="1" si="16"/>
        <v>#N/A</v>
      </c>
      <c r="AO29" s="27" t="e">
        <f t="shared" ca="1" si="16"/>
        <v>#N/A</v>
      </c>
      <c r="AP29" s="27" t="e">
        <f t="shared" ca="1" si="16"/>
        <v>#N/A</v>
      </c>
      <c r="AQ29" s="27" t="e">
        <f t="shared" ca="1" si="38"/>
        <v>#N/A</v>
      </c>
      <c r="AR29" s="27" t="e">
        <f ca="1">RANK(AQ29,AQ$13:AQ$31)+COUNTIF(AQ29:AQ$31,AQ29)-1</f>
        <v>#N/A</v>
      </c>
      <c r="AS29" s="27" t="e">
        <f t="shared" ca="1" si="17"/>
        <v>#N/A</v>
      </c>
      <c r="AT29" s="27" t="e">
        <f t="shared" ca="1" si="18"/>
        <v>#N/A</v>
      </c>
      <c r="AU29" s="27" t="e">
        <f t="shared" ca="1" si="19"/>
        <v>#N/A</v>
      </c>
      <c r="AV29" s="27" t="e">
        <f t="shared" ca="1" si="20"/>
        <v>#N/A</v>
      </c>
      <c r="AW29" s="27" t="e">
        <f t="shared" ca="1" si="21"/>
        <v>#N/A</v>
      </c>
      <c r="AX29" s="27" t="e">
        <f t="shared" ca="1" si="22"/>
        <v>#N/A</v>
      </c>
      <c r="AY29" s="27" t="e">
        <f t="shared" ca="1" si="23"/>
        <v>#N/A</v>
      </c>
      <c r="AZ29" s="27" t="e">
        <f t="shared" ca="1" si="24"/>
        <v>#N/A</v>
      </c>
      <c r="BA29" s="27">
        <f t="shared" ca="1" si="25"/>
        <v>0</v>
      </c>
      <c r="BB29" s="27" t="str">
        <f t="shared" ca="1" si="44"/>
        <v/>
      </c>
      <c r="BC29" s="13" t="str">
        <f t="shared" ca="1" si="39"/>
        <v>=</v>
      </c>
      <c r="BG29" s="27" t="e">
        <f t="shared" ca="1" si="26"/>
        <v>#N/A</v>
      </c>
      <c r="BH29" s="27" t="e">
        <f t="shared" si="40"/>
        <v>#REF!</v>
      </c>
      <c r="BI29" s="110" t="s">
        <v>238</v>
      </c>
      <c r="BJ29" s="27" t="e">
        <f t="shared" ca="1" si="26"/>
        <v>#N/A</v>
      </c>
      <c r="BK29" s="27" t="e">
        <f t="shared" ca="1" si="26"/>
        <v>#N/A</v>
      </c>
      <c r="BL29" s="27" t="e">
        <f t="shared" ca="1" si="26"/>
        <v>#N/A</v>
      </c>
      <c r="BM29" s="27" t="str">
        <f t="shared" ca="1" si="41"/>
        <v>-</v>
      </c>
      <c r="BN29" s="27" t="e">
        <f ca="1">RANK(BM29,BM$13:BM$31)+COUNTIF(BM29:BM$31,BM29)-1</f>
        <v>#VALUE!</v>
      </c>
      <c r="BO29" s="27" t="e">
        <f t="shared" ca="1" si="27"/>
        <v>#N/A</v>
      </c>
      <c r="BP29" s="27" t="e">
        <f t="shared" ca="1" si="28"/>
        <v>#N/A</v>
      </c>
      <c r="BQ29" s="27" t="e">
        <f t="shared" ca="1" si="29"/>
        <v>#N/A</v>
      </c>
      <c r="BR29" s="27" t="e">
        <f t="shared" ca="1" si="30"/>
        <v>#N/A</v>
      </c>
      <c r="BS29" s="27" t="e">
        <f t="shared" ca="1" si="31"/>
        <v>#N/A</v>
      </c>
      <c r="BT29" s="27" t="e">
        <f t="shared" ca="1" si="32"/>
        <v>#N/A</v>
      </c>
      <c r="BU29" s="27" t="e">
        <f t="shared" ca="1" si="33"/>
        <v>#N/A</v>
      </c>
      <c r="BV29" s="27" t="e">
        <f t="shared" ca="1" si="34"/>
        <v>#N/A</v>
      </c>
      <c r="BW29" s="27">
        <f t="shared" ca="1" si="35"/>
        <v>0</v>
      </c>
      <c r="BX29" s="27" t="str">
        <f t="shared" ca="1" si="45"/>
        <v/>
      </c>
      <c r="BY29" s="13" t="str">
        <f t="shared" ca="1" si="42"/>
        <v>=</v>
      </c>
    </row>
    <row r="30" spans="1:77">
      <c r="A30" s="25">
        <v>18</v>
      </c>
      <c r="B30" t="str">
        <f ca="1">tblCountries!E23</f>
        <v>Uruguay</v>
      </c>
      <c r="C30">
        <f ca="1">tblCountries!A23</f>
        <v>18</v>
      </c>
      <c r="D30">
        <f ca="1">tblCountries!H23</f>
        <v>1</v>
      </c>
      <c r="O30" s="27" t="e">
        <f t="shared" ca="1" si="6"/>
        <v>#N/A</v>
      </c>
      <c r="P30" s="27" t="e">
        <f t="shared" ca="1" si="6"/>
        <v>#N/A</v>
      </c>
      <c r="Q30" s="27" t="e">
        <f t="shared" ca="1" si="6"/>
        <v>#N/A</v>
      </c>
      <c r="R30" s="27" t="e">
        <f t="shared" ca="1" si="6"/>
        <v>#N/A</v>
      </c>
      <c r="S30" s="27" t="e">
        <f t="shared" ca="1" si="6"/>
        <v>#N/A</v>
      </c>
      <c r="T30" s="27" t="e">
        <f t="shared" ca="1" si="6"/>
        <v>#N/A</v>
      </c>
      <c r="U30" s="27" t="e">
        <f t="shared" ca="1" si="36"/>
        <v>#N/A</v>
      </c>
      <c r="V30" s="27" t="e">
        <f ca="1">RANK(U30,U$13:U$31)+COUNTIF(U30:U$31,U30)-1</f>
        <v>#N/A</v>
      </c>
      <c r="W30" s="27" t="e">
        <f t="shared" ca="1" si="7"/>
        <v>#N/A</v>
      </c>
      <c r="X30" s="27" t="e">
        <f t="shared" ca="1" si="8"/>
        <v>#N/A</v>
      </c>
      <c r="Y30" s="27" t="e">
        <f t="shared" ca="1" si="9"/>
        <v>#N/A</v>
      </c>
      <c r="Z30" s="27" t="e">
        <f t="shared" ca="1" si="10"/>
        <v>#N/A</v>
      </c>
      <c r="AA30" s="27" t="e">
        <f t="shared" ca="1" si="11"/>
        <v>#N/A</v>
      </c>
      <c r="AB30" s="27" t="e">
        <f t="shared" ca="1" si="12"/>
        <v>#N/A</v>
      </c>
      <c r="AC30" s="27" t="e">
        <f t="shared" ca="1" si="13"/>
        <v>#N/A</v>
      </c>
      <c r="AD30" s="27" t="e">
        <f t="shared" ca="1" si="14"/>
        <v>#N/A</v>
      </c>
      <c r="AE30" s="27">
        <f t="shared" ca="1" si="15"/>
        <v>0</v>
      </c>
      <c r="AF30" s="27" t="str">
        <f t="shared" ca="1" si="43"/>
        <v/>
      </c>
      <c r="AG30" s="13" t="str">
        <f t="shared" ca="1" si="37"/>
        <v>=</v>
      </c>
      <c r="AK30" s="27">
        <f t="shared" ca="1" si="16"/>
        <v>35.630000000000003</v>
      </c>
      <c r="AL30" s="27">
        <f t="shared" ca="1" si="16"/>
        <v>33.33</v>
      </c>
      <c r="AM30" s="27" t="e">
        <f t="shared" ca="1" si="16"/>
        <v>#N/A</v>
      </c>
      <c r="AN30" s="27" t="e">
        <f t="shared" ca="1" si="16"/>
        <v>#N/A</v>
      </c>
      <c r="AO30" s="27" t="e">
        <f t="shared" ca="1" si="16"/>
        <v>#N/A</v>
      </c>
      <c r="AP30" s="27" t="e">
        <f t="shared" ca="1" si="16"/>
        <v>#N/A</v>
      </c>
      <c r="AQ30" s="27" t="e">
        <f t="shared" ca="1" si="38"/>
        <v>#N/A</v>
      </c>
      <c r="AR30" s="27" t="e">
        <f ca="1">RANK(AQ30,AQ$13:AQ$31)+COUNTIF(AQ30:AQ$31,AQ30)-1</f>
        <v>#N/A</v>
      </c>
      <c r="AS30" s="27" t="e">
        <f t="shared" ca="1" si="17"/>
        <v>#N/A</v>
      </c>
      <c r="AT30" s="27" t="e">
        <f t="shared" ca="1" si="18"/>
        <v>#N/A</v>
      </c>
      <c r="AU30" s="27" t="e">
        <f t="shared" ca="1" si="19"/>
        <v>#N/A</v>
      </c>
      <c r="AV30" s="27" t="e">
        <f t="shared" ca="1" si="20"/>
        <v>#N/A</v>
      </c>
      <c r="AW30" s="27" t="e">
        <f t="shared" ca="1" si="21"/>
        <v>#N/A</v>
      </c>
      <c r="AX30" s="27" t="e">
        <f t="shared" ca="1" si="22"/>
        <v>#N/A</v>
      </c>
      <c r="AY30" s="27" t="e">
        <f t="shared" ca="1" si="23"/>
        <v>#N/A</v>
      </c>
      <c r="AZ30" s="27" t="e">
        <f t="shared" ca="1" si="24"/>
        <v>#N/A</v>
      </c>
      <c r="BA30" s="27">
        <f t="shared" ca="1" si="25"/>
        <v>0</v>
      </c>
      <c r="BB30" s="27" t="str">
        <f t="shared" ca="1" si="44"/>
        <v/>
      </c>
      <c r="BC30" s="13" t="str">
        <f t="shared" ca="1" si="39"/>
        <v>=</v>
      </c>
      <c r="BG30" s="27" t="e">
        <f t="shared" ca="1" si="26"/>
        <v>#N/A</v>
      </c>
      <c r="BH30" s="27" t="e">
        <f t="shared" si="40"/>
        <v>#REF!</v>
      </c>
      <c r="BI30" s="110" t="s">
        <v>238</v>
      </c>
      <c r="BJ30" s="27" t="e">
        <f t="shared" ca="1" si="26"/>
        <v>#N/A</v>
      </c>
      <c r="BK30" s="27" t="e">
        <f t="shared" ca="1" si="26"/>
        <v>#N/A</v>
      </c>
      <c r="BL30" s="27" t="e">
        <f t="shared" ca="1" si="26"/>
        <v>#N/A</v>
      </c>
      <c r="BM30" s="27" t="str">
        <f t="shared" ca="1" si="41"/>
        <v>-</v>
      </c>
      <c r="BN30" s="27" t="e">
        <f ca="1">RANK(BM30,BM$13:BM$31)+COUNTIF(BM30:BM$31,BM30)-1</f>
        <v>#VALUE!</v>
      </c>
      <c r="BO30" s="27" t="e">
        <f t="shared" ca="1" si="27"/>
        <v>#N/A</v>
      </c>
      <c r="BP30" s="27" t="e">
        <f t="shared" ca="1" si="28"/>
        <v>#N/A</v>
      </c>
      <c r="BQ30" s="27" t="e">
        <f t="shared" ca="1" si="29"/>
        <v>#N/A</v>
      </c>
      <c r="BR30" s="27" t="e">
        <f t="shared" ca="1" si="30"/>
        <v>#N/A</v>
      </c>
      <c r="BS30" s="27" t="e">
        <f t="shared" ca="1" si="31"/>
        <v>#N/A</v>
      </c>
      <c r="BT30" s="27" t="e">
        <f t="shared" ca="1" si="32"/>
        <v>#N/A</v>
      </c>
      <c r="BU30" s="27" t="e">
        <f t="shared" ca="1" si="33"/>
        <v>#N/A</v>
      </c>
      <c r="BV30" s="27" t="e">
        <f t="shared" ca="1" si="34"/>
        <v>#N/A</v>
      </c>
      <c r="BW30" s="27">
        <f t="shared" ca="1" si="35"/>
        <v>0</v>
      </c>
      <c r="BX30" s="27" t="str">
        <f t="shared" ca="1" si="45"/>
        <v/>
      </c>
      <c r="BY30" s="13" t="str">
        <f t="shared" ca="1" si="42"/>
        <v>=</v>
      </c>
    </row>
    <row r="31" spans="1:77">
      <c r="A31" s="25">
        <v>19</v>
      </c>
      <c r="B31" t="str">
        <f ca="1">tblCountries!E24</f>
        <v>Venezuela</v>
      </c>
      <c r="C31">
        <f ca="1">tblCountries!A24</f>
        <v>19</v>
      </c>
      <c r="D31">
        <f ca="1">tblCountries!H24</f>
        <v>1</v>
      </c>
      <c r="O31" s="27" t="e">
        <f t="shared" ca="1" si="6"/>
        <v>#N/A</v>
      </c>
      <c r="P31" s="27" t="e">
        <f t="shared" ca="1" si="6"/>
        <v>#N/A</v>
      </c>
      <c r="Q31" s="27" t="e">
        <f t="shared" ca="1" si="6"/>
        <v>#N/A</v>
      </c>
      <c r="R31" s="27" t="e">
        <f t="shared" ca="1" si="6"/>
        <v>#N/A</v>
      </c>
      <c r="S31" s="27" t="e">
        <f t="shared" ca="1" si="6"/>
        <v>#N/A</v>
      </c>
      <c r="T31" s="27" t="e">
        <f t="shared" ca="1" si="6"/>
        <v>#N/A</v>
      </c>
      <c r="U31" s="27" t="e">
        <f t="shared" ca="1" si="36"/>
        <v>#N/A</v>
      </c>
      <c r="V31" s="27" t="e">
        <f ca="1">RANK(U31,U$13:U$31)+COUNTIF(U31:U$31,U31)-1</f>
        <v>#N/A</v>
      </c>
      <c r="W31" s="27" t="e">
        <f t="shared" ca="1" si="7"/>
        <v>#N/A</v>
      </c>
      <c r="X31" s="27" t="e">
        <f t="shared" ca="1" si="8"/>
        <v>#N/A</v>
      </c>
      <c r="Y31" s="27" t="e">
        <f t="shared" ca="1" si="9"/>
        <v>#N/A</v>
      </c>
      <c r="Z31" s="27" t="e">
        <f t="shared" ca="1" si="10"/>
        <v>#N/A</v>
      </c>
      <c r="AA31" s="27" t="e">
        <f t="shared" ca="1" si="11"/>
        <v>#N/A</v>
      </c>
      <c r="AB31" s="27" t="e">
        <f t="shared" ca="1" si="12"/>
        <v>#N/A</v>
      </c>
      <c r="AC31" s="27" t="e">
        <f t="shared" ca="1" si="13"/>
        <v>#N/A</v>
      </c>
      <c r="AD31" s="27" t="e">
        <f t="shared" ca="1" si="14"/>
        <v>#N/A</v>
      </c>
      <c r="AE31" s="27">
        <f t="shared" ca="1" si="15"/>
        <v>0</v>
      </c>
      <c r="AF31" s="27" t="str">
        <f t="shared" ca="1" si="43"/>
        <v/>
      </c>
      <c r="AG31" s="13" t="e">
        <f ca="1">IF(OR(AF31=AF30,AF31=#REF!),CONCATENATE("=",AF31),AF31)</f>
        <v>#REF!</v>
      </c>
      <c r="AK31" s="27">
        <f t="shared" ca="1" si="16"/>
        <v>13.68</v>
      </c>
      <c r="AL31" s="27">
        <f t="shared" ca="1" si="16"/>
        <v>8.33</v>
      </c>
      <c r="AM31" s="27" t="e">
        <f t="shared" ca="1" si="16"/>
        <v>#N/A</v>
      </c>
      <c r="AN31" s="27" t="e">
        <f t="shared" ca="1" si="16"/>
        <v>#N/A</v>
      </c>
      <c r="AO31" s="27" t="e">
        <f t="shared" ca="1" si="16"/>
        <v>#N/A</v>
      </c>
      <c r="AP31" s="27" t="e">
        <f t="shared" ca="1" si="16"/>
        <v>#N/A</v>
      </c>
      <c r="AQ31" s="27" t="e">
        <f t="shared" ca="1" si="38"/>
        <v>#N/A</v>
      </c>
      <c r="AR31" s="27" t="e">
        <f ca="1">RANK(AQ31,AQ$13:AQ$31)+COUNTIF(AQ31:AQ$31,AQ31)-1</f>
        <v>#N/A</v>
      </c>
      <c r="AS31" s="27" t="e">
        <f t="shared" ca="1" si="17"/>
        <v>#N/A</v>
      </c>
      <c r="AT31" s="27" t="e">
        <f t="shared" ca="1" si="18"/>
        <v>#N/A</v>
      </c>
      <c r="AU31" s="27" t="e">
        <f t="shared" ca="1" si="19"/>
        <v>#N/A</v>
      </c>
      <c r="AV31" s="27" t="e">
        <f t="shared" ca="1" si="20"/>
        <v>#N/A</v>
      </c>
      <c r="AW31" s="27" t="e">
        <f t="shared" ca="1" si="21"/>
        <v>#N/A</v>
      </c>
      <c r="AX31" s="27" t="e">
        <f t="shared" ca="1" si="22"/>
        <v>#N/A</v>
      </c>
      <c r="AY31" s="27" t="e">
        <f t="shared" ca="1" si="23"/>
        <v>#N/A</v>
      </c>
      <c r="AZ31" s="27" t="e">
        <f t="shared" ca="1" si="24"/>
        <v>#N/A</v>
      </c>
      <c r="BA31" s="27">
        <f t="shared" ca="1" si="25"/>
        <v>0</v>
      </c>
      <c r="BB31" s="27" t="str">
        <f t="shared" ca="1" si="44"/>
        <v/>
      </c>
      <c r="BC31" s="13" t="str">
        <f t="shared" ca="1" si="39"/>
        <v>=</v>
      </c>
      <c r="BG31" s="27" t="e">
        <f t="shared" ca="1" si="26"/>
        <v>#N/A</v>
      </c>
      <c r="BH31" s="27" t="e">
        <f t="shared" si="40"/>
        <v>#REF!</v>
      </c>
      <c r="BI31" s="110" t="s">
        <v>238</v>
      </c>
      <c r="BJ31" s="27" t="e">
        <f t="shared" ca="1" si="26"/>
        <v>#N/A</v>
      </c>
      <c r="BK31" s="27" t="e">
        <f t="shared" ca="1" si="26"/>
        <v>#N/A</v>
      </c>
      <c r="BL31" s="27" t="e">
        <f t="shared" ca="1" si="26"/>
        <v>#N/A</v>
      </c>
      <c r="BM31" s="27" t="str">
        <f t="shared" ca="1" si="41"/>
        <v>-</v>
      </c>
      <c r="BN31" s="27" t="e">
        <f ca="1">RANK(BM31,BM$13:BM$31)+COUNTIF(BM31:BM$31,BM31)-1</f>
        <v>#VALUE!</v>
      </c>
      <c r="BO31" s="27" t="e">
        <f t="shared" ca="1" si="27"/>
        <v>#N/A</v>
      </c>
      <c r="BP31" s="27" t="e">
        <f t="shared" ca="1" si="28"/>
        <v>#N/A</v>
      </c>
      <c r="BQ31" s="27" t="e">
        <f t="shared" ca="1" si="29"/>
        <v>#N/A</v>
      </c>
      <c r="BR31" s="27" t="e">
        <f t="shared" ca="1" si="30"/>
        <v>#N/A</v>
      </c>
      <c r="BS31" s="27" t="e">
        <f t="shared" ca="1" si="31"/>
        <v>#N/A</v>
      </c>
      <c r="BT31" s="27" t="e">
        <f t="shared" ca="1" si="32"/>
        <v>#N/A</v>
      </c>
      <c r="BU31" s="27" t="e">
        <f t="shared" ca="1" si="33"/>
        <v>#N/A</v>
      </c>
      <c r="BV31" s="27" t="e">
        <f t="shared" ca="1" si="34"/>
        <v>#N/A</v>
      </c>
      <c r="BW31" s="27">
        <f t="shared" ca="1" si="35"/>
        <v>0</v>
      </c>
      <c r="BX31" s="27" t="str">
        <f t="shared" ca="1" si="45"/>
        <v/>
      </c>
      <c r="BY31" s="13" t="str">
        <f t="shared" ca="1" si="42"/>
        <v>=</v>
      </c>
    </row>
  </sheetData>
  <phoneticPr fontId="44" type="noConversion"/>
  <pageMargins left="0.7" right="0.7" top="0.75" bottom="0.75" header="0.3" footer="0.3"/>
</worksheet>
</file>

<file path=xl/worksheets/sheet21.xml><?xml version="1.0" encoding="utf-8"?>
<worksheet xmlns="http://schemas.openxmlformats.org/spreadsheetml/2006/main" xmlns:r="http://schemas.openxmlformats.org/officeDocument/2006/relationships">
  <sheetPr codeName="Sheet12"/>
  <dimension ref="A1:U48"/>
  <sheetViews>
    <sheetView zoomScale="70" zoomScaleNormal="70" workbookViewId="0">
      <selection activeCell="C3" sqref="C3"/>
    </sheetView>
  </sheetViews>
  <sheetFormatPr defaultRowHeight="12.75"/>
  <cols>
    <col min="1" max="2" width="9.140625" style="49"/>
    <col min="3" max="3" width="8.28515625" style="49" customWidth="1"/>
    <col min="4" max="4" width="8" style="49" customWidth="1"/>
    <col min="5" max="6" width="4.5703125" style="49" customWidth="1"/>
    <col min="7" max="7" width="6.140625" style="49" customWidth="1"/>
    <col min="8" max="8" width="6" style="49" customWidth="1"/>
    <col min="9" max="16" width="4.5703125" style="49" customWidth="1"/>
    <col min="17" max="17" width="7" style="49" customWidth="1"/>
    <col min="18" max="18" width="8" style="49" customWidth="1"/>
    <col min="19" max="21" width="4.5703125" style="49" customWidth="1"/>
    <col min="22" max="16384" width="9.140625" style="49"/>
  </cols>
  <sheetData>
    <row r="1" spans="1:21">
      <c r="C1" s="49" t="s">
        <v>520</v>
      </c>
      <c r="D1" s="49" t="s">
        <v>521</v>
      </c>
      <c r="E1" s="49" t="s">
        <v>644</v>
      </c>
      <c r="F1" s="49" t="str">
        <f ca="1">uxb_works!G5</f>
        <v>Process</v>
      </c>
      <c r="G1" s="49" t="str">
        <f ca="1">uxb_works!H5</f>
        <v>0=High is good,1=High is bad</v>
      </c>
      <c r="H1" s="49" t="str">
        <f ca="1">uxb_works!I5</f>
        <v>Short</v>
      </c>
      <c r="I1" s="49" t="str">
        <f ca="1">uxb_works!J5</f>
        <v>Unit</v>
      </c>
      <c r="J1" s="49" t="str">
        <f ca="1">uxb_works!K5</f>
        <v>Source</v>
      </c>
      <c r="K1" s="49" t="str">
        <f ca="1">uxb_works!L5</f>
        <v>High Value</v>
      </c>
      <c r="L1" s="49" t="str">
        <f ca="1">uxb_works!M5</f>
        <v>Statement</v>
      </c>
      <c r="M1" s="49" t="str">
        <f ca="1">uxb_works!N5</f>
        <v>Year</v>
      </c>
      <c r="N1" s="49" t="str">
        <f ca="1">uxb_works!O5</f>
        <v>Notes</v>
      </c>
      <c r="O1" s="49" t="str">
        <f ca="1">uxb_works!P5</f>
        <v>Format</v>
      </c>
    </row>
    <row r="2" spans="1:21">
      <c r="A2" s="49" t="s">
        <v>592</v>
      </c>
      <c r="B2" s="49">
        <f ca="1">uxb_works!C6</f>
        <v>22</v>
      </c>
      <c r="C2" s="49" t="str">
        <f ca="1">uxb_works!D6</f>
        <v>FINC02</v>
      </c>
      <c r="D2" s="49" t="str">
        <f ca="1">uxb_works!E6</f>
        <v>FINC</v>
      </c>
      <c r="E2" s="49">
        <f ca="1">uxb_works!F6</f>
        <v>2</v>
      </c>
      <c r="F2" s="49" t="str">
        <f ca="1">uxb_works!G6</f>
        <v>XX</v>
      </c>
      <c r="G2" s="49">
        <f ca="1">uxb_works!H6</f>
        <v>0</v>
      </c>
      <c r="H2" s="49" t="str">
        <f ca="1">uxb_works!I6</f>
        <v>Capital market: private infrastructure finance</v>
      </c>
      <c r="I2" s="49" t="str">
        <f ca="1">uxb_works!J6</f>
        <v>0-4, where 4=best and 0=worst</v>
      </c>
      <c r="J2" s="49" t="str">
        <f ca="1">uxb_works!K6</f>
        <v>EIU qualitative assessment</v>
      </c>
      <c r="K2" s="49" t="str">
        <f ca="1">uxb_works!L6</f>
        <v>GOOD</v>
      </c>
      <c r="L2" s="49" t="str">
        <f ca="1">uxb_works!M6</f>
        <v>How available and reliable are long-term debt  instruments for infrastructure financing? Is there a developed insurance and pension market with useful products for infrastructure risk reduction? Are interest rate, exchange rate hedging instruments available?</v>
      </c>
      <c r="M2" s="49">
        <f ca="1">uxb_works!N6</f>
        <v>0</v>
      </c>
      <c r="N2" s="49" t="str">
        <f ca="1">uxb_works!O6</f>
        <v>0=The markets for finance and risk instruments are underdeveloped or nonexistent, and only foreign sources provide project funding;
1=The market for local finance is slowly developing, though most finance comes from international sources and risk hedging instruments do not exist;
2=Some finance and risk instruments exist, though financing still mainly comes from foreign and multilateral organisations;
3=The domestic market presents a large, reliable financing market but risk instruments are still developing in size and complexity;
4=There is a deep, liquid finance market locally, as well as a reliable and large local market for hedging instruments</v>
      </c>
      <c r="O2" s="49" t="str">
        <f ca="1">uxb_works!P6</f>
        <v>0</v>
      </c>
    </row>
    <row r="3" spans="1:21">
      <c r="A3" s="49" t="s">
        <v>593</v>
      </c>
      <c r="B3" s="49">
        <f ca="1">uxb_works!C7</f>
        <v>1</v>
      </c>
      <c r="C3" s="49" t="str">
        <f ca="1">uxb_works!D7</f>
        <v>TOTL</v>
      </c>
      <c r="D3" s="49">
        <f ca="1">uxb_works!E7</f>
        <v>0</v>
      </c>
      <c r="E3" s="49">
        <f ca="1">uxb_works!F7</f>
        <v>0</v>
      </c>
      <c r="F3" s="49" t="str">
        <f ca="1">uxb_works!G7</f>
        <v>WS</v>
      </c>
      <c r="G3" s="49">
        <f ca="1">uxb_works!H7</f>
        <v>0</v>
      </c>
      <c r="H3" s="49" t="str">
        <f ca="1">uxb_works!I7</f>
        <v>OVERALL SCORE</v>
      </c>
      <c r="I3" s="49" t="str">
        <f ca="1">uxb_works!J7</f>
        <v>Weighted sum of the category scores</v>
      </c>
      <c r="J3" s="49" t="str">
        <f ca="1">uxb_works!K7</f>
        <v>Calculation</v>
      </c>
      <c r="K3" s="49" t="str">
        <f ca="1">uxb_works!L7</f>
        <v>GOOD</v>
      </c>
      <c r="L3" s="49" t="str">
        <f ca="1">uxb_works!M7</f>
        <v>This is the weighted sum of the following category scores: 
1) Legal and regulatory framework; 2) Institutional framework;
3) Operational Maturity; 4) Investment climate; and 5) Financial facilities</v>
      </c>
      <c r="M3" s="49">
        <f ca="1">uxb_works!N7</f>
        <v>0</v>
      </c>
      <c r="N3" s="49" t="str">
        <f ca="1">uxb_works!O7</f>
        <v>0-100, where 0= worst and 100= best</v>
      </c>
      <c r="O3" s="49" t="str">
        <f ca="1">uxb_works!P7</f>
        <v>0.0</v>
      </c>
    </row>
    <row r="4" spans="1:21">
      <c r="A4" s="82" t="s">
        <v>290</v>
      </c>
      <c r="B4" s="49">
        <f ca="1">uxb_works!B21</f>
        <v>12</v>
      </c>
      <c r="C4" s="49" t="str">
        <f ca="1">uxb_works!B22</f>
        <v>Mexico</v>
      </c>
    </row>
    <row r="5" spans="1:21">
      <c r="A5" s="50" t="s">
        <v>594</v>
      </c>
      <c r="B5" s="49" t="b">
        <f ca="1">uxb_works!B24</f>
        <v>0</v>
      </c>
    </row>
    <row r="6" spans="1:21">
      <c r="A6" s="82" t="s">
        <v>677</v>
      </c>
      <c r="B6" s="49" t="b">
        <f ca="1">uxb_works!B25</f>
        <v>1</v>
      </c>
    </row>
    <row r="9" spans="1:21">
      <c r="C9" s="49">
        <v>1</v>
      </c>
      <c r="D9" s="49">
        <v>2</v>
      </c>
      <c r="E9" s="49">
        <v>3</v>
      </c>
      <c r="F9" s="49">
        <v>4</v>
      </c>
      <c r="G9" s="49">
        <v>5</v>
      </c>
      <c r="H9" s="49">
        <v>6</v>
      </c>
      <c r="I9" s="49">
        <v>7</v>
      </c>
      <c r="J9" s="49">
        <v>8</v>
      </c>
      <c r="K9" s="49">
        <v>9</v>
      </c>
      <c r="L9" s="49">
        <v>10</v>
      </c>
      <c r="M9" s="49">
        <v>11</v>
      </c>
      <c r="N9" s="49">
        <v>12</v>
      </c>
      <c r="O9" s="49">
        <v>13</v>
      </c>
      <c r="P9" s="49">
        <v>14</v>
      </c>
      <c r="Q9" s="49">
        <v>15</v>
      </c>
      <c r="R9" s="49">
        <v>16</v>
      </c>
      <c r="S9" s="49">
        <v>17</v>
      </c>
      <c r="T9" s="49">
        <v>18</v>
      </c>
      <c r="U9" s="49">
        <v>19</v>
      </c>
    </row>
    <row r="10" spans="1:21">
      <c r="C10" s="49" t="str">
        <f t="shared" ref="C10:U10" ca="1" si="0">INDEX(countryName,C9)</f>
        <v>Argentina</v>
      </c>
      <c r="D10" s="49" t="str">
        <f t="shared" ca="1" si="0"/>
        <v>Brazil</v>
      </c>
      <c r="E10" s="49" t="str">
        <f t="shared" ca="1" si="0"/>
        <v xml:space="preserve">Chile </v>
      </c>
      <c r="F10" s="49" t="str">
        <f t="shared" ca="1" si="0"/>
        <v>Colombia</v>
      </c>
      <c r="G10" s="49" t="str">
        <f t="shared" ca="1" si="0"/>
        <v>Costa Rica</v>
      </c>
      <c r="H10" s="49" t="str">
        <f t="shared" ca="1" si="0"/>
        <v>Dominican Rep.</v>
      </c>
      <c r="I10" s="49" t="str">
        <f t="shared" ca="1" si="0"/>
        <v>Ecuador</v>
      </c>
      <c r="J10" s="49" t="str">
        <f t="shared" ca="1" si="0"/>
        <v>El Salvador</v>
      </c>
      <c r="K10" s="49" t="str">
        <f t="shared" ca="1" si="0"/>
        <v>Guatemala</v>
      </c>
      <c r="L10" s="49" t="str">
        <f t="shared" ca="1" si="0"/>
        <v>Honduras</v>
      </c>
      <c r="M10" s="49" t="str">
        <f t="shared" ca="1" si="0"/>
        <v>Jamaica</v>
      </c>
      <c r="N10" s="49" t="str">
        <f t="shared" ca="1" si="0"/>
        <v>Mexico</v>
      </c>
      <c r="O10" s="49" t="str">
        <f t="shared" ca="1" si="0"/>
        <v>Nicaragua</v>
      </c>
      <c r="P10" s="49" t="str">
        <f t="shared" ca="1" si="0"/>
        <v>Panama</v>
      </c>
      <c r="Q10" s="49" t="str">
        <f t="shared" ca="1" si="0"/>
        <v>Paraguay</v>
      </c>
      <c r="R10" s="49" t="str">
        <f t="shared" ca="1" si="0"/>
        <v>Peru</v>
      </c>
      <c r="S10" s="49" t="str">
        <f t="shared" ca="1" si="0"/>
        <v>Trinidad &amp; Tobago</v>
      </c>
      <c r="T10" s="49" t="str">
        <f t="shared" ca="1" si="0"/>
        <v>Uruguay</v>
      </c>
      <c r="U10" s="49" t="str">
        <f t="shared" ca="1" si="0"/>
        <v>Venezuela</v>
      </c>
    </row>
    <row r="11" spans="1:21">
      <c r="B11" s="49" t="s">
        <v>595</v>
      </c>
      <c r="C11" s="49">
        <f t="shared" ref="C11:U11" ca="1" si="1">INDEX(cityRegionFilter,C9)</f>
        <v>1</v>
      </c>
      <c r="D11" s="49">
        <f t="shared" ca="1" si="1"/>
        <v>1</v>
      </c>
      <c r="E11" s="49">
        <f t="shared" ca="1" si="1"/>
        <v>1</v>
      </c>
      <c r="F11" s="49">
        <f t="shared" ca="1" si="1"/>
        <v>1</v>
      </c>
      <c r="G11" s="49">
        <f t="shared" ca="1" si="1"/>
        <v>1</v>
      </c>
      <c r="H11" s="49">
        <f t="shared" ca="1" si="1"/>
        <v>1</v>
      </c>
      <c r="I11" s="49">
        <f t="shared" ca="1" si="1"/>
        <v>1</v>
      </c>
      <c r="J11" s="49">
        <f t="shared" ca="1" si="1"/>
        <v>1</v>
      </c>
      <c r="K11" s="49">
        <f t="shared" ca="1" si="1"/>
        <v>1</v>
      </c>
      <c r="L11" s="49">
        <f t="shared" ca="1" si="1"/>
        <v>1</v>
      </c>
      <c r="M11" s="49">
        <f t="shared" ca="1" si="1"/>
        <v>1</v>
      </c>
      <c r="N11" s="49">
        <f t="shared" ca="1" si="1"/>
        <v>1</v>
      </c>
      <c r="O11" s="49">
        <f t="shared" ca="1" si="1"/>
        <v>1</v>
      </c>
      <c r="P11" s="49">
        <f t="shared" ca="1" si="1"/>
        <v>1</v>
      </c>
      <c r="Q11" s="49">
        <f t="shared" ca="1" si="1"/>
        <v>1</v>
      </c>
      <c r="R11" s="49">
        <f t="shared" ca="1" si="1"/>
        <v>1</v>
      </c>
      <c r="S11" s="49">
        <f t="shared" ca="1" si="1"/>
        <v>1</v>
      </c>
      <c r="T11" s="49">
        <f t="shared" ca="1" si="1"/>
        <v>1</v>
      </c>
      <c r="U11" s="49">
        <f t="shared" ca="1" si="1"/>
        <v>1</v>
      </c>
    </row>
    <row r="12" spans="1:21">
      <c r="B12" s="49" t="s">
        <v>596</v>
      </c>
      <c r="C12" s="49">
        <f t="shared" ref="C12:U12" ca="1" si="2">INDEX(cityRegionHighlight,C9)</f>
        <v>0</v>
      </c>
      <c r="D12" s="49">
        <f t="shared" ca="1" si="2"/>
        <v>0</v>
      </c>
      <c r="E12" s="49">
        <f t="shared" ca="1" si="2"/>
        <v>0</v>
      </c>
      <c r="F12" s="49">
        <f t="shared" ca="1" si="2"/>
        <v>0</v>
      </c>
      <c r="G12" s="49">
        <f t="shared" ca="1" si="2"/>
        <v>0</v>
      </c>
      <c r="H12" s="49">
        <f t="shared" ca="1" si="2"/>
        <v>0</v>
      </c>
      <c r="I12" s="49">
        <f t="shared" ca="1" si="2"/>
        <v>0</v>
      </c>
      <c r="J12" s="49">
        <f t="shared" ca="1" si="2"/>
        <v>0</v>
      </c>
      <c r="K12" s="49">
        <f t="shared" ca="1" si="2"/>
        <v>0</v>
      </c>
      <c r="L12" s="49">
        <f t="shared" ca="1" si="2"/>
        <v>0</v>
      </c>
      <c r="M12" s="49">
        <f t="shared" ca="1" si="2"/>
        <v>0</v>
      </c>
      <c r="N12" s="49">
        <f t="shared" ca="1" si="2"/>
        <v>0</v>
      </c>
      <c r="O12" s="49">
        <f t="shared" ca="1" si="2"/>
        <v>0</v>
      </c>
      <c r="P12" s="49">
        <f t="shared" ca="1" si="2"/>
        <v>0</v>
      </c>
      <c r="Q12" s="49">
        <f t="shared" ca="1" si="2"/>
        <v>0</v>
      </c>
      <c r="R12" s="49">
        <f t="shared" ca="1" si="2"/>
        <v>0</v>
      </c>
      <c r="S12" s="49">
        <f t="shared" ca="1" si="2"/>
        <v>0</v>
      </c>
      <c r="T12" s="49">
        <f t="shared" ca="1" si="2"/>
        <v>0</v>
      </c>
      <c r="U12" s="49">
        <f t="shared" ca="1" si="2"/>
        <v>0</v>
      </c>
    </row>
    <row r="13" spans="1:21">
      <c r="A13" s="50" t="s">
        <v>597</v>
      </c>
      <c r="B13" s="49">
        <f>B2</f>
        <v>22</v>
      </c>
      <c r="C13" s="49">
        <f t="shared" ref="C13:U13" ca="1" si="3">IF(C$11=0,NA(),IF($E$2=2,INDEX(data,$B13,C$9),INDEX(scores,$B13,C$9)))</f>
        <v>1</v>
      </c>
      <c r="D13" s="49">
        <f t="shared" ca="1" si="3"/>
        <v>3</v>
      </c>
      <c r="E13" s="49">
        <f t="shared" ca="1" si="3"/>
        <v>4</v>
      </c>
      <c r="F13" s="49">
        <f t="shared" ca="1" si="3"/>
        <v>2</v>
      </c>
      <c r="G13" s="49">
        <f t="shared" ca="1" si="3"/>
        <v>2</v>
      </c>
      <c r="H13" s="49">
        <f t="shared" ca="1" si="3"/>
        <v>1</v>
      </c>
      <c r="I13" s="49">
        <f t="shared" ca="1" si="3"/>
        <v>1</v>
      </c>
      <c r="J13" s="49">
        <f t="shared" ca="1" si="3"/>
        <v>2</v>
      </c>
      <c r="K13" s="49">
        <f t="shared" ca="1" si="3"/>
        <v>0</v>
      </c>
      <c r="L13" s="49">
        <f t="shared" ca="1" si="3"/>
        <v>0</v>
      </c>
      <c r="M13" s="49">
        <f t="shared" ca="1" si="3"/>
        <v>0</v>
      </c>
      <c r="N13" s="49">
        <f t="shared" ca="1" si="3"/>
        <v>3</v>
      </c>
      <c r="O13" s="49">
        <f t="shared" ca="1" si="3"/>
        <v>0</v>
      </c>
      <c r="P13" s="49">
        <f t="shared" ca="1" si="3"/>
        <v>2</v>
      </c>
      <c r="Q13" s="49">
        <f t="shared" ca="1" si="3"/>
        <v>1</v>
      </c>
      <c r="R13" s="49">
        <f t="shared" ca="1" si="3"/>
        <v>2</v>
      </c>
      <c r="S13" s="49">
        <f t="shared" ca="1" si="3"/>
        <v>2</v>
      </c>
      <c r="T13" s="49">
        <f t="shared" ca="1" si="3"/>
        <v>1</v>
      </c>
      <c r="U13" s="49">
        <f t="shared" ca="1" si="3"/>
        <v>1</v>
      </c>
    </row>
    <row r="14" spans="1:21">
      <c r="A14" s="50" t="s">
        <v>598</v>
      </c>
      <c r="B14" s="49">
        <f>B3</f>
        <v>1</v>
      </c>
      <c r="C14" s="49">
        <f t="shared" ref="C14:U14" ca="1" si="4">IF(C$11=0,NA(),IF($E$3=2,INDEX(data,$B14,C$9),INDEX(scores,$B14,C$9)))</f>
        <v>23.455088272248759</v>
      </c>
      <c r="D14" s="49">
        <f t="shared" ca="1" si="4"/>
        <v>60.711712388149238</v>
      </c>
      <c r="E14" s="49">
        <f t="shared" ca="1" si="4"/>
        <v>65.286693679205769</v>
      </c>
      <c r="F14" s="49">
        <f t="shared" ca="1" si="4"/>
        <v>42.374181974144157</v>
      </c>
      <c r="G14" s="49">
        <f t="shared" ca="1" si="4"/>
        <v>41.907021450570397</v>
      </c>
      <c r="H14" s="49">
        <f t="shared" ca="1" si="4"/>
        <v>23.61710989503726</v>
      </c>
      <c r="I14" s="49">
        <f t="shared" ca="1" si="4"/>
        <v>14.722524435083418</v>
      </c>
      <c r="J14" s="49">
        <f t="shared" ca="1" si="4"/>
        <v>21.818213729763158</v>
      </c>
      <c r="K14" s="49">
        <f t="shared" ca="1" si="4"/>
        <v>21.955832845790781</v>
      </c>
      <c r="L14" s="49">
        <f t="shared" ca="1" si="4"/>
        <v>33.290060562547922</v>
      </c>
      <c r="M14" s="49">
        <f t="shared" ca="1" si="4"/>
        <v>31.627618019215326</v>
      </c>
      <c r="N14" s="49">
        <f t="shared" ca="1" si="4"/>
        <v>44.586262953078325</v>
      </c>
      <c r="O14" s="49">
        <f t="shared" ca="1" si="4"/>
        <v>16.487210844906201</v>
      </c>
      <c r="P14" s="49">
        <f t="shared" ca="1" si="4"/>
        <v>26.959196461509244</v>
      </c>
      <c r="Q14" s="49">
        <f t="shared" ca="1" si="4"/>
        <v>27.836228889814965</v>
      </c>
      <c r="R14" s="49">
        <f t="shared" ca="1" si="4"/>
        <v>53.758155655948975</v>
      </c>
      <c r="S14" s="49">
        <f t="shared" ca="1" si="4"/>
        <v>19.38398843957053</v>
      </c>
      <c r="T14" s="49">
        <f t="shared" ca="1" si="4"/>
        <v>35.630984519760609</v>
      </c>
      <c r="U14" s="49">
        <f t="shared" ca="1" si="4"/>
        <v>13.682865936218722</v>
      </c>
    </row>
    <row r="16" spans="1:21">
      <c r="C16" s="49">
        <f ca="1">IF(ISERROR(C13),"",C13)</f>
        <v>1</v>
      </c>
      <c r="D16" s="49">
        <f t="shared" ref="D16:U17" ca="1" si="5">IF(ISERROR(D13),"",D13)</f>
        <v>3</v>
      </c>
      <c r="E16" s="49">
        <f t="shared" ca="1" si="5"/>
        <v>4</v>
      </c>
      <c r="F16" s="49">
        <f t="shared" ca="1" si="5"/>
        <v>2</v>
      </c>
      <c r="G16" s="49">
        <f t="shared" ca="1" si="5"/>
        <v>2</v>
      </c>
      <c r="H16" s="49">
        <f t="shared" ca="1" si="5"/>
        <v>1</v>
      </c>
      <c r="I16" s="49">
        <f t="shared" ca="1" si="5"/>
        <v>1</v>
      </c>
      <c r="J16" s="49">
        <f t="shared" ca="1" si="5"/>
        <v>2</v>
      </c>
      <c r="K16" s="49">
        <f t="shared" ca="1" si="5"/>
        <v>0</v>
      </c>
      <c r="L16" s="49">
        <f t="shared" ca="1" si="5"/>
        <v>0</v>
      </c>
      <c r="M16" s="49">
        <f t="shared" ca="1" si="5"/>
        <v>0</v>
      </c>
      <c r="N16" s="49">
        <f t="shared" ca="1" si="5"/>
        <v>3</v>
      </c>
      <c r="O16" s="49">
        <f t="shared" ca="1" si="5"/>
        <v>0</v>
      </c>
      <c r="P16" s="49">
        <f t="shared" ca="1" si="5"/>
        <v>2</v>
      </c>
      <c r="Q16" s="49">
        <f t="shared" ca="1" si="5"/>
        <v>1</v>
      </c>
      <c r="R16" s="49">
        <f t="shared" ca="1" si="5"/>
        <v>2</v>
      </c>
      <c r="S16" s="49">
        <f t="shared" ca="1" si="5"/>
        <v>2</v>
      </c>
      <c r="T16" s="49">
        <f t="shared" ca="1" si="5"/>
        <v>1</v>
      </c>
      <c r="U16" s="49">
        <f t="shared" ca="1" si="5"/>
        <v>1</v>
      </c>
    </row>
    <row r="17" spans="1:21">
      <c r="C17" s="49">
        <f ca="1">IF(ISERROR(C14),"",C14)</f>
        <v>23.455088272248759</v>
      </c>
      <c r="D17" s="49">
        <f t="shared" ca="1" si="5"/>
        <v>60.711712388149238</v>
      </c>
      <c r="E17" s="49">
        <f t="shared" ca="1" si="5"/>
        <v>65.286693679205769</v>
      </c>
      <c r="F17" s="49">
        <f t="shared" ca="1" si="5"/>
        <v>42.374181974144157</v>
      </c>
      <c r="G17" s="49">
        <f t="shared" ca="1" si="5"/>
        <v>41.907021450570397</v>
      </c>
      <c r="H17" s="49">
        <f t="shared" ca="1" si="5"/>
        <v>23.61710989503726</v>
      </c>
      <c r="I17" s="49">
        <f t="shared" ca="1" si="5"/>
        <v>14.722524435083418</v>
      </c>
      <c r="J17" s="49">
        <f t="shared" ca="1" si="5"/>
        <v>21.818213729763158</v>
      </c>
      <c r="K17" s="49">
        <f t="shared" ca="1" si="5"/>
        <v>21.955832845790781</v>
      </c>
      <c r="L17" s="49">
        <f t="shared" ca="1" si="5"/>
        <v>33.290060562547922</v>
      </c>
      <c r="M17" s="49">
        <f t="shared" ca="1" si="5"/>
        <v>31.627618019215326</v>
      </c>
      <c r="N17" s="49">
        <f t="shared" ca="1" si="5"/>
        <v>44.586262953078325</v>
      </c>
      <c r="O17" s="49">
        <f t="shared" ca="1" si="5"/>
        <v>16.487210844906201</v>
      </c>
      <c r="P17" s="49">
        <f t="shared" ca="1" si="5"/>
        <v>26.959196461509244</v>
      </c>
      <c r="Q17" s="49">
        <f t="shared" ca="1" si="5"/>
        <v>27.836228889814965</v>
      </c>
      <c r="R17" s="49">
        <f t="shared" ca="1" si="5"/>
        <v>53.758155655948975</v>
      </c>
      <c r="S17" s="49">
        <f t="shared" ca="1" si="5"/>
        <v>19.38398843957053</v>
      </c>
      <c r="T17" s="49">
        <f t="shared" ca="1" si="5"/>
        <v>35.630984519760609</v>
      </c>
      <c r="U17" s="49">
        <f t="shared" ca="1" si="5"/>
        <v>13.682865936218722</v>
      </c>
    </row>
    <row r="18" spans="1:21">
      <c r="B18" s="50" t="s">
        <v>599</v>
      </c>
      <c r="C18" s="49">
        <f ca="1">SLOPE(C17:U17,C16:U16)</f>
        <v>9.5018674015050486</v>
      </c>
    </row>
    <row r="19" spans="1:21">
      <c r="B19" s="50" t="s">
        <v>600</v>
      </c>
      <c r="C19" s="49">
        <f ca="1">INTERCEPT(C17:U17,C16:U16)</f>
        <v>18.580982300548548</v>
      </c>
    </row>
    <row r="20" spans="1:21">
      <c r="B20" s="50" t="s">
        <v>601</v>
      </c>
      <c r="C20" s="49">
        <f ca="1">CORREL(C17:U17,C16:U16)</f>
        <v>0.69887406451710832</v>
      </c>
    </row>
    <row r="21" spans="1:21">
      <c r="B21" s="50"/>
    </row>
    <row r="22" spans="1:21">
      <c r="A22" s="51" t="s">
        <v>602</v>
      </c>
      <c r="B22" s="50"/>
    </row>
    <row r="23" spans="1:21">
      <c r="B23" s="50" t="s">
        <v>603</v>
      </c>
      <c r="C23" s="49">
        <f ca="1">IF(ISERROR(C13),"",(C13*$C$18)+$C$19)</f>
        <v>28.082849702053597</v>
      </c>
      <c r="D23" s="49">
        <f t="shared" ref="D23:U23" ca="1" si="6">IF(ISERROR(D13),"",(D13*$C$18)+$C$19)</f>
        <v>47.086584505063698</v>
      </c>
      <c r="E23" s="49">
        <f t="shared" ca="1" si="6"/>
        <v>56.588451906568743</v>
      </c>
      <c r="F23" s="49">
        <f t="shared" ca="1" si="6"/>
        <v>37.584717103558646</v>
      </c>
      <c r="G23" s="49">
        <f t="shared" ca="1" si="6"/>
        <v>37.584717103558646</v>
      </c>
      <c r="H23" s="49">
        <f t="shared" ca="1" si="6"/>
        <v>28.082849702053597</v>
      </c>
      <c r="I23" s="49">
        <f t="shared" ca="1" si="6"/>
        <v>28.082849702053597</v>
      </c>
      <c r="J23" s="49">
        <f t="shared" ca="1" si="6"/>
        <v>37.584717103558646</v>
      </c>
      <c r="K23" s="49">
        <f t="shared" ca="1" si="6"/>
        <v>18.580982300548548</v>
      </c>
      <c r="L23" s="49">
        <f t="shared" ca="1" si="6"/>
        <v>18.580982300548548</v>
      </c>
      <c r="M23" s="49">
        <f t="shared" ca="1" si="6"/>
        <v>18.580982300548548</v>
      </c>
      <c r="N23" s="49">
        <f t="shared" ca="1" si="6"/>
        <v>47.086584505063698</v>
      </c>
      <c r="O23" s="49">
        <f t="shared" ca="1" si="6"/>
        <v>18.580982300548548</v>
      </c>
      <c r="P23" s="49">
        <f t="shared" ca="1" si="6"/>
        <v>37.584717103558646</v>
      </c>
      <c r="Q23" s="49">
        <f t="shared" ca="1" si="6"/>
        <v>28.082849702053597</v>
      </c>
      <c r="R23" s="49">
        <f t="shared" ca="1" si="6"/>
        <v>37.584717103558646</v>
      </c>
      <c r="S23" s="49">
        <f t="shared" ca="1" si="6"/>
        <v>37.584717103558646</v>
      </c>
      <c r="T23" s="49">
        <f t="shared" ca="1" si="6"/>
        <v>28.082849702053597</v>
      </c>
      <c r="U23" s="49">
        <f t="shared" ca="1" si="6"/>
        <v>28.082849702053597</v>
      </c>
    </row>
    <row r="24" spans="1:21">
      <c r="B24" s="50" t="s">
        <v>604</v>
      </c>
      <c r="C24" s="49">
        <f ca="1">IF(ISERROR(C14),"",C23-C14)</f>
        <v>4.6277614298048384</v>
      </c>
      <c r="D24" s="49">
        <f t="shared" ref="D24:U24" ca="1" si="7">IF(ISERROR(D14),"",D23-D14)</f>
        <v>-13.62512788308554</v>
      </c>
      <c r="E24" s="49">
        <f t="shared" ca="1" si="7"/>
        <v>-8.6982417726370258</v>
      </c>
      <c r="F24" s="49">
        <f t="shared" ca="1" si="7"/>
        <v>-4.7894648705855118</v>
      </c>
      <c r="G24" s="49">
        <f t="shared" ca="1" si="7"/>
        <v>-4.3223043470117517</v>
      </c>
      <c r="H24" s="49">
        <f t="shared" ca="1" si="7"/>
        <v>4.4657398070163374</v>
      </c>
      <c r="I24" s="49">
        <f t="shared" ca="1" si="7"/>
        <v>13.360325266970179</v>
      </c>
      <c r="J24" s="49">
        <f t="shared" ca="1" si="7"/>
        <v>15.766503373795487</v>
      </c>
      <c r="K24" s="49">
        <f t="shared" ca="1" si="7"/>
        <v>-3.3748505452422322</v>
      </c>
      <c r="L24" s="49">
        <f t="shared" ca="1" si="7"/>
        <v>-14.709078261999373</v>
      </c>
      <c r="M24" s="49">
        <f t="shared" ca="1" si="7"/>
        <v>-13.046635718666778</v>
      </c>
      <c r="N24" s="49">
        <f t="shared" ca="1" si="7"/>
        <v>2.5003215519853725</v>
      </c>
      <c r="O24" s="49">
        <f t="shared" ca="1" si="7"/>
        <v>2.0937714556423472</v>
      </c>
      <c r="P24" s="49">
        <f t="shared" ca="1" si="7"/>
        <v>10.625520642049402</v>
      </c>
      <c r="Q24" s="49">
        <f t="shared" ca="1" si="7"/>
        <v>0.24662081223863197</v>
      </c>
      <c r="R24" s="49">
        <f t="shared" ca="1" si="7"/>
        <v>-16.17343855239033</v>
      </c>
      <c r="S24" s="49">
        <f t="shared" ca="1" si="7"/>
        <v>18.200728663988116</v>
      </c>
      <c r="T24" s="49">
        <f t="shared" ca="1" si="7"/>
        <v>-7.5481348177070124</v>
      </c>
      <c r="U24" s="49">
        <f t="shared" ca="1" si="7"/>
        <v>14.399983765834875</v>
      </c>
    </row>
    <row r="27" spans="1:21">
      <c r="A27" s="51" t="s">
        <v>605</v>
      </c>
    </row>
    <row r="28" spans="1:21">
      <c r="A28" s="49" t="s">
        <v>606</v>
      </c>
      <c r="B28" s="49" t="s">
        <v>597</v>
      </c>
      <c r="C28" s="49">
        <f ca="1">IF(C$12&gt;0,NA(),C13)</f>
        <v>1</v>
      </c>
      <c r="D28" s="49">
        <f t="shared" ref="D28:U29" ca="1" si="8">IF(D$12&gt;0,NA(),D13)</f>
        <v>3</v>
      </c>
      <c r="E28" s="49">
        <f t="shared" ca="1" si="8"/>
        <v>4</v>
      </c>
      <c r="F28" s="49">
        <f t="shared" ca="1" si="8"/>
        <v>2</v>
      </c>
      <c r="G28" s="49">
        <f t="shared" ca="1" si="8"/>
        <v>2</v>
      </c>
      <c r="H28" s="49">
        <f t="shared" ca="1" si="8"/>
        <v>1</v>
      </c>
      <c r="I28" s="49">
        <f t="shared" ca="1" si="8"/>
        <v>1</v>
      </c>
      <c r="J28" s="49">
        <f t="shared" ca="1" si="8"/>
        <v>2</v>
      </c>
      <c r="K28" s="49">
        <f t="shared" ca="1" si="8"/>
        <v>0</v>
      </c>
      <c r="L28" s="49">
        <f t="shared" ca="1" si="8"/>
        <v>0</v>
      </c>
      <c r="M28" s="49">
        <f t="shared" ca="1" si="8"/>
        <v>0</v>
      </c>
      <c r="N28" s="49">
        <f t="shared" ca="1" si="8"/>
        <v>3</v>
      </c>
      <c r="O28" s="49">
        <f t="shared" ca="1" si="8"/>
        <v>0</v>
      </c>
      <c r="P28" s="49">
        <f t="shared" ca="1" si="8"/>
        <v>2</v>
      </c>
      <c r="Q28" s="49">
        <f t="shared" ca="1" si="8"/>
        <v>1</v>
      </c>
      <c r="R28" s="49">
        <f t="shared" ca="1" si="8"/>
        <v>2</v>
      </c>
      <c r="S28" s="49">
        <f t="shared" ca="1" si="8"/>
        <v>2</v>
      </c>
      <c r="T28" s="49">
        <f t="shared" ca="1" si="8"/>
        <v>1</v>
      </c>
      <c r="U28" s="49">
        <f t="shared" ca="1" si="8"/>
        <v>1</v>
      </c>
    </row>
    <row r="29" spans="1:21">
      <c r="B29" s="49" t="s">
        <v>598</v>
      </c>
      <c r="C29" s="49">
        <f ca="1">IF(C$12&gt;0,NA(),C14)</f>
        <v>23.455088272248759</v>
      </c>
      <c r="D29" s="49">
        <f t="shared" ca="1" si="8"/>
        <v>60.711712388149238</v>
      </c>
      <c r="E29" s="49">
        <f t="shared" ca="1" si="8"/>
        <v>65.286693679205769</v>
      </c>
      <c r="F29" s="49">
        <f t="shared" ca="1" si="8"/>
        <v>42.374181974144157</v>
      </c>
      <c r="G29" s="49">
        <f t="shared" ca="1" si="8"/>
        <v>41.907021450570397</v>
      </c>
      <c r="H29" s="49">
        <f t="shared" ca="1" si="8"/>
        <v>23.61710989503726</v>
      </c>
      <c r="I29" s="49">
        <f t="shared" ca="1" si="8"/>
        <v>14.722524435083418</v>
      </c>
      <c r="J29" s="49">
        <f t="shared" ca="1" si="8"/>
        <v>21.818213729763158</v>
      </c>
      <c r="K29" s="49">
        <f t="shared" ca="1" si="8"/>
        <v>21.955832845790781</v>
      </c>
      <c r="L29" s="49">
        <f t="shared" ca="1" si="8"/>
        <v>33.290060562547922</v>
      </c>
      <c r="M29" s="49">
        <f t="shared" ca="1" si="8"/>
        <v>31.627618019215326</v>
      </c>
      <c r="N29" s="49">
        <f t="shared" ca="1" si="8"/>
        <v>44.586262953078325</v>
      </c>
      <c r="O29" s="49">
        <f t="shared" ca="1" si="8"/>
        <v>16.487210844906201</v>
      </c>
      <c r="P29" s="49">
        <f t="shared" ca="1" si="8"/>
        <v>26.959196461509244</v>
      </c>
      <c r="Q29" s="49">
        <f t="shared" ca="1" si="8"/>
        <v>27.836228889814965</v>
      </c>
      <c r="R29" s="49">
        <f t="shared" ca="1" si="8"/>
        <v>53.758155655948975</v>
      </c>
      <c r="S29" s="49">
        <f t="shared" ca="1" si="8"/>
        <v>19.38398843957053</v>
      </c>
      <c r="T29" s="49">
        <f t="shared" ca="1" si="8"/>
        <v>35.630984519760609</v>
      </c>
      <c r="U29" s="49">
        <f t="shared" ca="1" si="8"/>
        <v>13.682865936218722</v>
      </c>
    </row>
    <row r="31" spans="1:21">
      <c r="A31" s="51" t="s">
        <v>607</v>
      </c>
    </row>
    <row r="32" spans="1:21">
      <c r="B32" s="49" t="s">
        <v>597</v>
      </c>
      <c r="C32" s="49" t="e">
        <f ca="1">IF(C$12=1,C13,NA())</f>
        <v>#N/A</v>
      </c>
      <c r="D32" s="49" t="e">
        <f t="shared" ref="D32:U33" ca="1" si="9">IF(D$12=1,D13,NA())</f>
        <v>#N/A</v>
      </c>
      <c r="E32" s="49" t="e">
        <f t="shared" ca="1" si="9"/>
        <v>#N/A</v>
      </c>
      <c r="F32" s="49" t="e">
        <f t="shared" ca="1" si="9"/>
        <v>#N/A</v>
      </c>
      <c r="G32" s="49" t="e">
        <f t="shared" ca="1" si="9"/>
        <v>#N/A</v>
      </c>
      <c r="H32" s="49" t="e">
        <f t="shared" ca="1" si="9"/>
        <v>#N/A</v>
      </c>
      <c r="I32" s="49" t="e">
        <f t="shared" ca="1" si="9"/>
        <v>#N/A</v>
      </c>
      <c r="J32" s="49" t="e">
        <f t="shared" ca="1" si="9"/>
        <v>#N/A</v>
      </c>
      <c r="K32" s="49" t="e">
        <f t="shared" ca="1" si="9"/>
        <v>#N/A</v>
      </c>
      <c r="L32" s="49" t="e">
        <f t="shared" ca="1" si="9"/>
        <v>#N/A</v>
      </c>
      <c r="M32" s="49" t="e">
        <f t="shared" ca="1" si="9"/>
        <v>#N/A</v>
      </c>
      <c r="N32" s="49" t="e">
        <f t="shared" ca="1" si="9"/>
        <v>#N/A</v>
      </c>
      <c r="O32" s="49" t="e">
        <f t="shared" ca="1" si="9"/>
        <v>#N/A</v>
      </c>
      <c r="P32" s="49" t="e">
        <f t="shared" ca="1" si="9"/>
        <v>#N/A</v>
      </c>
      <c r="Q32" s="49" t="e">
        <f t="shared" ca="1" si="9"/>
        <v>#N/A</v>
      </c>
      <c r="R32" s="49" t="e">
        <f t="shared" ca="1" si="9"/>
        <v>#N/A</v>
      </c>
      <c r="S32" s="49" t="e">
        <f t="shared" ca="1" si="9"/>
        <v>#N/A</v>
      </c>
      <c r="T32" s="49" t="e">
        <f t="shared" ca="1" si="9"/>
        <v>#N/A</v>
      </c>
      <c r="U32" s="49" t="e">
        <f t="shared" ca="1" si="9"/>
        <v>#N/A</v>
      </c>
    </row>
    <row r="33" spans="1:21">
      <c r="B33" s="49" t="s">
        <v>598</v>
      </c>
      <c r="C33" s="49" t="e">
        <f ca="1">IF(C$12=1,C14,NA())</f>
        <v>#N/A</v>
      </c>
      <c r="D33" s="49" t="e">
        <f t="shared" ca="1" si="9"/>
        <v>#N/A</v>
      </c>
      <c r="E33" s="49" t="e">
        <f t="shared" ca="1" si="9"/>
        <v>#N/A</v>
      </c>
      <c r="F33" s="49" t="e">
        <f t="shared" ca="1" si="9"/>
        <v>#N/A</v>
      </c>
      <c r="G33" s="49" t="e">
        <f t="shared" ca="1" si="9"/>
        <v>#N/A</v>
      </c>
      <c r="H33" s="49" t="e">
        <f t="shared" ca="1" si="9"/>
        <v>#N/A</v>
      </c>
      <c r="I33" s="49" t="e">
        <f t="shared" ca="1" si="9"/>
        <v>#N/A</v>
      </c>
      <c r="J33" s="49" t="e">
        <f t="shared" ca="1" si="9"/>
        <v>#N/A</v>
      </c>
      <c r="K33" s="49" t="e">
        <f t="shared" ca="1" si="9"/>
        <v>#N/A</v>
      </c>
      <c r="L33" s="49" t="e">
        <f t="shared" ca="1" si="9"/>
        <v>#N/A</v>
      </c>
      <c r="M33" s="49" t="e">
        <f t="shared" ca="1" si="9"/>
        <v>#N/A</v>
      </c>
      <c r="N33" s="49" t="e">
        <f t="shared" ca="1" si="9"/>
        <v>#N/A</v>
      </c>
      <c r="O33" s="49" t="e">
        <f t="shared" ca="1" si="9"/>
        <v>#N/A</v>
      </c>
      <c r="P33" s="49" t="e">
        <f t="shared" ca="1" si="9"/>
        <v>#N/A</v>
      </c>
      <c r="Q33" s="49" t="e">
        <f t="shared" ca="1" si="9"/>
        <v>#N/A</v>
      </c>
      <c r="R33" s="49" t="e">
        <f t="shared" ca="1" si="9"/>
        <v>#N/A</v>
      </c>
      <c r="S33" s="49" t="e">
        <f t="shared" ca="1" si="9"/>
        <v>#N/A</v>
      </c>
      <c r="T33" s="49" t="e">
        <f t="shared" ca="1" si="9"/>
        <v>#N/A</v>
      </c>
      <c r="U33" s="49" t="e">
        <f t="shared" ca="1" si="9"/>
        <v>#N/A</v>
      </c>
    </row>
    <row r="35" spans="1:21">
      <c r="A35" s="51" t="s">
        <v>676</v>
      </c>
      <c r="C35" s="49">
        <f ca="1">IF(OR(C10=$C$46,C10=$D$46,C10=$C$39),0,1)</f>
        <v>1</v>
      </c>
      <c r="D35" s="49">
        <f t="shared" ref="D35:U35" ca="1" si="10">IF(OR(D10=$C$46,D10=$D$46,D10=$C$39),0,1)</f>
        <v>1</v>
      </c>
      <c r="E35" s="49">
        <f t="shared" ca="1" si="10"/>
        <v>1</v>
      </c>
      <c r="F35" s="49">
        <f t="shared" ca="1" si="10"/>
        <v>1</v>
      </c>
      <c r="G35" s="49">
        <f t="shared" ca="1" si="10"/>
        <v>1</v>
      </c>
      <c r="H35" s="49">
        <f t="shared" ca="1" si="10"/>
        <v>1</v>
      </c>
      <c r="I35" s="49">
        <f t="shared" ca="1" si="10"/>
        <v>1</v>
      </c>
      <c r="J35" s="49">
        <f t="shared" ca="1" si="10"/>
        <v>1</v>
      </c>
      <c r="K35" s="49">
        <f t="shared" ca="1" si="10"/>
        <v>1</v>
      </c>
      <c r="L35" s="49">
        <f t="shared" ca="1" si="10"/>
        <v>1</v>
      </c>
      <c r="M35" s="49">
        <f t="shared" ca="1" si="10"/>
        <v>1</v>
      </c>
      <c r="N35" s="49">
        <f t="shared" ca="1" si="10"/>
        <v>0</v>
      </c>
      <c r="O35" s="49">
        <f t="shared" ca="1" si="10"/>
        <v>1</v>
      </c>
      <c r="P35" s="49">
        <f t="shared" ca="1" si="10"/>
        <v>1</v>
      </c>
      <c r="Q35" s="49">
        <f t="shared" ca="1" si="10"/>
        <v>1</v>
      </c>
      <c r="R35" s="49">
        <f t="shared" ca="1" si="10"/>
        <v>1</v>
      </c>
      <c r="S35" s="49">
        <f t="shared" ca="1" si="10"/>
        <v>1</v>
      </c>
      <c r="T35" s="49">
        <f t="shared" ca="1" si="10"/>
        <v>1</v>
      </c>
      <c r="U35" s="49">
        <f t="shared" ca="1" si="10"/>
        <v>1</v>
      </c>
    </row>
    <row r="36" spans="1:21">
      <c r="C36" s="49" t="e">
        <f ca="1">IF(AND($B$6=TRUE,C$35=1),C32,NA())</f>
        <v>#N/A</v>
      </c>
      <c r="D36" s="49" t="e">
        <f t="shared" ref="D36:I36" ca="1" si="11">IF(AND($B$6=TRUE,D$35=1),D32,NA())</f>
        <v>#N/A</v>
      </c>
      <c r="E36" s="49" t="e">
        <f t="shared" ca="1" si="11"/>
        <v>#N/A</v>
      </c>
      <c r="F36" s="49" t="e">
        <f t="shared" ca="1" si="11"/>
        <v>#N/A</v>
      </c>
      <c r="G36" s="49" t="e">
        <f t="shared" ca="1" si="11"/>
        <v>#N/A</v>
      </c>
      <c r="H36" s="49" t="e">
        <f t="shared" ca="1" si="11"/>
        <v>#N/A</v>
      </c>
      <c r="I36" s="49" t="e">
        <f t="shared" ca="1" si="11"/>
        <v>#N/A</v>
      </c>
      <c r="J36" s="49" t="e">
        <f t="shared" ref="J36:U36" ca="1" si="12">IF(AND($B$6=TRUE,J$35=1),J32,NA())</f>
        <v>#N/A</v>
      </c>
      <c r="K36" s="49" t="e">
        <f t="shared" ca="1" si="12"/>
        <v>#N/A</v>
      </c>
      <c r="L36" s="49" t="e">
        <f t="shared" ca="1" si="12"/>
        <v>#N/A</v>
      </c>
      <c r="M36" s="49" t="e">
        <f t="shared" ca="1" si="12"/>
        <v>#N/A</v>
      </c>
      <c r="N36" s="49" t="e">
        <f t="shared" ca="1" si="12"/>
        <v>#N/A</v>
      </c>
      <c r="O36" s="49" t="e">
        <f t="shared" ca="1" si="12"/>
        <v>#N/A</v>
      </c>
      <c r="P36" s="49" t="e">
        <f t="shared" ca="1" si="12"/>
        <v>#N/A</v>
      </c>
      <c r="Q36" s="49" t="e">
        <f t="shared" ca="1" si="12"/>
        <v>#N/A</v>
      </c>
      <c r="R36" s="49" t="e">
        <f t="shared" ca="1" si="12"/>
        <v>#N/A</v>
      </c>
      <c r="S36" s="49" t="e">
        <f t="shared" ca="1" si="12"/>
        <v>#N/A</v>
      </c>
      <c r="T36" s="49" t="e">
        <f t="shared" ca="1" si="12"/>
        <v>#N/A</v>
      </c>
      <c r="U36" s="49" t="e">
        <f t="shared" ca="1" si="12"/>
        <v>#N/A</v>
      </c>
    </row>
    <row r="37" spans="1:21">
      <c r="C37" s="49" t="e">
        <f ca="1">IF(AND($B$6=TRUE,C$35=1),C33,NA())</f>
        <v>#N/A</v>
      </c>
      <c r="D37" s="49" t="e">
        <f t="shared" ref="D37:I37" ca="1" si="13">IF(AND($B$6=TRUE,D$35=1),D33,NA())</f>
        <v>#N/A</v>
      </c>
      <c r="E37" s="49" t="e">
        <f t="shared" ca="1" si="13"/>
        <v>#N/A</v>
      </c>
      <c r="F37" s="49" t="e">
        <f t="shared" ca="1" si="13"/>
        <v>#N/A</v>
      </c>
      <c r="G37" s="49" t="e">
        <f t="shared" ca="1" si="13"/>
        <v>#N/A</v>
      </c>
      <c r="H37" s="49" t="e">
        <f t="shared" ca="1" si="13"/>
        <v>#N/A</v>
      </c>
      <c r="I37" s="49" t="e">
        <f t="shared" ca="1" si="13"/>
        <v>#N/A</v>
      </c>
      <c r="J37" s="49" t="e">
        <f t="shared" ref="J37:U37" ca="1" si="14">IF(AND($B$6=TRUE,J$35=1),J33,NA())</f>
        <v>#N/A</v>
      </c>
      <c r="K37" s="49" t="e">
        <f t="shared" ca="1" si="14"/>
        <v>#N/A</v>
      </c>
      <c r="L37" s="49" t="e">
        <f t="shared" ca="1" si="14"/>
        <v>#N/A</v>
      </c>
      <c r="M37" s="49" t="e">
        <f t="shared" ca="1" si="14"/>
        <v>#N/A</v>
      </c>
      <c r="N37" s="49" t="e">
        <f t="shared" ca="1" si="14"/>
        <v>#N/A</v>
      </c>
      <c r="O37" s="49" t="e">
        <f t="shared" ca="1" si="14"/>
        <v>#N/A</v>
      </c>
      <c r="P37" s="49" t="e">
        <f t="shared" ca="1" si="14"/>
        <v>#N/A</v>
      </c>
      <c r="Q37" s="49" t="e">
        <f t="shared" ca="1" si="14"/>
        <v>#N/A</v>
      </c>
      <c r="R37" s="49" t="e">
        <f t="shared" ca="1" si="14"/>
        <v>#N/A</v>
      </c>
      <c r="S37" s="49" t="e">
        <f t="shared" ca="1" si="14"/>
        <v>#N/A</v>
      </c>
      <c r="T37" s="49" t="e">
        <f t="shared" ca="1" si="14"/>
        <v>#N/A</v>
      </c>
      <c r="U37" s="49" t="e">
        <f t="shared" ca="1" si="14"/>
        <v>#N/A</v>
      </c>
    </row>
    <row r="39" spans="1:21">
      <c r="A39" s="51" t="s">
        <v>608</v>
      </c>
      <c r="C39" s="49" t="str">
        <f>C4</f>
        <v>Mexico</v>
      </c>
    </row>
    <row r="40" spans="1:21">
      <c r="B40" s="49" t="s">
        <v>597</v>
      </c>
      <c r="C40" s="49">
        <f ca="1">INDEX(C13:U13,0,$B$4)</f>
        <v>3</v>
      </c>
    </row>
    <row r="41" spans="1:21">
      <c r="B41" s="49" t="s">
        <v>598</v>
      </c>
      <c r="C41" s="49">
        <f ca="1">INDEX(C14:U14,0,$B$4)</f>
        <v>44.586262953078325</v>
      </c>
    </row>
    <row r="43" spans="1:21">
      <c r="C43" s="50" t="s">
        <v>609</v>
      </c>
      <c r="D43" s="50" t="s">
        <v>610</v>
      </c>
    </row>
    <row r="44" spans="1:21">
      <c r="A44" s="51" t="s">
        <v>611</v>
      </c>
      <c r="C44" s="49">
        <f ca="1">MAX(C24:U24)</f>
        <v>18.200728663988116</v>
      </c>
      <c r="D44" s="49">
        <f ca="1">MIN(C24:U24)</f>
        <v>-16.17343855239033</v>
      </c>
    </row>
    <row r="45" spans="1:21">
      <c r="C45" s="49">
        <f ca="1">MATCH(C44,C24:U24,0)</f>
        <v>17</v>
      </c>
      <c r="D45" s="49">
        <f ca="1">MATCH(D44,C24:U24,0)</f>
        <v>16</v>
      </c>
    </row>
    <row r="46" spans="1:21">
      <c r="C46" s="49" t="str">
        <f ca="1">IF(OR(NOT(B5),C44&lt;=0),"",INDEX(C10:U10,0,C45))</f>
        <v/>
      </c>
      <c r="D46" s="49" t="str">
        <f ca="1">IF(OR(NOT(B5),D44&gt;=0),"",INDEX(C10:U10,0,D45))</f>
        <v/>
      </c>
    </row>
    <row r="47" spans="1:21">
      <c r="C47" s="49" t="e">
        <f ca="1">IF(C46="",NA(),INDEX(C13:U13,0,C45))</f>
        <v>#N/A</v>
      </c>
      <c r="D47" s="49" t="e">
        <f ca="1">IF(D46="",NA(),INDEX(C13:U13,0,D45))</f>
        <v>#N/A</v>
      </c>
    </row>
    <row r="48" spans="1:21">
      <c r="C48" s="49" t="e">
        <f ca="1">IF(C46="",NA(),INDEX(C14:U14,0,C45))</f>
        <v>#N/A</v>
      </c>
      <c r="D48" s="49" t="e">
        <f ca="1">IF(D46="",NA(),INDEX(C14:U14,0,D45))</f>
        <v>#N/A</v>
      </c>
    </row>
  </sheetData>
  <phoneticPr fontId="33" type="noConversion"/>
  <pageMargins left="0.7" right="0.7" top="0.75" bottom="0.75" header="0.3" footer="0.3"/>
</worksheet>
</file>

<file path=xl/worksheets/sheet22.xml><?xml version="1.0" encoding="utf-8"?>
<worksheet xmlns="http://schemas.openxmlformats.org/spreadsheetml/2006/main" xmlns:r="http://schemas.openxmlformats.org/officeDocument/2006/relationships">
  <sheetPr codeName="Sheet9"/>
  <dimension ref="A1:V167"/>
  <sheetViews>
    <sheetView workbookViewId="0">
      <selection activeCell="G167" sqref="G167"/>
    </sheetView>
  </sheetViews>
  <sheetFormatPr defaultRowHeight="12.75"/>
  <cols>
    <col min="5" max="5" width="15.5703125" customWidth="1"/>
    <col min="8" max="8" width="12" customWidth="1"/>
  </cols>
  <sheetData>
    <row r="1" spans="1:19">
      <c r="A1" s="57" t="s">
        <v>509</v>
      </c>
      <c r="B1">
        <f ca="1">uxb_works!B21</f>
        <v>12</v>
      </c>
    </row>
    <row r="2" spans="1:19">
      <c r="A2" s="57" t="s">
        <v>511</v>
      </c>
      <c r="B2" t="str">
        <f ca="1">uxb_works!B22</f>
        <v>Mexico</v>
      </c>
    </row>
    <row r="3" spans="1:19">
      <c r="A3" s="57" t="s">
        <v>221</v>
      </c>
      <c r="B3">
        <f>IF(OR($B$1=H5,B1=I5,B1=J5,B1=K5,B1=L5,B1=M5,B1=N5),1,0)</f>
        <v>0</v>
      </c>
    </row>
    <row r="4" spans="1:19">
      <c r="B4" s="6" t="s">
        <v>651</v>
      </c>
    </row>
    <row r="5" spans="1:19">
      <c r="F5">
        <f>B1</f>
        <v>12</v>
      </c>
      <c r="H5">
        <v>47</v>
      </c>
      <c r="I5">
        <v>37</v>
      </c>
      <c r="J5">
        <v>51</v>
      </c>
      <c r="K5">
        <v>5</v>
      </c>
      <c r="L5">
        <v>48</v>
      </c>
      <c r="M5">
        <v>50</v>
      </c>
      <c r="N5">
        <v>49</v>
      </c>
      <c r="Q5">
        <v>1</v>
      </c>
      <c r="R5" t="e">
        <f>MATCH(Q5,$P$22:$V$22,0)</f>
        <v>#N/A</v>
      </c>
      <c r="S5" t="e">
        <f>INDEX($P$76:$V$76,R5)</f>
        <v>#N/A</v>
      </c>
    </row>
    <row r="6" spans="1:19">
      <c r="B6" s="57" t="s">
        <v>647</v>
      </c>
      <c r="C6" s="57" t="s">
        <v>648</v>
      </c>
      <c r="D6" s="57" t="s">
        <v>649</v>
      </c>
      <c r="E6" s="57"/>
      <c r="F6">
        <f ca="1">INDEX(cityName,F5)</f>
        <v>0</v>
      </c>
      <c r="H6" t="e">
        <f t="shared" ref="H6:N6" ca="1" si="0">INDEX(cityName,H5)</f>
        <v>#REF!</v>
      </c>
      <c r="I6" t="e">
        <f t="shared" ca="1" si="0"/>
        <v>#REF!</v>
      </c>
      <c r="J6" t="e">
        <f t="shared" ca="1" si="0"/>
        <v>#REF!</v>
      </c>
      <c r="K6">
        <f t="shared" ca="1" si="0"/>
        <v>0</v>
      </c>
      <c r="L6" t="e">
        <f t="shared" ca="1" si="0"/>
        <v>#REF!</v>
      </c>
      <c r="M6" t="e">
        <f t="shared" ca="1" si="0"/>
        <v>#REF!</v>
      </c>
      <c r="N6" t="e">
        <f t="shared" ca="1" si="0"/>
        <v>#REF!</v>
      </c>
      <c r="Q6">
        <v>2</v>
      </c>
      <c r="R6" t="e">
        <f t="shared" ref="R6:R11" si="1">MATCH(Q6,$P$22:$V$22,0)</f>
        <v>#N/A</v>
      </c>
      <c r="S6" t="e">
        <f t="shared" ref="S6:S11" si="2">INDEX($P$76:$V$76,R6)</f>
        <v>#N/A</v>
      </c>
    </row>
    <row r="7" spans="1:19">
      <c r="A7" s="27"/>
      <c r="B7" s="4" t="s">
        <v>641</v>
      </c>
      <c r="C7" t="e">
        <f t="shared" ref="C7:C16" ca="1" si="3">MATCH(B7,score_indicode,0)</f>
        <v>#N/A</v>
      </c>
      <c r="D7">
        <f t="shared" ref="D7:D16" ca="1" si="4">MATCH(B7,indi_code,0)</f>
        <v>34</v>
      </c>
      <c r="E7" t="str">
        <f t="shared" ref="E7:E16" ca="1" si="5">INDEX(indi_short,D7)</f>
        <v>Fairness of judicial process</v>
      </c>
      <c r="F7" t="e">
        <f t="shared" ref="F7:F127" ca="1" si="6">INDEX(data,$C7,F$5)</f>
        <v>#N/A</v>
      </c>
      <c r="H7" s="48" t="e">
        <f t="shared" ref="H7:N16" ca="1" si="7">INDEX(data,$C7,H$5)</f>
        <v>#N/A</v>
      </c>
      <c r="I7" s="48" t="e">
        <f t="shared" ca="1" si="7"/>
        <v>#N/A</v>
      </c>
      <c r="J7" s="48" t="e">
        <f t="shared" ca="1" si="7"/>
        <v>#N/A</v>
      </c>
      <c r="K7" s="48" t="e">
        <f t="shared" ca="1" si="7"/>
        <v>#N/A</v>
      </c>
      <c r="L7" s="48" t="e">
        <f t="shared" ca="1" si="7"/>
        <v>#N/A</v>
      </c>
      <c r="M7" s="48" t="e">
        <f t="shared" ca="1" si="7"/>
        <v>#N/A</v>
      </c>
      <c r="N7" s="48" t="e">
        <f t="shared" ca="1" si="7"/>
        <v>#N/A</v>
      </c>
      <c r="Q7">
        <v>3</v>
      </c>
      <c r="R7" t="e">
        <f t="shared" si="1"/>
        <v>#N/A</v>
      </c>
      <c r="S7" t="e">
        <f t="shared" si="2"/>
        <v>#N/A</v>
      </c>
    </row>
    <row r="8" spans="1:19">
      <c r="A8" s="27"/>
      <c r="B8" s="4" t="s">
        <v>541</v>
      </c>
      <c r="C8" t="e">
        <f t="shared" ca="1" si="3"/>
        <v>#N/A</v>
      </c>
      <c r="D8" t="e">
        <f t="shared" ca="1" si="4"/>
        <v>#N/A</v>
      </c>
      <c r="E8" t="e">
        <f t="shared" ca="1" si="5"/>
        <v>#N/A</v>
      </c>
      <c r="F8" t="e">
        <f t="shared" ca="1" si="6"/>
        <v>#N/A</v>
      </c>
      <c r="H8" t="e">
        <f t="shared" ca="1" si="7"/>
        <v>#N/A</v>
      </c>
      <c r="I8" t="e">
        <f t="shared" ca="1" si="7"/>
        <v>#N/A</v>
      </c>
      <c r="J8" t="e">
        <f t="shared" ca="1" si="7"/>
        <v>#N/A</v>
      </c>
      <c r="K8" t="e">
        <f t="shared" ca="1" si="7"/>
        <v>#N/A</v>
      </c>
      <c r="L8" t="e">
        <f t="shared" ca="1" si="7"/>
        <v>#N/A</v>
      </c>
      <c r="M8" t="e">
        <f t="shared" ca="1" si="7"/>
        <v>#N/A</v>
      </c>
      <c r="N8" t="e">
        <f t="shared" ca="1" si="7"/>
        <v>#N/A</v>
      </c>
      <c r="Q8">
        <v>4</v>
      </c>
      <c r="R8" t="e">
        <f t="shared" si="1"/>
        <v>#N/A</v>
      </c>
      <c r="S8" t="e">
        <f t="shared" si="2"/>
        <v>#N/A</v>
      </c>
    </row>
    <row r="9" spans="1:19">
      <c r="A9" s="27"/>
      <c r="B9" s="4" t="s">
        <v>643</v>
      </c>
      <c r="C9" t="e">
        <f t="shared" ca="1" si="3"/>
        <v>#N/A</v>
      </c>
      <c r="D9">
        <f t="shared" ca="1" si="4"/>
        <v>35</v>
      </c>
      <c r="E9" t="str">
        <f t="shared" ca="1" si="5"/>
        <v>Speediness of judicial process</v>
      </c>
      <c r="F9" t="e">
        <f t="shared" ca="1" si="6"/>
        <v>#N/A</v>
      </c>
      <c r="H9" t="e">
        <f t="shared" ca="1" si="7"/>
        <v>#N/A</v>
      </c>
      <c r="I9" t="e">
        <f t="shared" ca="1" si="7"/>
        <v>#N/A</v>
      </c>
      <c r="J9" t="e">
        <f t="shared" ca="1" si="7"/>
        <v>#N/A</v>
      </c>
      <c r="K9" t="e">
        <f t="shared" ca="1" si="7"/>
        <v>#N/A</v>
      </c>
      <c r="L9" t="e">
        <f t="shared" ca="1" si="7"/>
        <v>#N/A</v>
      </c>
      <c r="M9" t="e">
        <f t="shared" ca="1" si="7"/>
        <v>#N/A</v>
      </c>
      <c r="N9" t="e">
        <f t="shared" ca="1" si="7"/>
        <v>#N/A</v>
      </c>
      <c r="Q9">
        <v>5</v>
      </c>
      <c r="R9" t="e">
        <f t="shared" si="1"/>
        <v>#N/A</v>
      </c>
      <c r="S9" t="e">
        <f t="shared" si="2"/>
        <v>#N/A</v>
      </c>
    </row>
    <row r="10" spans="1:19">
      <c r="A10" s="27"/>
      <c r="B10" s="4" t="s">
        <v>540</v>
      </c>
      <c r="C10" t="e">
        <f t="shared" ca="1" si="3"/>
        <v>#N/A</v>
      </c>
      <c r="D10" t="e">
        <f t="shared" ca="1" si="4"/>
        <v>#N/A</v>
      </c>
      <c r="E10" t="e">
        <f t="shared" ca="1" si="5"/>
        <v>#N/A</v>
      </c>
      <c r="F10" t="e">
        <f t="shared" ca="1" si="6"/>
        <v>#N/A</v>
      </c>
      <c r="H10" t="e">
        <f t="shared" ca="1" si="7"/>
        <v>#N/A</v>
      </c>
      <c r="I10" t="e">
        <f t="shared" ca="1" si="7"/>
        <v>#N/A</v>
      </c>
      <c r="J10" t="e">
        <f t="shared" ca="1" si="7"/>
        <v>#N/A</v>
      </c>
      <c r="K10" t="e">
        <f t="shared" ca="1" si="7"/>
        <v>#N/A</v>
      </c>
      <c r="L10" t="e">
        <f t="shared" ca="1" si="7"/>
        <v>#N/A</v>
      </c>
      <c r="M10" t="e">
        <f t="shared" ca="1" si="7"/>
        <v>#N/A</v>
      </c>
      <c r="N10" t="e">
        <f t="shared" ca="1" si="7"/>
        <v>#N/A</v>
      </c>
      <c r="Q10">
        <v>6</v>
      </c>
      <c r="R10" t="e">
        <f t="shared" si="1"/>
        <v>#N/A</v>
      </c>
      <c r="S10" t="e">
        <f t="shared" si="2"/>
        <v>#N/A</v>
      </c>
    </row>
    <row r="11" spans="1:19">
      <c r="A11" s="27"/>
      <c r="B11" s="4" t="s">
        <v>543</v>
      </c>
      <c r="C11" t="e">
        <f t="shared" ca="1" si="3"/>
        <v>#N/A</v>
      </c>
      <c r="D11" t="e">
        <f t="shared" ca="1" si="4"/>
        <v>#N/A</v>
      </c>
      <c r="E11" t="e">
        <f t="shared" ca="1" si="5"/>
        <v>#N/A</v>
      </c>
      <c r="F11" t="e">
        <f t="shared" ca="1" si="6"/>
        <v>#N/A</v>
      </c>
      <c r="H11" t="e">
        <f t="shared" ca="1" si="7"/>
        <v>#N/A</v>
      </c>
      <c r="I11" t="e">
        <f t="shared" ca="1" si="7"/>
        <v>#N/A</v>
      </c>
      <c r="J11" t="e">
        <f t="shared" ca="1" si="7"/>
        <v>#N/A</v>
      </c>
      <c r="K11" t="e">
        <f t="shared" ca="1" si="7"/>
        <v>#N/A</v>
      </c>
      <c r="L11" t="e">
        <f t="shared" ca="1" si="7"/>
        <v>#N/A</v>
      </c>
      <c r="M11" t="e">
        <f t="shared" ca="1" si="7"/>
        <v>#N/A</v>
      </c>
      <c r="N11" t="e">
        <f t="shared" ca="1" si="7"/>
        <v>#N/A</v>
      </c>
      <c r="Q11">
        <v>7</v>
      </c>
      <c r="R11" t="e">
        <f t="shared" si="1"/>
        <v>#N/A</v>
      </c>
      <c r="S11" t="e">
        <f t="shared" si="2"/>
        <v>#N/A</v>
      </c>
    </row>
    <row r="12" spans="1:19">
      <c r="A12" s="27"/>
      <c r="B12" s="4" t="s">
        <v>544</v>
      </c>
      <c r="C12" t="e">
        <f t="shared" ca="1" si="3"/>
        <v>#N/A</v>
      </c>
      <c r="D12" t="e">
        <f t="shared" ca="1" si="4"/>
        <v>#N/A</v>
      </c>
      <c r="E12" t="e">
        <f t="shared" ca="1" si="5"/>
        <v>#N/A</v>
      </c>
      <c r="F12" t="e">
        <f t="shared" ca="1" si="6"/>
        <v>#N/A</v>
      </c>
      <c r="H12" t="e">
        <f t="shared" ca="1" si="7"/>
        <v>#N/A</v>
      </c>
      <c r="I12" t="e">
        <f t="shared" ca="1" si="7"/>
        <v>#N/A</v>
      </c>
      <c r="J12" t="e">
        <f t="shared" ca="1" si="7"/>
        <v>#N/A</v>
      </c>
      <c r="K12" t="e">
        <f t="shared" ca="1" si="7"/>
        <v>#N/A</v>
      </c>
      <c r="L12" t="e">
        <f t="shared" ca="1" si="7"/>
        <v>#N/A</v>
      </c>
      <c r="M12" t="e">
        <f t="shared" ca="1" si="7"/>
        <v>#N/A</v>
      </c>
      <c r="N12" t="e">
        <f t="shared" ca="1" si="7"/>
        <v>#N/A</v>
      </c>
    </row>
    <row r="13" spans="1:19">
      <c r="A13" s="27"/>
      <c r="B13" s="4" t="s">
        <v>545</v>
      </c>
      <c r="C13" t="e">
        <f t="shared" ca="1" si="3"/>
        <v>#N/A</v>
      </c>
      <c r="D13" t="e">
        <f t="shared" ca="1" si="4"/>
        <v>#N/A</v>
      </c>
      <c r="E13" t="e">
        <f t="shared" ca="1" si="5"/>
        <v>#N/A</v>
      </c>
      <c r="F13" t="e">
        <f t="shared" ca="1" si="6"/>
        <v>#N/A</v>
      </c>
      <c r="H13" t="e">
        <f t="shared" ca="1" si="7"/>
        <v>#N/A</v>
      </c>
      <c r="I13" t="e">
        <f t="shared" ca="1" si="7"/>
        <v>#N/A</v>
      </c>
      <c r="J13" t="e">
        <f t="shared" ca="1" si="7"/>
        <v>#N/A</v>
      </c>
      <c r="K13" t="e">
        <f t="shared" ca="1" si="7"/>
        <v>#N/A</v>
      </c>
      <c r="L13" t="e">
        <f t="shared" ca="1" si="7"/>
        <v>#N/A</v>
      </c>
      <c r="M13" t="e">
        <f t="shared" ca="1" si="7"/>
        <v>#N/A</v>
      </c>
      <c r="N13" t="e">
        <f t="shared" ca="1" si="7"/>
        <v>#N/A</v>
      </c>
    </row>
    <row r="14" spans="1:19">
      <c r="A14" s="27"/>
      <c r="B14" s="4" t="s">
        <v>546</v>
      </c>
      <c r="C14" t="e">
        <f t="shared" ca="1" si="3"/>
        <v>#N/A</v>
      </c>
      <c r="D14" t="e">
        <f t="shared" ca="1" si="4"/>
        <v>#N/A</v>
      </c>
      <c r="E14" t="e">
        <f t="shared" ca="1" si="5"/>
        <v>#N/A</v>
      </c>
      <c r="F14" t="e">
        <f t="shared" ca="1" si="6"/>
        <v>#N/A</v>
      </c>
      <c r="H14" t="e">
        <f t="shared" ca="1" si="7"/>
        <v>#N/A</v>
      </c>
      <c r="I14" t="e">
        <f t="shared" ca="1" si="7"/>
        <v>#N/A</v>
      </c>
      <c r="J14" t="e">
        <f t="shared" ca="1" si="7"/>
        <v>#N/A</v>
      </c>
      <c r="K14" t="e">
        <f t="shared" ca="1" si="7"/>
        <v>#N/A</v>
      </c>
      <c r="L14" t="e">
        <f t="shared" ca="1" si="7"/>
        <v>#N/A</v>
      </c>
      <c r="M14" t="e">
        <f t="shared" ca="1" si="7"/>
        <v>#N/A</v>
      </c>
      <c r="N14" t="e">
        <f t="shared" ca="1" si="7"/>
        <v>#N/A</v>
      </c>
    </row>
    <row r="15" spans="1:19">
      <c r="B15" s="4" t="s">
        <v>547</v>
      </c>
      <c r="C15" t="e">
        <f t="shared" ca="1" si="3"/>
        <v>#N/A</v>
      </c>
      <c r="D15" t="e">
        <f t="shared" ca="1" si="4"/>
        <v>#N/A</v>
      </c>
      <c r="E15" t="e">
        <f t="shared" ca="1" si="5"/>
        <v>#N/A</v>
      </c>
      <c r="F15" t="e">
        <f t="shared" ca="1" si="6"/>
        <v>#N/A</v>
      </c>
      <c r="H15" t="e">
        <f t="shared" ca="1" si="7"/>
        <v>#N/A</v>
      </c>
      <c r="I15" t="e">
        <f t="shared" ca="1" si="7"/>
        <v>#N/A</v>
      </c>
      <c r="J15" t="e">
        <f t="shared" ca="1" si="7"/>
        <v>#N/A</v>
      </c>
      <c r="K15" t="e">
        <f t="shared" ca="1" si="7"/>
        <v>#N/A</v>
      </c>
      <c r="L15" t="e">
        <f t="shared" ca="1" si="7"/>
        <v>#N/A</v>
      </c>
      <c r="M15" t="e">
        <f t="shared" ca="1" si="7"/>
        <v>#N/A</v>
      </c>
      <c r="N15" t="e">
        <f t="shared" ca="1" si="7"/>
        <v>#N/A</v>
      </c>
    </row>
    <row r="16" spans="1:19">
      <c r="B16" s="4" t="s">
        <v>542</v>
      </c>
      <c r="C16" t="e">
        <f t="shared" ca="1" si="3"/>
        <v>#N/A</v>
      </c>
      <c r="D16" t="e">
        <f t="shared" ca="1" si="4"/>
        <v>#N/A</v>
      </c>
      <c r="E16" t="e">
        <f t="shared" ca="1" si="5"/>
        <v>#N/A</v>
      </c>
      <c r="F16" t="e">
        <f t="shared" ca="1" si="6"/>
        <v>#N/A</v>
      </c>
      <c r="H16" t="e">
        <f t="shared" ca="1" si="7"/>
        <v>#N/A</v>
      </c>
      <c r="I16" t="e">
        <f t="shared" ca="1" si="7"/>
        <v>#N/A</v>
      </c>
      <c r="J16" t="e">
        <f t="shared" ca="1" si="7"/>
        <v>#N/A</v>
      </c>
      <c r="K16" t="e">
        <f t="shared" ca="1" si="7"/>
        <v>#N/A</v>
      </c>
      <c r="L16" t="e">
        <f t="shared" ca="1" si="7"/>
        <v>#N/A</v>
      </c>
      <c r="M16" t="e">
        <f t="shared" ca="1" si="7"/>
        <v>#N/A</v>
      </c>
      <c r="N16" t="e">
        <f t="shared" ca="1" si="7"/>
        <v>#N/A</v>
      </c>
    </row>
    <row r="17" spans="1:22">
      <c r="B17" t="s">
        <v>667</v>
      </c>
      <c r="C17" t="e">
        <f ca="1">MATCH(B17,score_indicode,0)</f>
        <v>#N/A</v>
      </c>
      <c r="D17" t="e">
        <f ca="1">MATCH(B17,indi_code,0)</f>
        <v>#N/A</v>
      </c>
      <c r="E17" t="e">
        <f ca="1">INDEX(indi_short,D17)</f>
        <v>#N/A</v>
      </c>
      <c r="F17" t="e">
        <f t="shared" ca="1" si="6"/>
        <v>#N/A</v>
      </c>
    </row>
    <row r="18" spans="1:22">
      <c r="B18" t="s">
        <v>668</v>
      </c>
      <c r="C18" t="e">
        <f ca="1">MATCH(B18,score_indicode,0)</f>
        <v>#N/A</v>
      </c>
      <c r="D18" t="e">
        <f ca="1">MATCH(B18,indi_code,0)</f>
        <v>#N/A</v>
      </c>
      <c r="E18" t="e">
        <f ca="1">INDEX(indi_short,D18)</f>
        <v>#N/A</v>
      </c>
      <c r="F18" t="e">
        <f t="shared" ca="1" si="6"/>
        <v>#N/A</v>
      </c>
    </row>
    <row r="19" spans="1:22">
      <c r="B19" t="s">
        <v>669</v>
      </c>
      <c r="C19" t="e">
        <f ca="1">MATCH(B19,score_indicode,0)</f>
        <v>#N/A</v>
      </c>
      <c r="D19" t="e">
        <f ca="1">MATCH(B19,indi_code,0)</f>
        <v>#N/A</v>
      </c>
      <c r="E19" t="e">
        <f ca="1">INDEX(indi_short,D19)</f>
        <v>#N/A</v>
      </c>
      <c r="F19" t="e">
        <f t="shared" ca="1" si="6"/>
        <v>#N/A</v>
      </c>
    </row>
    <row r="20" spans="1:22">
      <c r="B20" t="s">
        <v>670</v>
      </c>
      <c r="C20" t="e">
        <f ca="1">MATCH(B20,score_indicode,0)</f>
        <v>#N/A</v>
      </c>
      <c r="D20" t="e">
        <f ca="1">MATCH(B20,indi_code,0)</f>
        <v>#N/A</v>
      </c>
      <c r="E20" t="e">
        <f ca="1">INDEX(indi_short,D20)</f>
        <v>#N/A</v>
      </c>
      <c r="F20" t="e">
        <f t="shared" ca="1" si="6"/>
        <v>#N/A</v>
      </c>
    </row>
    <row r="21" spans="1:22">
      <c r="B21" t="s">
        <v>220</v>
      </c>
      <c r="C21" t="e">
        <f ca="1">MATCH(B21,score_indicode,0)</f>
        <v>#N/A</v>
      </c>
      <c r="D21" t="e">
        <f ca="1">MATCH(B21,indi_code,0)</f>
        <v>#N/A</v>
      </c>
      <c r="E21" t="e">
        <f ca="1">INDEX(indi_short,D21)</f>
        <v>#N/A</v>
      </c>
      <c r="F21" t="e">
        <f t="shared" ca="1" si="6"/>
        <v>#N/A</v>
      </c>
    </row>
    <row r="22" spans="1:22">
      <c r="P22" t="e">
        <f>RANK(P78,$P78:$V78,1)</f>
        <v>#REF!</v>
      </c>
      <c r="Q22" t="e">
        <f t="shared" ref="Q22:V22" si="8">RANK(Q78,$P78:$V78,1)</f>
        <v>#REF!</v>
      </c>
      <c r="R22" t="e">
        <f t="shared" si="8"/>
        <v>#REF!</v>
      </c>
      <c r="S22" t="e">
        <f t="shared" si="8"/>
        <v>#REF!</v>
      </c>
      <c r="T22" t="e">
        <f t="shared" si="8"/>
        <v>#REF!</v>
      </c>
      <c r="U22" t="e">
        <f t="shared" si="8"/>
        <v>#REF!</v>
      </c>
      <c r="V22" t="e">
        <f t="shared" si="8"/>
        <v>#REF!</v>
      </c>
    </row>
    <row r="25" spans="1:22">
      <c r="A25" s="68" t="s">
        <v>688</v>
      </c>
      <c r="G25">
        <f>IF($B$3=1,"-",F6)</f>
        <v>0</v>
      </c>
      <c r="H25" t="e">
        <f>H6</f>
        <v>#REF!</v>
      </c>
      <c r="I25" t="e">
        <f t="shared" ref="I25:N25" si="9">I6</f>
        <v>#REF!</v>
      </c>
      <c r="J25" t="e">
        <f t="shared" si="9"/>
        <v>#REF!</v>
      </c>
      <c r="K25">
        <f t="shared" si="9"/>
        <v>0</v>
      </c>
      <c r="L25" t="e">
        <f t="shared" si="9"/>
        <v>#REF!</v>
      </c>
      <c r="M25" t="e">
        <f t="shared" si="9"/>
        <v>#REF!</v>
      </c>
      <c r="N25" t="e">
        <f t="shared" si="9"/>
        <v>#REF!</v>
      </c>
    </row>
    <row r="26" spans="1:22">
      <c r="B26" s="57" t="s">
        <v>641</v>
      </c>
      <c r="C26" t="e">
        <f t="shared" ref="C26:C31" ca="1" si="10">MATCH(B26,score_indicode,0)</f>
        <v>#N/A</v>
      </c>
      <c r="D26">
        <f t="shared" ref="D26:D31" ca="1" si="11">MATCH(B26,indi_code,0)</f>
        <v>34</v>
      </c>
      <c r="E26" t="str">
        <f t="shared" ref="E26:E31" ca="1" si="12">INDEX(indiFull,D26)</f>
        <v>Fairness of judicial process, 0-4, where 0= best and 4 = worst</v>
      </c>
      <c r="F26">
        <f t="shared" ref="F26:F31" ca="1" si="13">INDEX(indiGoodBad,D26)</f>
        <v>1</v>
      </c>
      <c r="G26" t="e">
        <f t="shared" ref="G26:G31" ca="1" si="14">IF($B$3=1,"-",INDEX(data,$C26,F$5))</f>
        <v>#N/A</v>
      </c>
      <c r="H26" t="e">
        <f t="shared" ref="H26:N31" ca="1" si="15">INDEX(data,$C26,H$5)</f>
        <v>#N/A</v>
      </c>
      <c r="I26" t="e">
        <f t="shared" ca="1" si="15"/>
        <v>#N/A</v>
      </c>
      <c r="J26" t="e">
        <f t="shared" ca="1" si="15"/>
        <v>#N/A</v>
      </c>
      <c r="K26" t="e">
        <f t="shared" ca="1" si="15"/>
        <v>#N/A</v>
      </c>
      <c r="L26" t="e">
        <f t="shared" ca="1" si="15"/>
        <v>#N/A</v>
      </c>
      <c r="M26" t="e">
        <f t="shared" ca="1" si="15"/>
        <v>#N/A</v>
      </c>
      <c r="N26" t="e">
        <f t="shared" ca="1" si="15"/>
        <v>#N/A</v>
      </c>
    </row>
    <row r="27" spans="1:22">
      <c r="B27" s="57" t="s">
        <v>541</v>
      </c>
      <c r="C27" t="e">
        <f t="shared" ca="1" si="10"/>
        <v>#N/A</v>
      </c>
      <c r="D27" t="e">
        <f t="shared" ca="1" si="11"/>
        <v>#N/A</v>
      </c>
      <c r="E27" t="e">
        <f t="shared" ca="1" si="12"/>
        <v>#N/A</v>
      </c>
      <c r="F27" t="e">
        <f t="shared" ca="1" si="13"/>
        <v>#N/A</v>
      </c>
      <c r="G27" t="e">
        <f t="shared" ca="1" si="14"/>
        <v>#N/A</v>
      </c>
      <c r="H27" t="e">
        <f t="shared" ca="1" si="15"/>
        <v>#N/A</v>
      </c>
      <c r="I27" t="e">
        <f t="shared" ca="1" si="15"/>
        <v>#N/A</v>
      </c>
      <c r="J27" t="e">
        <f t="shared" ca="1" si="15"/>
        <v>#N/A</v>
      </c>
      <c r="K27" t="e">
        <f t="shared" ca="1" si="15"/>
        <v>#N/A</v>
      </c>
      <c r="L27" t="e">
        <f t="shared" ca="1" si="15"/>
        <v>#N/A</v>
      </c>
      <c r="M27" t="e">
        <f t="shared" ca="1" si="15"/>
        <v>#N/A</v>
      </c>
      <c r="N27" t="e">
        <f t="shared" ca="1" si="15"/>
        <v>#N/A</v>
      </c>
    </row>
    <row r="28" spans="1:22">
      <c r="B28" s="57" t="s">
        <v>540</v>
      </c>
      <c r="C28" t="e">
        <f t="shared" ca="1" si="10"/>
        <v>#N/A</v>
      </c>
      <c r="D28" t="e">
        <f t="shared" ca="1" si="11"/>
        <v>#N/A</v>
      </c>
      <c r="E28" t="e">
        <f t="shared" ca="1" si="12"/>
        <v>#N/A</v>
      </c>
      <c r="F28" t="e">
        <f t="shared" ca="1" si="13"/>
        <v>#N/A</v>
      </c>
      <c r="G28" t="e">
        <f t="shared" ca="1" si="14"/>
        <v>#N/A</v>
      </c>
      <c r="H28" t="e">
        <f t="shared" ca="1" si="15"/>
        <v>#N/A</v>
      </c>
      <c r="I28" t="e">
        <f t="shared" ca="1" si="15"/>
        <v>#N/A</v>
      </c>
      <c r="J28" t="e">
        <f t="shared" ca="1" si="15"/>
        <v>#N/A</v>
      </c>
      <c r="K28" t="e">
        <f t="shared" ca="1" si="15"/>
        <v>#N/A</v>
      </c>
      <c r="L28" t="e">
        <f t="shared" ca="1" si="15"/>
        <v>#N/A</v>
      </c>
      <c r="M28" t="e">
        <f t="shared" ca="1" si="15"/>
        <v>#N/A</v>
      </c>
      <c r="N28" t="e">
        <f t="shared" ca="1" si="15"/>
        <v>#N/A</v>
      </c>
    </row>
    <row r="29" spans="1:22">
      <c r="B29" s="57" t="s">
        <v>543</v>
      </c>
      <c r="C29" t="e">
        <f t="shared" ca="1" si="10"/>
        <v>#N/A</v>
      </c>
      <c r="D29" t="e">
        <f t="shared" ca="1" si="11"/>
        <v>#N/A</v>
      </c>
      <c r="E29" t="e">
        <f t="shared" ca="1" si="12"/>
        <v>#N/A</v>
      </c>
      <c r="F29" t="e">
        <f t="shared" ca="1" si="13"/>
        <v>#N/A</v>
      </c>
      <c r="G29" t="e">
        <f t="shared" ca="1" si="14"/>
        <v>#N/A</v>
      </c>
      <c r="H29" t="e">
        <f t="shared" ca="1" si="15"/>
        <v>#N/A</v>
      </c>
      <c r="I29" t="e">
        <f t="shared" ca="1" si="15"/>
        <v>#N/A</v>
      </c>
      <c r="J29" t="e">
        <f t="shared" ca="1" si="15"/>
        <v>#N/A</v>
      </c>
      <c r="K29" t="e">
        <f t="shared" ca="1" si="15"/>
        <v>#N/A</v>
      </c>
      <c r="L29" t="e">
        <f t="shared" ca="1" si="15"/>
        <v>#N/A</v>
      </c>
      <c r="M29" t="e">
        <f t="shared" ca="1" si="15"/>
        <v>#N/A</v>
      </c>
      <c r="N29" t="e">
        <f t="shared" ca="1" si="15"/>
        <v>#N/A</v>
      </c>
    </row>
    <row r="30" spans="1:22">
      <c r="B30" s="57" t="s">
        <v>544</v>
      </c>
      <c r="C30" t="e">
        <f t="shared" ca="1" si="10"/>
        <v>#N/A</v>
      </c>
      <c r="D30" t="e">
        <f t="shared" ca="1" si="11"/>
        <v>#N/A</v>
      </c>
      <c r="E30" t="e">
        <f t="shared" ca="1" si="12"/>
        <v>#N/A</v>
      </c>
      <c r="F30" t="e">
        <f t="shared" ca="1" si="13"/>
        <v>#N/A</v>
      </c>
      <c r="G30" t="e">
        <f t="shared" ca="1" si="14"/>
        <v>#N/A</v>
      </c>
      <c r="H30" t="e">
        <f t="shared" ca="1" si="15"/>
        <v>#N/A</v>
      </c>
      <c r="I30" t="e">
        <f t="shared" ca="1" si="15"/>
        <v>#N/A</v>
      </c>
      <c r="J30" t="e">
        <f t="shared" ca="1" si="15"/>
        <v>#N/A</v>
      </c>
      <c r="K30" t="e">
        <f t="shared" ca="1" si="15"/>
        <v>#N/A</v>
      </c>
      <c r="L30" t="e">
        <f t="shared" ca="1" si="15"/>
        <v>#N/A</v>
      </c>
      <c r="M30" t="e">
        <f t="shared" ca="1" si="15"/>
        <v>#N/A</v>
      </c>
      <c r="N30" t="e">
        <f t="shared" ca="1" si="15"/>
        <v>#N/A</v>
      </c>
    </row>
    <row r="31" spans="1:22">
      <c r="B31" s="57" t="s">
        <v>546</v>
      </c>
      <c r="C31" t="e">
        <f t="shared" ca="1" si="10"/>
        <v>#N/A</v>
      </c>
      <c r="D31" t="e">
        <f t="shared" ca="1" si="11"/>
        <v>#N/A</v>
      </c>
      <c r="E31" t="e">
        <f t="shared" ca="1" si="12"/>
        <v>#N/A</v>
      </c>
      <c r="F31" t="e">
        <f t="shared" ca="1" si="13"/>
        <v>#N/A</v>
      </c>
      <c r="G31" t="e">
        <f t="shared" ca="1" si="14"/>
        <v>#N/A</v>
      </c>
      <c r="H31" t="e">
        <f t="shared" ca="1" si="15"/>
        <v>#N/A</v>
      </c>
      <c r="I31" t="e">
        <f t="shared" ca="1" si="15"/>
        <v>#N/A</v>
      </c>
      <c r="J31" t="e">
        <f t="shared" ca="1" si="15"/>
        <v>#N/A</v>
      </c>
      <c r="K31" t="e">
        <f t="shared" ca="1" si="15"/>
        <v>#N/A</v>
      </c>
      <c r="L31" t="e">
        <f t="shared" ca="1" si="15"/>
        <v>#N/A</v>
      </c>
      <c r="M31" t="e">
        <f t="shared" ca="1" si="15"/>
        <v>#N/A</v>
      </c>
      <c r="N31" t="e">
        <f t="shared" ca="1" si="15"/>
        <v>#N/A</v>
      </c>
    </row>
    <row r="32" spans="1:22">
      <c r="B32" s="57"/>
    </row>
    <row r="33" spans="1:14">
      <c r="B33" s="57"/>
    </row>
    <row r="34" spans="1:14">
      <c r="B34" s="57"/>
    </row>
    <row r="35" spans="1:14">
      <c r="B35" s="57"/>
    </row>
    <row r="36" spans="1:14">
      <c r="B36" s="57"/>
    </row>
    <row r="37" spans="1:14">
      <c r="B37" s="57"/>
    </row>
    <row r="38" spans="1:14">
      <c r="A38" s="68" t="s">
        <v>686</v>
      </c>
      <c r="B38" s="57"/>
    </row>
    <row r="39" spans="1:14">
      <c r="A39" s="57"/>
      <c r="E39" t="str">
        <f>E26</f>
        <v>Fairness of judicial process, 0-4, where 0= best and 4 = worst</v>
      </c>
      <c r="G39" t="e">
        <f>RANK(G26,$G26:$N26,$F26)+COUNTIF(G26:$N26,G26)-1</f>
        <v>#N/A</v>
      </c>
      <c r="H39" t="e">
        <f>RANK(H26,$G26:$N26,$F26)+COUNTIF(H26:$N26,H26)-1</f>
        <v>#N/A</v>
      </c>
      <c r="I39" t="e">
        <f>RANK(I26,$G26:$N26,$F26)+COUNTIF(I26:$N26,I26)-1</f>
        <v>#N/A</v>
      </c>
      <c r="J39" t="e">
        <f>RANK(J26,$G26:$N26,$F26)+COUNTIF(J26:$N26,J26)-1</f>
        <v>#N/A</v>
      </c>
      <c r="K39" t="e">
        <f>RANK(K26,$G26:$N26,$F26)+COUNTIF(K26:$N26,K26)-1</f>
        <v>#N/A</v>
      </c>
      <c r="L39" t="e">
        <f>RANK(L26,$G26:$N26,$F26)+COUNTIF(L26:$N26,L26)-1</f>
        <v>#N/A</v>
      </c>
      <c r="M39" t="e">
        <f>RANK(M26,$G26:$N26,$F26)+COUNTIF(M26:$N26,M26)-1</f>
        <v>#N/A</v>
      </c>
      <c r="N39" t="e">
        <f>RANK(N26,$G26:$N26,$F26)+COUNTIF(N26:$N26,N26)-1</f>
        <v>#N/A</v>
      </c>
    </row>
    <row r="40" spans="1:14">
      <c r="E40" t="e">
        <f>E27</f>
        <v>#N/A</v>
      </c>
      <c r="G40" t="e">
        <f>RANK(G27,$G27:$N27,$F27)+COUNTIF(G27:$N27,G27)-1</f>
        <v>#N/A</v>
      </c>
      <c r="H40" t="e">
        <f>RANK(H27,$G27:$N27,$F27)+COUNTIF(H27:$N27,H27)-1</f>
        <v>#N/A</v>
      </c>
      <c r="I40" t="e">
        <f>RANK(I27,$G27:$N27,$F27)+COUNTIF(I27:$N27,I27)-1</f>
        <v>#N/A</v>
      </c>
      <c r="J40" t="e">
        <f>RANK(J27,$G27:$N27,$F27)+COUNTIF(J27:$N27,J27)-1</f>
        <v>#N/A</v>
      </c>
      <c r="K40" t="e">
        <f>RANK(K27,$G27:$N27,$F27)+COUNTIF(K27:$N27,K27)-1</f>
        <v>#N/A</v>
      </c>
      <c r="L40" t="e">
        <f>RANK(L27,$G27:$N27,$F27)+COUNTIF(L27:$N27,L27)-1</f>
        <v>#N/A</v>
      </c>
      <c r="M40" t="e">
        <f>RANK(M27,$G27:$N27,$F27)+COUNTIF(M27:$N27,M27)-1</f>
        <v>#N/A</v>
      </c>
      <c r="N40" t="e">
        <f>RANK(N27,$G27:$N27,$F27)+COUNTIF(N27:$N27,N27)-1</f>
        <v>#N/A</v>
      </c>
    </row>
    <row r="41" spans="1:14">
      <c r="E41" t="e">
        <f t="shared" ref="E41:E48" si="16">E28</f>
        <v>#N/A</v>
      </c>
      <c r="G41" t="e">
        <f>RANK(G28,$G28:$N28,$F28)+COUNTIF(G28:$N28,G28)-1</f>
        <v>#N/A</v>
      </c>
      <c r="H41" t="e">
        <f>RANK(H28,$G28:$N28,$F28)+COUNTIF(H28:$N28,H28)-1</f>
        <v>#N/A</v>
      </c>
      <c r="I41" t="e">
        <f>RANK(I28,$G28:$N28,$F28)+COUNTIF(I28:$N28,I28)-1</f>
        <v>#N/A</v>
      </c>
      <c r="J41" t="e">
        <f>RANK(J28,$G28:$N28,$F28)+COUNTIF(J28:$N28,J28)-1</f>
        <v>#N/A</v>
      </c>
      <c r="K41" t="e">
        <f>RANK(K28,$G28:$N28,$F28)+COUNTIF(K28:$N28,K28)-1</f>
        <v>#N/A</v>
      </c>
      <c r="L41" t="e">
        <f>RANK(L28,$G28:$N28,$F28)+COUNTIF(L28:$N28,L28)-1</f>
        <v>#N/A</v>
      </c>
      <c r="M41" t="e">
        <f>RANK(M28,$G28:$N28,$F28)+COUNTIF(M28:$N28,M28)-1</f>
        <v>#N/A</v>
      </c>
      <c r="N41" t="e">
        <f>RANK(N28,$G28:$N28,$F28)+COUNTIF(N28:$N28,N28)-1</f>
        <v>#N/A</v>
      </c>
    </row>
    <row r="42" spans="1:14">
      <c r="E42" t="e">
        <f t="shared" si="16"/>
        <v>#N/A</v>
      </c>
      <c r="G42" t="e">
        <f>RANK(G29,$G29:$N29,$F29)+COUNTIF(G29:$N29,G29)-1</f>
        <v>#N/A</v>
      </c>
      <c r="H42" t="e">
        <f>RANK(H29,$G29:$N29,$F29)+COUNTIF(H29:$N29,H29)-1</f>
        <v>#N/A</v>
      </c>
      <c r="I42" t="e">
        <f>RANK(I29,$G29:$N29,$F29)+COUNTIF(I29:$N29,I29)-1</f>
        <v>#N/A</v>
      </c>
      <c r="J42" t="e">
        <f>RANK(J29,$G29:$N29,$F29)+COUNTIF(J29:$N29,J29)-1</f>
        <v>#N/A</v>
      </c>
      <c r="K42" t="e">
        <f>RANK(K29,$G29:$N29,$F29)+COUNTIF(K29:$N29,K29)-1</f>
        <v>#N/A</v>
      </c>
      <c r="L42" t="e">
        <f>RANK(L29,$G29:$N29,$F29)+COUNTIF(L29:$N29,L29)-1</f>
        <v>#N/A</v>
      </c>
      <c r="M42" t="e">
        <f>RANK(M29,$G29:$N29,$F29)+COUNTIF(M29:$N29,M29)-1</f>
        <v>#N/A</v>
      </c>
      <c r="N42" t="e">
        <f>RANK(N29,$G29:$N29,$F29)+COUNTIF(N29:$N29,N29)-1</f>
        <v>#N/A</v>
      </c>
    </row>
    <row r="43" spans="1:14">
      <c r="E43" t="e">
        <f t="shared" si="16"/>
        <v>#N/A</v>
      </c>
      <c r="G43" t="e">
        <f>RANK(G30,$G30:$N30,$F30)+COUNTIF(G30:$N30,G30)-1</f>
        <v>#N/A</v>
      </c>
      <c r="H43" t="e">
        <f>RANK(H30,$G30:$N30,$F30)+COUNTIF(H30:$N30,H30)-1</f>
        <v>#N/A</v>
      </c>
      <c r="I43" t="e">
        <f>RANK(I30,$G30:$N30,$F30)+COUNTIF(I30:$N30,I30)-1</f>
        <v>#N/A</v>
      </c>
      <c r="J43" t="e">
        <f>RANK(J30,$G30:$N30,$F30)+COUNTIF(J30:$N30,J30)-1</f>
        <v>#N/A</v>
      </c>
      <c r="K43" t="e">
        <f>RANK(K30,$G30:$N30,$F30)+COUNTIF(K30:$N30,K30)-1</f>
        <v>#N/A</v>
      </c>
      <c r="L43" t="e">
        <f>RANK(L30,$G30:$N30,$F30)+COUNTIF(L30:$N30,L30)-1</f>
        <v>#N/A</v>
      </c>
      <c r="M43" t="e">
        <f>RANK(M30,$G30:$N30,$F30)+COUNTIF(M30:$N30,M30)-1</f>
        <v>#N/A</v>
      </c>
      <c r="N43" t="e">
        <f>RANK(N30,$G30:$N30,$F30)+COUNTIF(N30:$N30,N30)-1</f>
        <v>#N/A</v>
      </c>
    </row>
    <row r="44" spans="1:14">
      <c r="E44" t="e">
        <f t="shared" si="16"/>
        <v>#N/A</v>
      </c>
      <c r="G44" t="e">
        <f>RANK(G31,$G31:$N31,$F31)+COUNTIF(G31:$N31,G31)-1</f>
        <v>#N/A</v>
      </c>
      <c r="H44" t="e">
        <f>RANK(H31,$G31:$N31,$F31)+COUNTIF(H31:$N31,H31)-1</f>
        <v>#N/A</v>
      </c>
      <c r="I44" t="e">
        <f>RANK(I31,$G31:$N31,$F31)+COUNTIF(I31:$N31,I31)-1</f>
        <v>#N/A</v>
      </c>
      <c r="J44" t="e">
        <f>RANK(J31,$G31:$N31,$F31)+COUNTIF(J31:$N31,J31)-1</f>
        <v>#N/A</v>
      </c>
      <c r="K44" t="e">
        <f>RANK(K31,$G31:$N31,$F31)+COUNTIF(K31:$N31,K31)-1</f>
        <v>#N/A</v>
      </c>
      <c r="L44" t="e">
        <f>RANK(L31,$G31:$N31,$F31)+COUNTIF(L31:$N31,L31)-1</f>
        <v>#N/A</v>
      </c>
      <c r="M44" t="e">
        <f>RANK(M31,$G31:$N31,$F31)+COUNTIF(M31:$N31,M31)-1</f>
        <v>#N/A</v>
      </c>
      <c r="N44" t="e">
        <f>RANK(N31,$G31:$N31,$F31)+COUNTIF(N31:$N31,N31)-1</f>
        <v>#N/A</v>
      </c>
    </row>
    <row r="45" spans="1:14">
      <c r="E45">
        <f t="shared" si="16"/>
        <v>0</v>
      </c>
      <c r="G45" t="e">
        <f>RANK(G32,$G32:$N32,$F32)+COUNTIF(G32:$N32,G32)-1</f>
        <v>#N/A</v>
      </c>
      <c r="H45" t="e">
        <f>RANK(H32,$G32:$N32,$F32)+COUNTIF(H32:$N32,H32)-1</f>
        <v>#N/A</v>
      </c>
      <c r="I45" t="e">
        <f>RANK(I32,$G32:$N32,$F32)+COUNTIF(I32:$N32,I32)-1</f>
        <v>#N/A</v>
      </c>
      <c r="J45" t="e">
        <f>RANK(J32,$G32:$N32,$F32)+COUNTIF(J32:$N32,J32)-1</f>
        <v>#N/A</v>
      </c>
      <c r="K45" t="e">
        <f>RANK(K32,$G32:$N32,$F32)+COUNTIF(K32:$N32,K32)-1</f>
        <v>#N/A</v>
      </c>
      <c r="L45" t="e">
        <f>RANK(L32,$G32:$N32,$F32)+COUNTIF(L32:$N32,L32)-1</f>
        <v>#N/A</v>
      </c>
      <c r="M45" t="e">
        <f>RANK(M32,$G32:$N32,$F32)+COUNTIF(M32:$N32,M32)-1</f>
        <v>#N/A</v>
      </c>
      <c r="N45" t="e">
        <f>RANK(N32,$G32:$N32,$F32)+COUNTIF(N32:$N32,N32)-1</f>
        <v>#N/A</v>
      </c>
    </row>
    <row r="46" spans="1:14">
      <c r="E46">
        <f t="shared" si="16"/>
        <v>0</v>
      </c>
      <c r="G46" t="e">
        <f>RANK(G33,$G33:$N33,$F33)+COUNTIF(G33:$N33,G33)-1</f>
        <v>#N/A</v>
      </c>
      <c r="H46" t="e">
        <f>RANK(H33,$G33:$N33,$F33)+COUNTIF(H33:$N33,H33)-1</f>
        <v>#N/A</v>
      </c>
      <c r="I46" t="e">
        <f>RANK(I33,$G33:$N33,$F33)+COUNTIF(I33:$N33,I33)-1</f>
        <v>#N/A</v>
      </c>
      <c r="J46" t="e">
        <f>RANK(J33,$G33:$N33,$F33)+COUNTIF(J33:$N33,J33)-1</f>
        <v>#N/A</v>
      </c>
      <c r="K46" t="e">
        <f>RANK(K33,$G33:$N33,$F33)+COUNTIF(K33:$N33,K33)-1</f>
        <v>#N/A</v>
      </c>
      <c r="L46" t="e">
        <f>RANK(L33,$G33:$N33,$F33)+COUNTIF(L33:$N33,L33)-1</f>
        <v>#N/A</v>
      </c>
      <c r="M46" t="e">
        <f>RANK(M33,$G33:$N33,$F33)+COUNTIF(M33:$N33,M33)-1</f>
        <v>#N/A</v>
      </c>
      <c r="N46" t="e">
        <f>RANK(N33,$G33:$N33,$F33)+COUNTIF(N33:$N33,N33)-1</f>
        <v>#N/A</v>
      </c>
    </row>
    <row r="47" spans="1:14">
      <c r="E47">
        <f t="shared" si="16"/>
        <v>0</v>
      </c>
      <c r="G47" t="e">
        <f>RANK(G34,$G34:$N34,$F34)+COUNTIF(G34:$N34,G34)-1</f>
        <v>#N/A</v>
      </c>
      <c r="H47" t="e">
        <f>RANK(H34,$G34:$N34,$F34)+COUNTIF(H34:$N34,H34)-1</f>
        <v>#N/A</v>
      </c>
      <c r="I47" t="e">
        <f>RANK(I34,$G34:$N34,$F34)+COUNTIF(I34:$N34,I34)-1</f>
        <v>#N/A</v>
      </c>
      <c r="J47" t="e">
        <f>RANK(J34,$G34:$N34,$F34)+COUNTIF(J34:$N34,J34)-1</f>
        <v>#N/A</v>
      </c>
      <c r="K47" t="e">
        <f>RANK(K34,$G34:$N34,$F34)+COUNTIF(K34:$N34,K34)-1</f>
        <v>#N/A</v>
      </c>
      <c r="L47" t="e">
        <f>RANK(L34,$G34:$N34,$F34)+COUNTIF(L34:$N34,L34)-1</f>
        <v>#N/A</v>
      </c>
      <c r="M47" t="e">
        <f>RANK(M34,$G34:$N34,$F34)+COUNTIF(M34:$N34,M34)-1</f>
        <v>#N/A</v>
      </c>
      <c r="N47" t="e">
        <f>RANK(N34,$G34:$N34,$F34)+COUNTIF(N34:$N34,N34)-1</f>
        <v>#N/A</v>
      </c>
    </row>
    <row r="48" spans="1:14">
      <c r="E48">
        <f t="shared" si="16"/>
        <v>0</v>
      </c>
      <c r="G48" t="e">
        <f>RANK(G35,$G35:$N35,$F35)+COUNTIF(G35:$N35,G35)-1</f>
        <v>#N/A</v>
      </c>
      <c r="H48" t="e">
        <f>RANK(H35,$G35:$N35,$F35)+COUNTIF(H35:$N35,H35)-1</f>
        <v>#N/A</v>
      </c>
      <c r="I48" t="e">
        <f>RANK(I35,$G35:$N35,$F35)+COUNTIF(I35:$N35,I35)-1</f>
        <v>#N/A</v>
      </c>
      <c r="J48" t="e">
        <f>RANK(J35,$G35:$N35,$F35)+COUNTIF(J35:$N35,J35)-1</f>
        <v>#N/A</v>
      </c>
      <c r="K48" t="e">
        <f>RANK(K35,$G35:$N35,$F35)+COUNTIF(K35:$N35,K35)-1</f>
        <v>#N/A</v>
      </c>
      <c r="L48" t="e">
        <f>RANK(L35,$G35:$N35,$F35)+COUNTIF(L35:$N35,L35)-1</f>
        <v>#N/A</v>
      </c>
      <c r="M48" t="e">
        <f>RANK(M35,$G35:$N35,$F35)+COUNTIF(M35:$N35,M35)-1</f>
        <v>#N/A</v>
      </c>
      <c r="N48" t="e">
        <f>RANK(N35,$G35:$N35,$F35)+COUNTIF(N35:$N35,N35)-1</f>
        <v>#N/A</v>
      </c>
    </row>
    <row r="51" spans="1:19">
      <c r="A51" s="68" t="s">
        <v>689</v>
      </c>
      <c r="G51">
        <v>1</v>
      </c>
      <c r="H51">
        <v>2</v>
      </c>
      <c r="I51">
        <v>3</v>
      </c>
      <c r="J51">
        <v>4</v>
      </c>
      <c r="K51">
        <v>5</v>
      </c>
      <c r="L51">
        <v>6</v>
      </c>
      <c r="M51">
        <v>7</v>
      </c>
      <c r="N51">
        <v>8</v>
      </c>
    </row>
    <row r="52" spans="1:19">
      <c r="E52" t="str">
        <f>E39</f>
        <v>Fairness of judicial process, 0-4, where 0= best and 4 = worst</v>
      </c>
      <c r="G52" t="e">
        <f>MATCH(G$51,$G39:$N39,0)</f>
        <v>#N/A</v>
      </c>
      <c r="H52" t="e">
        <f t="shared" ref="H52:N52" si="17">MATCH(H$51,$G39:$N39,0)</f>
        <v>#N/A</v>
      </c>
      <c r="I52" t="e">
        <f t="shared" si="17"/>
        <v>#N/A</v>
      </c>
      <c r="J52" t="e">
        <f t="shared" si="17"/>
        <v>#N/A</v>
      </c>
      <c r="K52" t="e">
        <f t="shared" si="17"/>
        <v>#N/A</v>
      </c>
      <c r="L52" t="e">
        <f t="shared" si="17"/>
        <v>#N/A</v>
      </c>
      <c r="M52" t="e">
        <f t="shared" si="17"/>
        <v>#N/A</v>
      </c>
      <c r="N52" t="e">
        <f t="shared" si="17"/>
        <v>#N/A</v>
      </c>
    </row>
    <row r="53" spans="1:19">
      <c r="E53" t="e">
        <f>E40</f>
        <v>#N/A</v>
      </c>
      <c r="G53" t="e">
        <f t="shared" ref="G53:N53" si="18">MATCH(G$51,$G40:$N40,0)</f>
        <v>#N/A</v>
      </c>
      <c r="H53" t="e">
        <f t="shared" si="18"/>
        <v>#N/A</v>
      </c>
      <c r="I53" t="e">
        <f t="shared" si="18"/>
        <v>#N/A</v>
      </c>
      <c r="J53" t="e">
        <f t="shared" si="18"/>
        <v>#N/A</v>
      </c>
      <c r="K53" t="e">
        <f t="shared" si="18"/>
        <v>#N/A</v>
      </c>
      <c r="L53" t="e">
        <f t="shared" si="18"/>
        <v>#N/A</v>
      </c>
      <c r="M53" t="e">
        <f t="shared" si="18"/>
        <v>#N/A</v>
      </c>
      <c r="N53" t="e">
        <f t="shared" si="18"/>
        <v>#N/A</v>
      </c>
    </row>
    <row r="54" spans="1:19">
      <c r="E54" t="e">
        <f t="shared" ref="E54:E62" si="19">E41</f>
        <v>#N/A</v>
      </c>
      <c r="G54" t="e">
        <f t="shared" ref="G54:N54" si="20">MATCH(G$51,$G41:$N41,0)</f>
        <v>#N/A</v>
      </c>
      <c r="H54" t="e">
        <f t="shared" si="20"/>
        <v>#N/A</v>
      </c>
      <c r="I54" t="e">
        <f t="shared" si="20"/>
        <v>#N/A</v>
      </c>
      <c r="J54" t="e">
        <f t="shared" si="20"/>
        <v>#N/A</v>
      </c>
      <c r="K54" t="e">
        <f t="shared" si="20"/>
        <v>#N/A</v>
      </c>
      <c r="L54" t="e">
        <f t="shared" si="20"/>
        <v>#N/A</v>
      </c>
      <c r="M54" t="e">
        <f t="shared" si="20"/>
        <v>#N/A</v>
      </c>
      <c r="N54" t="e">
        <f t="shared" si="20"/>
        <v>#N/A</v>
      </c>
    </row>
    <row r="55" spans="1:19">
      <c r="E55" t="e">
        <f t="shared" si="19"/>
        <v>#N/A</v>
      </c>
      <c r="G55" t="e">
        <f t="shared" ref="G55:N55" si="21">MATCH(G$51,$G42:$N42,0)</f>
        <v>#N/A</v>
      </c>
      <c r="H55" t="e">
        <f t="shared" si="21"/>
        <v>#N/A</v>
      </c>
      <c r="I55" t="e">
        <f t="shared" si="21"/>
        <v>#N/A</v>
      </c>
      <c r="J55" t="e">
        <f t="shared" si="21"/>
        <v>#N/A</v>
      </c>
      <c r="K55" t="e">
        <f t="shared" si="21"/>
        <v>#N/A</v>
      </c>
      <c r="L55" t="e">
        <f t="shared" si="21"/>
        <v>#N/A</v>
      </c>
      <c r="M55" t="e">
        <f t="shared" si="21"/>
        <v>#N/A</v>
      </c>
      <c r="N55" t="e">
        <f t="shared" si="21"/>
        <v>#N/A</v>
      </c>
    </row>
    <row r="56" spans="1:19">
      <c r="E56" t="e">
        <f t="shared" si="19"/>
        <v>#N/A</v>
      </c>
      <c r="G56" t="e">
        <f t="shared" ref="G56:N56" si="22">MATCH(G$51,$G43:$N43,0)</f>
        <v>#N/A</v>
      </c>
      <c r="H56" t="e">
        <f t="shared" si="22"/>
        <v>#N/A</v>
      </c>
      <c r="I56" t="e">
        <f t="shared" si="22"/>
        <v>#N/A</v>
      </c>
      <c r="J56" t="e">
        <f t="shared" si="22"/>
        <v>#N/A</v>
      </c>
      <c r="K56" t="e">
        <f t="shared" si="22"/>
        <v>#N/A</v>
      </c>
      <c r="L56" t="e">
        <f t="shared" si="22"/>
        <v>#N/A</v>
      </c>
      <c r="M56" t="e">
        <f t="shared" si="22"/>
        <v>#N/A</v>
      </c>
      <c r="N56" t="e">
        <f t="shared" si="22"/>
        <v>#N/A</v>
      </c>
    </row>
    <row r="57" spans="1:19">
      <c r="E57" t="e">
        <f t="shared" si="19"/>
        <v>#N/A</v>
      </c>
      <c r="G57" t="e">
        <f t="shared" ref="G57:N57" si="23">MATCH(G$51,$G44:$N44,0)</f>
        <v>#N/A</v>
      </c>
      <c r="H57" t="e">
        <f t="shared" si="23"/>
        <v>#N/A</v>
      </c>
      <c r="I57" t="e">
        <f t="shared" si="23"/>
        <v>#N/A</v>
      </c>
      <c r="J57" t="e">
        <f t="shared" si="23"/>
        <v>#N/A</v>
      </c>
      <c r="K57" t="e">
        <f t="shared" si="23"/>
        <v>#N/A</v>
      </c>
      <c r="L57" t="e">
        <f t="shared" si="23"/>
        <v>#N/A</v>
      </c>
      <c r="M57" t="e">
        <f t="shared" si="23"/>
        <v>#N/A</v>
      </c>
      <c r="N57" t="e">
        <f t="shared" si="23"/>
        <v>#N/A</v>
      </c>
    </row>
    <row r="58" spans="1:19">
      <c r="E58">
        <f t="shared" si="19"/>
        <v>0</v>
      </c>
      <c r="G58" t="e">
        <f t="shared" ref="G58:N58" si="24">MATCH(G$51,$G45:$N45,0)</f>
        <v>#N/A</v>
      </c>
      <c r="H58" t="e">
        <f t="shared" si="24"/>
        <v>#N/A</v>
      </c>
      <c r="I58" t="e">
        <f t="shared" si="24"/>
        <v>#N/A</v>
      </c>
      <c r="J58" t="e">
        <f t="shared" si="24"/>
        <v>#N/A</v>
      </c>
      <c r="K58" t="e">
        <f t="shared" si="24"/>
        <v>#N/A</v>
      </c>
      <c r="L58" t="e">
        <f t="shared" si="24"/>
        <v>#N/A</v>
      </c>
      <c r="M58" t="e">
        <f t="shared" si="24"/>
        <v>#N/A</v>
      </c>
      <c r="N58" t="e">
        <f t="shared" si="24"/>
        <v>#N/A</v>
      </c>
    </row>
    <row r="59" spans="1:19">
      <c r="E59">
        <f t="shared" si="19"/>
        <v>0</v>
      </c>
      <c r="G59" t="e">
        <f t="shared" ref="G59:N59" si="25">MATCH(G$51,$G46:$N46,0)</f>
        <v>#N/A</v>
      </c>
      <c r="H59" t="e">
        <f t="shared" si="25"/>
        <v>#N/A</v>
      </c>
      <c r="I59" t="e">
        <f t="shared" si="25"/>
        <v>#N/A</v>
      </c>
      <c r="J59" t="e">
        <f t="shared" si="25"/>
        <v>#N/A</v>
      </c>
      <c r="K59" t="e">
        <f t="shared" si="25"/>
        <v>#N/A</v>
      </c>
      <c r="L59" t="e">
        <f t="shared" si="25"/>
        <v>#N/A</v>
      </c>
      <c r="M59" t="e">
        <f t="shared" si="25"/>
        <v>#N/A</v>
      </c>
      <c r="N59" t="e">
        <f t="shared" si="25"/>
        <v>#N/A</v>
      </c>
    </row>
    <row r="60" spans="1:19">
      <c r="E60">
        <f t="shared" si="19"/>
        <v>0</v>
      </c>
      <c r="G60" t="e">
        <f t="shared" ref="G60:N60" si="26">MATCH(G$51,$G47:$N47,0)</f>
        <v>#N/A</v>
      </c>
      <c r="H60" t="e">
        <f t="shared" si="26"/>
        <v>#N/A</v>
      </c>
      <c r="I60" t="e">
        <f t="shared" si="26"/>
        <v>#N/A</v>
      </c>
      <c r="J60" t="e">
        <f t="shared" si="26"/>
        <v>#N/A</v>
      </c>
      <c r="K60" t="e">
        <f t="shared" si="26"/>
        <v>#N/A</v>
      </c>
      <c r="L60" t="e">
        <f t="shared" si="26"/>
        <v>#N/A</v>
      </c>
      <c r="M60" t="e">
        <f t="shared" si="26"/>
        <v>#N/A</v>
      </c>
      <c r="N60" t="e">
        <f t="shared" si="26"/>
        <v>#N/A</v>
      </c>
    </row>
    <row r="61" spans="1:19">
      <c r="E61">
        <f t="shared" si="19"/>
        <v>0</v>
      </c>
      <c r="G61" t="e">
        <f t="shared" ref="G61:N61" si="27">MATCH(G$51,$G48:$N48,0)</f>
        <v>#N/A</v>
      </c>
      <c r="H61" t="e">
        <f t="shared" si="27"/>
        <v>#N/A</v>
      </c>
      <c r="I61" t="e">
        <f t="shared" si="27"/>
        <v>#N/A</v>
      </c>
      <c r="J61" t="e">
        <f t="shared" si="27"/>
        <v>#N/A</v>
      </c>
      <c r="K61" t="e">
        <f t="shared" si="27"/>
        <v>#N/A</v>
      </c>
      <c r="L61" t="e">
        <f t="shared" si="27"/>
        <v>#N/A</v>
      </c>
      <c r="M61" t="e">
        <f t="shared" si="27"/>
        <v>#N/A</v>
      </c>
      <c r="N61" t="e">
        <f t="shared" si="27"/>
        <v>#N/A</v>
      </c>
    </row>
    <row r="62" spans="1:19">
      <c r="E62">
        <f t="shared" si="19"/>
        <v>0</v>
      </c>
      <c r="G62" t="e">
        <f t="shared" ref="G62:N62" si="28">MATCH(G$51,$G49:$N49,0)</f>
        <v>#N/A</v>
      </c>
      <c r="H62" t="e">
        <f t="shared" si="28"/>
        <v>#N/A</v>
      </c>
      <c r="I62" t="e">
        <f t="shared" si="28"/>
        <v>#N/A</v>
      </c>
      <c r="J62" t="e">
        <f t="shared" si="28"/>
        <v>#N/A</v>
      </c>
      <c r="K62" t="e">
        <f t="shared" si="28"/>
        <v>#N/A</v>
      </c>
      <c r="L62" t="e">
        <f t="shared" si="28"/>
        <v>#N/A</v>
      </c>
      <c r="M62" t="e">
        <f t="shared" si="28"/>
        <v>#N/A</v>
      </c>
      <c r="N62" t="e">
        <f t="shared" si="28"/>
        <v>#N/A</v>
      </c>
    </row>
    <row r="64" spans="1:19">
      <c r="D64" s="57">
        <v>1</v>
      </c>
      <c r="G64">
        <v>2</v>
      </c>
      <c r="J64">
        <v>3</v>
      </c>
      <c r="M64">
        <v>4</v>
      </c>
      <c r="P64">
        <v>5</v>
      </c>
      <c r="S64">
        <v>6</v>
      </c>
    </row>
    <row r="66" spans="2:22">
      <c r="D66" t="str">
        <f>INDEX($E$26:$E$31,D$64)</f>
        <v>Fairness of judicial process, 0-4, where 0= best and 4 = worst</v>
      </c>
      <c r="G66" t="e">
        <f>INDEX($E$26:$E$31,G$64)</f>
        <v>#N/A</v>
      </c>
      <c r="J66" t="e">
        <f>INDEX($E$26:$E$31,J$64)</f>
        <v>#N/A</v>
      </c>
      <c r="M66" t="e">
        <f>INDEX($E$26:$E$31,M$64)</f>
        <v>#N/A</v>
      </c>
      <c r="P66" t="e">
        <f>INDEX($E$26:$E$31,P$64)</f>
        <v>#N/A</v>
      </c>
      <c r="S66" t="e">
        <f>INDEX($E$26:$E$31,S$64)</f>
        <v>#N/A</v>
      </c>
    </row>
    <row r="67" spans="2:22">
      <c r="B67">
        <v>1</v>
      </c>
      <c r="D67" t="e">
        <f>INDEX($G$25:$N$25,INDEX($G$52:$N$64,D$64,$B67))</f>
        <v>#N/A</v>
      </c>
      <c r="E67" t="e">
        <f>INDEX($G$26:$N$37,D$64,INDEX($G$52:$N$64,D$64,$B67))</f>
        <v>#N/A</v>
      </c>
      <c r="G67" t="e">
        <f>INDEX($G$25:$N$25,INDEX($G$52:$N$64,G$64,$B67))</f>
        <v>#N/A</v>
      </c>
      <c r="H67" t="e">
        <f>INDEX($G$26:$N$37,G$64,INDEX($G$52:$N$64,G$64,$B67))</f>
        <v>#N/A</v>
      </c>
      <c r="J67" t="e">
        <f>INDEX($G$25:$N$25,INDEX($G$52:$N$64,J$64,$B67))</f>
        <v>#N/A</v>
      </c>
      <c r="K67" t="e">
        <f>INDEX($G$26:$N$37,J$64,INDEX($G$52:$N$64,J$64,$B67))</f>
        <v>#N/A</v>
      </c>
      <c r="M67" t="e">
        <f>INDEX($G$25:$N$25,INDEX($G$52:$N$64,M$64,$B67))</f>
        <v>#N/A</v>
      </c>
      <c r="N67" t="e">
        <f>INDEX($G$26:$N$37,M$64,INDEX($G$52:$N$64,M$64,$B67))</f>
        <v>#N/A</v>
      </c>
      <c r="P67" t="e">
        <f>INDEX($G$25:$N$25,INDEX($G$52:$N$64,P$64,$B67))</f>
        <v>#N/A</v>
      </c>
      <c r="Q67" t="e">
        <f>INDEX($G$26:$N$37,P$64,INDEX($G$52:$N$64,P$64,$B67))</f>
        <v>#N/A</v>
      </c>
      <c r="S67" t="e">
        <f>INDEX($G$25:$N$25,INDEX($G$52:$N$64,S$64,$B67))</f>
        <v>#N/A</v>
      </c>
      <c r="T67" t="e">
        <f>INDEX($G$26:$N$37,S$64,INDEX($G$52:$N$64,S$64,$B67))</f>
        <v>#N/A</v>
      </c>
    </row>
    <row r="68" spans="2:22">
      <c r="B68">
        <v>2</v>
      </c>
      <c r="D68" t="e">
        <f t="shared" ref="D68:D74" si="29">INDEX($G$25:$N$25,INDEX($G$52:$N$64,D$64,$B68))</f>
        <v>#N/A</v>
      </c>
      <c r="E68" t="e">
        <f t="shared" ref="E68:E74" si="30">INDEX($G$26:$N$37,D$64,INDEX($G$52:$N$64,D$64,$B68))</f>
        <v>#N/A</v>
      </c>
      <c r="G68" t="e">
        <f t="shared" ref="G68:G74" si="31">INDEX($G$25:$N$25,INDEX($G$52:$N$64,G$64,$B68))</f>
        <v>#N/A</v>
      </c>
      <c r="H68" t="e">
        <f t="shared" ref="H68:H74" si="32">INDEX($G$26:$N$37,G$64,INDEX($G$52:$N$64,G$64,$B68))</f>
        <v>#N/A</v>
      </c>
      <c r="J68" t="e">
        <f t="shared" ref="J68:J74" si="33">INDEX($G$25:$N$25,INDEX($G$52:$N$64,J$64,$B68))</f>
        <v>#N/A</v>
      </c>
      <c r="K68" t="e">
        <f t="shared" ref="K68:K74" si="34">INDEX($G$26:$N$37,J$64,INDEX($G$52:$N$64,J$64,$B68))</f>
        <v>#N/A</v>
      </c>
      <c r="M68" t="e">
        <f t="shared" ref="M68:M74" si="35">INDEX($G$25:$N$25,INDEX($G$52:$N$64,M$64,$B68))</f>
        <v>#N/A</v>
      </c>
      <c r="N68" t="e">
        <f t="shared" ref="N68:N74" si="36">INDEX($G$26:$N$37,M$64,INDEX($G$52:$N$64,M$64,$B68))</f>
        <v>#N/A</v>
      </c>
      <c r="P68" t="e">
        <f t="shared" ref="P68:P74" si="37">INDEX($G$25:$N$25,INDEX($G$52:$N$64,P$64,$B68))</f>
        <v>#N/A</v>
      </c>
      <c r="Q68" t="e">
        <f t="shared" ref="Q68:Q74" si="38">INDEX($G$26:$N$37,P$64,INDEX($G$52:$N$64,P$64,$B68))</f>
        <v>#N/A</v>
      </c>
      <c r="S68" t="e">
        <f t="shared" ref="S68:S74" si="39">INDEX($G$25:$N$25,INDEX($G$52:$N$64,S$64,$B68))</f>
        <v>#N/A</v>
      </c>
      <c r="T68" t="e">
        <f t="shared" ref="T68:T74" si="40">INDEX($G$26:$N$37,S$64,INDEX($G$52:$N$64,S$64,$B68))</f>
        <v>#N/A</v>
      </c>
    </row>
    <row r="69" spans="2:22">
      <c r="B69">
        <v>3</v>
      </c>
      <c r="D69" t="e">
        <f t="shared" si="29"/>
        <v>#N/A</v>
      </c>
      <c r="E69" t="e">
        <f t="shared" si="30"/>
        <v>#N/A</v>
      </c>
      <c r="G69" t="e">
        <f t="shared" si="31"/>
        <v>#N/A</v>
      </c>
      <c r="H69" t="e">
        <f t="shared" si="32"/>
        <v>#N/A</v>
      </c>
      <c r="J69" t="e">
        <f t="shared" si="33"/>
        <v>#N/A</v>
      </c>
      <c r="K69" t="e">
        <f t="shared" si="34"/>
        <v>#N/A</v>
      </c>
      <c r="M69" t="e">
        <f t="shared" si="35"/>
        <v>#N/A</v>
      </c>
      <c r="N69" t="e">
        <f t="shared" si="36"/>
        <v>#N/A</v>
      </c>
      <c r="P69" t="e">
        <f t="shared" si="37"/>
        <v>#N/A</v>
      </c>
      <c r="Q69" t="e">
        <f t="shared" si="38"/>
        <v>#N/A</v>
      </c>
      <c r="S69" t="e">
        <f t="shared" si="39"/>
        <v>#N/A</v>
      </c>
      <c r="T69" t="e">
        <f t="shared" si="40"/>
        <v>#N/A</v>
      </c>
    </row>
    <row r="70" spans="2:22">
      <c r="B70">
        <v>4</v>
      </c>
      <c r="D70" t="e">
        <f t="shared" si="29"/>
        <v>#N/A</v>
      </c>
      <c r="E70" t="e">
        <f t="shared" si="30"/>
        <v>#N/A</v>
      </c>
      <c r="G70" t="e">
        <f t="shared" si="31"/>
        <v>#N/A</v>
      </c>
      <c r="H70" t="e">
        <f t="shared" si="32"/>
        <v>#N/A</v>
      </c>
      <c r="J70" t="e">
        <f t="shared" si="33"/>
        <v>#N/A</v>
      </c>
      <c r="K70" t="e">
        <f t="shared" si="34"/>
        <v>#N/A</v>
      </c>
      <c r="M70" t="e">
        <f t="shared" si="35"/>
        <v>#N/A</v>
      </c>
      <c r="N70" t="e">
        <f t="shared" si="36"/>
        <v>#N/A</v>
      </c>
      <c r="P70" t="e">
        <f t="shared" si="37"/>
        <v>#N/A</v>
      </c>
      <c r="Q70" t="e">
        <f t="shared" si="38"/>
        <v>#N/A</v>
      </c>
      <c r="S70" t="e">
        <f t="shared" si="39"/>
        <v>#N/A</v>
      </c>
      <c r="T70" t="e">
        <f t="shared" si="40"/>
        <v>#N/A</v>
      </c>
    </row>
    <row r="71" spans="2:22">
      <c r="B71">
        <v>5</v>
      </c>
      <c r="D71" t="e">
        <f t="shared" si="29"/>
        <v>#N/A</v>
      </c>
      <c r="E71" t="e">
        <f t="shared" si="30"/>
        <v>#N/A</v>
      </c>
      <c r="G71" t="e">
        <f t="shared" si="31"/>
        <v>#N/A</v>
      </c>
      <c r="H71" t="e">
        <f t="shared" si="32"/>
        <v>#N/A</v>
      </c>
      <c r="J71" t="e">
        <f t="shared" si="33"/>
        <v>#N/A</v>
      </c>
      <c r="K71" t="e">
        <f t="shared" si="34"/>
        <v>#N/A</v>
      </c>
      <c r="M71" t="e">
        <f t="shared" si="35"/>
        <v>#N/A</v>
      </c>
      <c r="N71" t="e">
        <f t="shared" si="36"/>
        <v>#N/A</v>
      </c>
      <c r="P71" t="e">
        <f t="shared" si="37"/>
        <v>#N/A</v>
      </c>
      <c r="Q71" t="e">
        <f t="shared" si="38"/>
        <v>#N/A</v>
      </c>
      <c r="S71" t="e">
        <f t="shared" si="39"/>
        <v>#N/A</v>
      </c>
      <c r="T71" t="e">
        <f t="shared" si="40"/>
        <v>#N/A</v>
      </c>
    </row>
    <row r="72" spans="2:22">
      <c r="B72">
        <v>6</v>
      </c>
      <c r="D72" t="e">
        <f t="shared" si="29"/>
        <v>#N/A</v>
      </c>
      <c r="E72" t="e">
        <f t="shared" si="30"/>
        <v>#N/A</v>
      </c>
      <c r="G72" t="e">
        <f t="shared" si="31"/>
        <v>#N/A</v>
      </c>
      <c r="H72" t="e">
        <f t="shared" si="32"/>
        <v>#N/A</v>
      </c>
      <c r="J72" t="e">
        <f t="shared" si="33"/>
        <v>#N/A</v>
      </c>
      <c r="K72" t="e">
        <f t="shared" si="34"/>
        <v>#N/A</v>
      </c>
      <c r="M72" t="e">
        <f t="shared" si="35"/>
        <v>#N/A</v>
      </c>
      <c r="N72" t="e">
        <f t="shared" si="36"/>
        <v>#N/A</v>
      </c>
      <c r="P72" t="e">
        <f t="shared" si="37"/>
        <v>#N/A</v>
      </c>
      <c r="Q72" t="e">
        <f t="shared" si="38"/>
        <v>#N/A</v>
      </c>
      <c r="S72" t="e">
        <f t="shared" si="39"/>
        <v>#N/A</v>
      </c>
      <c r="T72" t="e">
        <f t="shared" si="40"/>
        <v>#N/A</v>
      </c>
    </row>
    <row r="73" spans="2:22">
      <c r="B73">
        <v>7</v>
      </c>
      <c r="D73" t="e">
        <f t="shared" si="29"/>
        <v>#N/A</v>
      </c>
      <c r="E73" t="e">
        <f t="shared" si="30"/>
        <v>#N/A</v>
      </c>
      <c r="G73" t="e">
        <f t="shared" si="31"/>
        <v>#N/A</v>
      </c>
      <c r="H73" t="e">
        <f t="shared" si="32"/>
        <v>#N/A</v>
      </c>
      <c r="J73" t="e">
        <f t="shared" si="33"/>
        <v>#N/A</v>
      </c>
      <c r="K73" t="e">
        <f t="shared" si="34"/>
        <v>#N/A</v>
      </c>
      <c r="M73" t="e">
        <f t="shared" si="35"/>
        <v>#N/A</v>
      </c>
      <c r="N73" t="e">
        <f t="shared" si="36"/>
        <v>#N/A</v>
      </c>
      <c r="P73" t="e">
        <f t="shared" si="37"/>
        <v>#N/A</v>
      </c>
      <c r="Q73" t="e">
        <f t="shared" si="38"/>
        <v>#N/A</v>
      </c>
      <c r="S73" t="e">
        <f t="shared" si="39"/>
        <v>#N/A</v>
      </c>
      <c r="T73" t="e">
        <f t="shared" si="40"/>
        <v>#N/A</v>
      </c>
    </row>
    <row r="74" spans="2:22">
      <c r="B74">
        <v>8</v>
      </c>
      <c r="D74" t="e">
        <f t="shared" si="29"/>
        <v>#N/A</v>
      </c>
      <c r="E74" t="e">
        <f t="shared" si="30"/>
        <v>#N/A</v>
      </c>
      <c r="G74" t="e">
        <f t="shared" si="31"/>
        <v>#N/A</v>
      </c>
      <c r="H74" t="e">
        <f t="shared" si="32"/>
        <v>#N/A</v>
      </c>
      <c r="J74" t="e">
        <f t="shared" si="33"/>
        <v>#N/A</v>
      </c>
      <c r="K74" t="e">
        <f t="shared" si="34"/>
        <v>#N/A</v>
      </c>
      <c r="M74" t="e">
        <f t="shared" si="35"/>
        <v>#N/A</v>
      </c>
      <c r="N74" t="e">
        <f t="shared" si="36"/>
        <v>#N/A</v>
      </c>
      <c r="P74" t="e">
        <f t="shared" si="37"/>
        <v>#N/A</v>
      </c>
      <c r="Q74" t="e">
        <f t="shared" si="38"/>
        <v>#N/A</v>
      </c>
      <c r="S74" t="e">
        <f t="shared" si="39"/>
        <v>#N/A</v>
      </c>
      <c r="T74" t="e">
        <f t="shared" si="40"/>
        <v>#N/A</v>
      </c>
    </row>
    <row r="76" spans="2:22">
      <c r="H76" s="81" t="e">
        <f>CORREL($F79:$F117,H79:H117)</f>
        <v>#REF!</v>
      </c>
      <c r="I76" s="81" t="e">
        <f t="shared" ref="I76:N76" si="41">CORREL($F79:$F117,I79:I117)</f>
        <v>#REF!</v>
      </c>
      <c r="J76" s="81" t="e">
        <f t="shared" si="41"/>
        <v>#REF!</v>
      </c>
      <c r="K76" s="81" t="e">
        <f t="shared" si="41"/>
        <v>#REF!</v>
      </c>
      <c r="L76" s="81" t="e">
        <f t="shared" si="41"/>
        <v>#REF!</v>
      </c>
      <c r="M76" s="81" t="e">
        <f t="shared" si="41"/>
        <v>#REF!</v>
      </c>
      <c r="N76" s="81" t="e">
        <f t="shared" si="41"/>
        <v>#REF!</v>
      </c>
      <c r="P76" s="81" t="e">
        <f>H6</f>
        <v>#REF!</v>
      </c>
      <c r="Q76" s="81" t="e">
        <f t="shared" ref="Q76:V76" si="42">I6</f>
        <v>#REF!</v>
      </c>
      <c r="R76" s="81" t="e">
        <f t="shared" si="42"/>
        <v>#REF!</v>
      </c>
      <c r="S76" s="81">
        <f t="shared" si="42"/>
        <v>0</v>
      </c>
      <c r="T76" s="81" t="e">
        <f t="shared" si="42"/>
        <v>#REF!</v>
      </c>
      <c r="U76" s="81" t="e">
        <f t="shared" si="42"/>
        <v>#REF!</v>
      </c>
      <c r="V76" s="81" t="e">
        <f t="shared" si="42"/>
        <v>#REF!</v>
      </c>
    </row>
    <row r="78" spans="2:22">
      <c r="B78" s="68" t="s">
        <v>666</v>
      </c>
      <c r="C78" t="e">
        <f t="shared" ref="C78:C125" ca="1" si="43">MATCH(B78,score_indicode,0)</f>
        <v>#N/A</v>
      </c>
      <c r="D78" t="e">
        <f t="shared" ref="D78:D125" ca="1" si="44">MATCH(B78,indi_code,0)</f>
        <v>#N/A</v>
      </c>
      <c r="E78" t="e">
        <f t="shared" ref="E78:E125" ca="1" si="45">INDEX(indi_short,D78)</f>
        <v>#N/A</v>
      </c>
      <c r="F78" t="e">
        <f t="shared" ca="1" si="6"/>
        <v>#N/A</v>
      </c>
      <c r="H78" t="e">
        <f t="shared" ref="H78:N79" ca="1" si="46">INDEX(data,$C78,H$5)</f>
        <v>#N/A</v>
      </c>
      <c r="I78" t="e">
        <f t="shared" ca="1" si="46"/>
        <v>#N/A</v>
      </c>
      <c r="J78" t="e">
        <f t="shared" ca="1" si="46"/>
        <v>#N/A</v>
      </c>
      <c r="K78" t="e">
        <f t="shared" ca="1" si="46"/>
        <v>#N/A</v>
      </c>
      <c r="L78" t="e">
        <f t="shared" ca="1" si="46"/>
        <v>#N/A</v>
      </c>
      <c r="M78" t="e">
        <f t="shared" ca="1" si="46"/>
        <v>#N/A</v>
      </c>
      <c r="N78" t="e">
        <f t="shared" ca="1" si="46"/>
        <v>#N/A</v>
      </c>
      <c r="P78" t="e">
        <f>SUM(P79:P117)</f>
        <v>#REF!</v>
      </c>
      <c r="Q78" t="e">
        <f t="shared" ref="Q78:V78" si="47">SUM(Q79:Q117)</f>
        <v>#REF!</v>
      </c>
      <c r="R78" t="e">
        <f t="shared" si="47"/>
        <v>#REF!</v>
      </c>
      <c r="S78" t="e">
        <f t="shared" si="47"/>
        <v>#REF!</v>
      </c>
      <c r="T78" t="e">
        <f t="shared" si="47"/>
        <v>#REF!</v>
      </c>
      <c r="U78" t="e">
        <f t="shared" si="47"/>
        <v>#REF!</v>
      </c>
      <c r="V78" t="e">
        <f t="shared" si="47"/>
        <v>#REF!</v>
      </c>
    </row>
    <row r="79" spans="2:22">
      <c r="B79" t="str">
        <f ca="1">tblIndicators!A2</f>
        <v>TOTL</v>
      </c>
      <c r="C79">
        <f t="shared" ca="1" si="43"/>
        <v>1</v>
      </c>
      <c r="D79">
        <f t="shared" ca="1" si="44"/>
        <v>1</v>
      </c>
      <c r="E79" t="str">
        <f t="shared" ca="1" si="45"/>
        <v>OVERALL SCORE</v>
      </c>
      <c r="F79">
        <f t="shared" ca="1" si="6"/>
        <v>0</v>
      </c>
      <c r="H79" t="e">
        <f t="shared" ca="1" si="46"/>
        <v>#REF!</v>
      </c>
      <c r="I79" t="e">
        <f t="shared" ca="1" si="46"/>
        <v>#REF!</v>
      </c>
      <c r="J79" t="e">
        <f t="shared" ca="1" si="46"/>
        <v>#REF!</v>
      </c>
      <c r="K79">
        <f t="shared" ca="1" si="46"/>
        <v>0</v>
      </c>
      <c r="L79" t="e">
        <f t="shared" ca="1" si="46"/>
        <v>#REF!</v>
      </c>
      <c r="M79" t="e">
        <f t="shared" ca="1" si="46"/>
        <v>#REF!</v>
      </c>
      <c r="N79" t="e">
        <f t="shared" ca="1" si="46"/>
        <v>#REF!</v>
      </c>
      <c r="P79">
        <f>IF($F79=0,0,ABS(($F79-H79)/$F79))</f>
        <v>0</v>
      </c>
      <c r="Q79">
        <f t="shared" ref="Q79:V79" si="48">IF($F79=0,0,ABS(($F79-I79)/$F79))</f>
        <v>0</v>
      </c>
      <c r="R79">
        <f t="shared" si="48"/>
        <v>0</v>
      </c>
      <c r="S79">
        <f t="shared" si="48"/>
        <v>0</v>
      </c>
      <c r="T79">
        <f t="shared" si="48"/>
        <v>0</v>
      </c>
      <c r="U79">
        <f t="shared" si="48"/>
        <v>0</v>
      </c>
      <c r="V79">
        <f t="shared" si="48"/>
        <v>0</v>
      </c>
    </row>
    <row r="80" spans="2:22">
      <c r="B80" t="str">
        <f ca="1">tblIndicators!A3</f>
        <v>LEGF</v>
      </c>
      <c r="C80">
        <f t="shared" ca="1" si="43"/>
        <v>2</v>
      </c>
      <c r="D80">
        <f t="shared" ca="1" si="44"/>
        <v>2</v>
      </c>
      <c r="E80" t="str">
        <f t="shared" ca="1" si="45"/>
        <v>Legal and regulatory framework</v>
      </c>
      <c r="F80">
        <f t="shared" ca="1" si="6"/>
        <v>0</v>
      </c>
      <c r="H80" t="e">
        <f t="shared" ref="H80:N116" ca="1" si="49">INDEX(data,$C80,H$5)</f>
        <v>#REF!</v>
      </c>
      <c r="I80" t="e">
        <f t="shared" ca="1" si="49"/>
        <v>#REF!</v>
      </c>
      <c r="J80" t="e">
        <f t="shared" ca="1" si="49"/>
        <v>#REF!</v>
      </c>
      <c r="K80">
        <f t="shared" ca="1" si="49"/>
        <v>0</v>
      </c>
      <c r="L80" t="e">
        <f t="shared" ca="1" si="49"/>
        <v>#REF!</v>
      </c>
      <c r="M80" t="e">
        <f t="shared" ca="1" si="49"/>
        <v>#REF!</v>
      </c>
      <c r="N80" t="e">
        <f t="shared" ca="1" si="49"/>
        <v>#REF!</v>
      </c>
      <c r="P80">
        <f t="shared" ref="P80:P117" si="50">IF($F80=0,0,ABS(($F80-H80)/$F80))</f>
        <v>0</v>
      </c>
      <c r="Q80">
        <f t="shared" ref="Q80:Q117" si="51">IF($F80=0,0,ABS(($F80-I80)/$F80))</f>
        <v>0</v>
      </c>
      <c r="R80">
        <f t="shared" ref="R80:R117" si="52">IF($F80=0,0,ABS(($F80-J80)/$F80))</f>
        <v>0</v>
      </c>
      <c r="S80">
        <f t="shared" ref="S80:S117" si="53">IF($F80=0,0,ABS(($F80-K80)/$F80))</f>
        <v>0</v>
      </c>
      <c r="T80">
        <f t="shared" ref="T80:T117" si="54">IF($F80=0,0,ABS(($F80-L80)/$F80))</f>
        <v>0</v>
      </c>
      <c r="U80">
        <f t="shared" ref="U80:U117" si="55">IF($F80=0,0,ABS(($F80-M80)/$F80))</f>
        <v>0</v>
      </c>
      <c r="V80">
        <f t="shared" ref="V80:V117" si="56">IF($F80=0,0,ABS(($F80-N80)/$F80))</f>
        <v>0</v>
      </c>
    </row>
    <row r="81" spans="2:22">
      <c r="B81" t="str">
        <f ca="1">tblIndicators!A4</f>
        <v>LEGF01</v>
      </c>
      <c r="C81">
        <f t="shared" ca="1" si="43"/>
        <v>3</v>
      </c>
      <c r="D81">
        <f t="shared" ca="1" si="44"/>
        <v>3</v>
      </c>
      <c r="E81" t="str">
        <f t="shared" ca="1" si="45"/>
        <v>Consistency and quality of PPP regulations</v>
      </c>
      <c r="F81">
        <f t="shared" ca="1" si="6"/>
        <v>2</v>
      </c>
      <c r="H81" t="e">
        <f t="shared" ca="1" si="49"/>
        <v>#REF!</v>
      </c>
      <c r="I81" t="e">
        <f t="shared" ca="1" si="49"/>
        <v>#REF!</v>
      </c>
      <c r="J81" t="e">
        <f t="shared" ca="1" si="49"/>
        <v>#REF!</v>
      </c>
      <c r="K81">
        <f t="shared" ca="1" si="49"/>
        <v>2</v>
      </c>
      <c r="L81" t="e">
        <f t="shared" ca="1" si="49"/>
        <v>#REF!</v>
      </c>
      <c r="M81" t="e">
        <f t="shared" ca="1" si="49"/>
        <v>#REF!</v>
      </c>
      <c r="N81" t="e">
        <f t="shared" ca="1" si="49"/>
        <v>#REF!</v>
      </c>
      <c r="P81" t="e">
        <f t="shared" si="50"/>
        <v>#REF!</v>
      </c>
      <c r="Q81" t="e">
        <f t="shared" si="51"/>
        <v>#REF!</v>
      </c>
      <c r="R81" t="e">
        <f t="shared" si="52"/>
        <v>#REF!</v>
      </c>
      <c r="S81">
        <f t="shared" si="53"/>
        <v>0</v>
      </c>
      <c r="T81" t="e">
        <f t="shared" si="54"/>
        <v>#REF!</v>
      </c>
      <c r="U81" t="e">
        <f t="shared" si="55"/>
        <v>#REF!</v>
      </c>
      <c r="V81" t="e">
        <f t="shared" si="56"/>
        <v>#REF!</v>
      </c>
    </row>
    <row r="82" spans="2:22">
      <c r="B82" t="str">
        <f ca="1">tblIndicators!A5</f>
        <v>LEGF02</v>
      </c>
      <c r="C82">
        <f t="shared" ca="1" si="43"/>
        <v>4</v>
      </c>
      <c r="D82">
        <f t="shared" ca="1" si="44"/>
        <v>4</v>
      </c>
      <c r="E82" t="str">
        <f t="shared" ca="1" si="45"/>
        <v>Effective PPP selection and decision making</v>
      </c>
      <c r="F82">
        <f t="shared" ca="1" si="6"/>
        <v>1</v>
      </c>
      <c r="H82" t="e">
        <f t="shared" ca="1" si="49"/>
        <v>#REF!</v>
      </c>
      <c r="I82" t="e">
        <f t="shared" ca="1" si="49"/>
        <v>#REF!</v>
      </c>
      <c r="J82" t="e">
        <f t="shared" ca="1" si="49"/>
        <v>#REF!</v>
      </c>
      <c r="K82">
        <f t="shared" ca="1" si="49"/>
        <v>1</v>
      </c>
      <c r="L82" t="e">
        <f t="shared" ca="1" si="49"/>
        <v>#REF!</v>
      </c>
      <c r="M82" t="e">
        <f t="shared" ca="1" si="49"/>
        <v>#REF!</v>
      </c>
      <c r="N82" t="e">
        <f t="shared" ca="1" si="49"/>
        <v>#REF!</v>
      </c>
      <c r="P82" t="e">
        <f t="shared" si="50"/>
        <v>#REF!</v>
      </c>
      <c r="Q82" t="e">
        <f t="shared" si="51"/>
        <v>#REF!</v>
      </c>
      <c r="R82" t="e">
        <f t="shared" si="52"/>
        <v>#REF!</v>
      </c>
      <c r="S82">
        <f t="shared" si="53"/>
        <v>0</v>
      </c>
      <c r="T82" t="e">
        <f t="shared" si="54"/>
        <v>#REF!</v>
      </c>
      <c r="U82" t="e">
        <f t="shared" si="55"/>
        <v>#REF!</v>
      </c>
      <c r="V82" t="e">
        <f t="shared" si="56"/>
        <v>#REF!</v>
      </c>
    </row>
    <row r="83" spans="2:22">
      <c r="B83" t="str">
        <f ca="1">tblIndicators!A6</f>
        <v>LEGF03</v>
      </c>
      <c r="C83">
        <f t="shared" ca="1" si="43"/>
        <v>5</v>
      </c>
      <c r="D83">
        <f t="shared" ca="1" si="44"/>
        <v>5</v>
      </c>
      <c r="E83" t="str">
        <f t="shared" ca="1" si="45"/>
        <v>Fairness/openness of bids, contract changes</v>
      </c>
      <c r="F83">
        <f t="shared" ca="1" si="6"/>
        <v>1</v>
      </c>
      <c r="H83" t="e">
        <f t="shared" ca="1" si="49"/>
        <v>#REF!</v>
      </c>
      <c r="I83" t="e">
        <f t="shared" ca="1" si="49"/>
        <v>#REF!</v>
      </c>
      <c r="J83" t="e">
        <f t="shared" ca="1" si="49"/>
        <v>#REF!</v>
      </c>
      <c r="K83">
        <f t="shared" ca="1" si="49"/>
        <v>2</v>
      </c>
      <c r="L83" t="e">
        <f t="shared" ca="1" si="49"/>
        <v>#REF!</v>
      </c>
      <c r="M83" t="e">
        <f t="shared" ca="1" si="49"/>
        <v>#REF!</v>
      </c>
      <c r="N83" t="e">
        <f t="shared" ca="1" si="49"/>
        <v>#REF!</v>
      </c>
      <c r="P83" t="e">
        <f t="shared" si="50"/>
        <v>#REF!</v>
      </c>
      <c r="Q83" t="e">
        <f t="shared" si="51"/>
        <v>#REF!</v>
      </c>
      <c r="R83" t="e">
        <f t="shared" si="52"/>
        <v>#REF!</v>
      </c>
      <c r="S83">
        <f t="shared" si="53"/>
        <v>1</v>
      </c>
      <c r="T83" t="e">
        <f t="shared" si="54"/>
        <v>#REF!</v>
      </c>
      <c r="U83" t="e">
        <f t="shared" si="55"/>
        <v>#REF!</v>
      </c>
      <c r="V83" t="e">
        <f t="shared" si="56"/>
        <v>#REF!</v>
      </c>
    </row>
    <row r="84" spans="2:22">
      <c r="B84" t="str">
        <f ca="1">tblIndicators!A7</f>
        <v>LEGF04</v>
      </c>
      <c r="C84">
        <f t="shared" ca="1" si="43"/>
        <v>6</v>
      </c>
      <c r="D84">
        <f t="shared" ca="1" si="44"/>
        <v>6</v>
      </c>
      <c r="E84" t="str">
        <f t="shared" ca="1" si="45"/>
        <v>Dispute resolution mechanisms</v>
      </c>
      <c r="F84">
        <f t="shared" ca="1" si="6"/>
        <v>2</v>
      </c>
      <c r="H84" t="e">
        <f t="shared" ca="1" si="49"/>
        <v>#REF!</v>
      </c>
      <c r="I84" t="e">
        <f t="shared" ca="1" si="49"/>
        <v>#REF!</v>
      </c>
      <c r="J84" t="e">
        <f t="shared" ca="1" si="49"/>
        <v>#REF!</v>
      </c>
      <c r="K84">
        <f t="shared" ca="1" si="49"/>
        <v>2</v>
      </c>
      <c r="L84" t="e">
        <f t="shared" ca="1" si="49"/>
        <v>#REF!</v>
      </c>
      <c r="M84" t="e">
        <f t="shared" ca="1" si="49"/>
        <v>#REF!</v>
      </c>
      <c r="N84" t="e">
        <f t="shared" ca="1" si="49"/>
        <v>#REF!</v>
      </c>
      <c r="P84" t="e">
        <f t="shared" si="50"/>
        <v>#REF!</v>
      </c>
      <c r="Q84" t="e">
        <f t="shared" si="51"/>
        <v>#REF!</v>
      </c>
      <c r="R84" t="e">
        <f t="shared" si="52"/>
        <v>#REF!</v>
      </c>
      <c r="S84">
        <f t="shared" si="53"/>
        <v>0</v>
      </c>
      <c r="T84" t="e">
        <f t="shared" si="54"/>
        <v>#REF!</v>
      </c>
      <c r="U84" t="e">
        <f t="shared" si="55"/>
        <v>#REF!</v>
      </c>
      <c r="V84" t="e">
        <f t="shared" si="56"/>
        <v>#REF!</v>
      </c>
    </row>
    <row r="85" spans="2:22">
      <c r="B85" t="str">
        <f ca="1">tblIndicators!A8</f>
        <v>INST</v>
      </c>
      <c r="C85">
        <f t="shared" ca="1" si="43"/>
        <v>7</v>
      </c>
      <c r="D85">
        <f t="shared" ca="1" si="44"/>
        <v>7</v>
      </c>
      <c r="E85" t="str">
        <f t="shared" ca="1" si="45"/>
        <v>Institutional framework</v>
      </c>
      <c r="F85">
        <f t="shared" ca="1" si="6"/>
        <v>0</v>
      </c>
      <c r="H85" t="e">
        <f t="shared" ca="1" si="49"/>
        <v>#REF!</v>
      </c>
      <c r="I85" t="e">
        <f t="shared" ca="1" si="49"/>
        <v>#REF!</v>
      </c>
      <c r="J85" t="e">
        <f t="shared" ca="1" si="49"/>
        <v>#REF!</v>
      </c>
      <c r="K85">
        <f t="shared" ca="1" si="49"/>
        <v>0</v>
      </c>
      <c r="L85" t="e">
        <f t="shared" ca="1" si="49"/>
        <v>#REF!</v>
      </c>
      <c r="M85" t="e">
        <f t="shared" ca="1" si="49"/>
        <v>#REF!</v>
      </c>
      <c r="N85" t="e">
        <f t="shared" ca="1" si="49"/>
        <v>#REF!</v>
      </c>
      <c r="P85">
        <f t="shared" si="50"/>
        <v>0</v>
      </c>
      <c r="Q85">
        <f t="shared" si="51"/>
        <v>0</v>
      </c>
      <c r="R85">
        <f t="shared" si="52"/>
        <v>0</v>
      </c>
      <c r="S85">
        <f t="shared" si="53"/>
        <v>0</v>
      </c>
      <c r="T85">
        <f t="shared" si="54"/>
        <v>0</v>
      </c>
      <c r="U85">
        <f t="shared" si="55"/>
        <v>0</v>
      </c>
      <c r="V85">
        <f t="shared" si="56"/>
        <v>0</v>
      </c>
    </row>
    <row r="86" spans="2:22">
      <c r="B86" t="e">
        <f ca="1">tblIndicators!#REF!</f>
        <v>#REF!</v>
      </c>
      <c r="C86" t="e">
        <f t="shared" ca="1" si="43"/>
        <v>#REF!</v>
      </c>
      <c r="D86" t="e">
        <f t="shared" ca="1" si="44"/>
        <v>#REF!</v>
      </c>
      <c r="E86" t="e">
        <f t="shared" ca="1" si="45"/>
        <v>#REF!</v>
      </c>
      <c r="F86" t="e">
        <f t="shared" ca="1" si="6"/>
        <v>#REF!</v>
      </c>
      <c r="H86" t="e">
        <f t="shared" ca="1" si="49"/>
        <v>#REF!</v>
      </c>
      <c r="I86" t="e">
        <f t="shared" ca="1" si="49"/>
        <v>#REF!</v>
      </c>
      <c r="J86" t="e">
        <f t="shared" ca="1" si="49"/>
        <v>#REF!</v>
      </c>
      <c r="K86" t="e">
        <f t="shared" ca="1" si="49"/>
        <v>#REF!</v>
      </c>
      <c r="L86" t="e">
        <f t="shared" ca="1" si="49"/>
        <v>#REF!</v>
      </c>
      <c r="M86" t="e">
        <f t="shared" ca="1" si="49"/>
        <v>#REF!</v>
      </c>
      <c r="N86" t="e">
        <f t="shared" ca="1" si="49"/>
        <v>#REF!</v>
      </c>
      <c r="P86" t="e">
        <f t="shared" si="50"/>
        <v>#REF!</v>
      </c>
      <c r="Q86" t="e">
        <f t="shared" si="51"/>
        <v>#REF!</v>
      </c>
      <c r="R86" t="e">
        <f t="shared" si="52"/>
        <v>#REF!</v>
      </c>
      <c r="S86" t="e">
        <f t="shared" si="53"/>
        <v>#REF!</v>
      </c>
      <c r="T86" t="e">
        <f t="shared" si="54"/>
        <v>#REF!</v>
      </c>
      <c r="U86" t="e">
        <f t="shared" si="55"/>
        <v>#REF!</v>
      </c>
      <c r="V86" t="e">
        <f t="shared" si="56"/>
        <v>#REF!</v>
      </c>
    </row>
    <row r="87" spans="2:22">
      <c r="B87" t="str">
        <f ca="1">tblIndicators!A9</f>
        <v>INST01</v>
      </c>
      <c r="C87">
        <f t="shared" ca="1" si="43"/>
        <v>8</v>
      </c>
      <c r="D87">
        <f t="shared" ca="1" si="44"/>
        <v>8</v>
      </c>
      <c r="E87" t="str">
        <f t="shared" ca="1" si="45"/>
        <v>Quality of institutional design</v>
      </c>
      <c r="F87">
        <f t="shared" ca="1" si="6"/>
        <v>1</v>
      </c>
      <c r="H87" t="e">
        <f t="shared" ca="1" si="49"/>
        <v>#REF!</v>
      </c>
      <c r="I87" t="e">
        <f t="shared" ca="1" si="49"/>
        <v>#REF!</v>
      </c>
      <c r="J87" t="e">
        <f t="shared" ca="1" si="49"/>
        <v>#REF!</v>
      </c>
      <c r="K87">
        <f t="shared" ca="1" si="49"/>
        <v>1</v>
      </c>
      <c r="L87" t="e">
        <f t="shared" ca="1" si="49"/>
        <v>#REF!</v>
      </c>
      <c r="M87" t="e">
        <f t="shared" ca="1" si="49"/>
        <v>#REF!</v>
      </c>
      <c r="N87" t="e">
        <f t="shared" ca="1" si="49"/>
        <v>#REF!</v>
      </c>
      <c r="P87" t="e">
        <f t="shared" si="50"/>
        <v>#REF!</v>
      </c>
      <c r="Q87" t="e">
        <f t="shared" si="51"/>
        <v>#REF!</v>
      </c>
      <c r="R87" t="e">
        <f t="shared" si="52"/>
        <v>#REF!</v>
      </c>
      <c r="S87">
        <f t="shared" si="53"/>
        <v>0</v>
      </c>
      <c r="T87" t="e">
        <f t="shared" si="54"/>
        <v>#REF!</v>
      </c>
      <c r="U87" t="e">
        <f t="shared" si="55"/>
        <v>#REF!</v>
      </c>
      <c r="V87" t="e">
        <f t="shared" si="56"/>
        <v>#REF!</v>
      </c>
    </row>
    <row r="88" spans="2:22">
      <c r="B88" t="str">
        <f ca="1">tblIndicators!A10</f>
        <v>INST02</v>
      </c>
      <c r="C88">
        <f t="shared" ca="1" si="43"/>
        <v>9</v>
      </c>
      <c r="D88">
        <f t="shared" ca="1" si="44"/>
        <v>9</v>
      </c>
      <c r="E88" t="str">
        <f t="shared" ca="1" si="45"/>
        <v>PPP contract, hold-up and expropriation risk</v>
      </c>
      <c r="F88">
        <f t="shared" ca="1" si="6"/>
        <v>2</v>
      </c>
      <c r="H88" t="e">
        <f t="shared" ca="1" si="49"/>
        <v>#REF!</v>
      </c>
      <c r="I88" t="e">
        <f t="shared" ca="1" si="49"/>
        <v>#REF!</v>
      </c>
      <c r="J88" t="e">
        <f t="shared" ca="1" si="49"/>
        <v>#REF!</v>
      </c>
      <c r="K88">
        <f t="shared" ca="1" si="49"/>
        <v>1</v>
      </c>
      <c r="L88" t="e">
        <f t="shared" ca="1" si="49"/>
        <v>#REF!</v>
      </c>
      <c r="M88" t="e">
        <f t="shared" ca="1" si="49"/>
        <v>#REF!</v>
      </c>
      <c r="N88" t="e">
        <f t="shared" ca="1" si="49"/>
        <v>#REF!</v>
      </c>
      <c r="P88" t="e">
        <f t="shared" si="50"/>
        <v>#REF!</v>
      </c>
      <c r="Q88" t="e">
        <f t="shared" si="51"/>
        <v>#REF!</v>
      </c>
      <c r="R88" t="e">
        <f t="shared" si="52"/>
        <v>#REF!</v>
      </c>
      <c r="S88">
        <f t="shared" si="53"/>
        <v>0.5</v>
      </c>
      <c r="T88" t="e">
        <f t="shared" si="54"/>
        <v>#REF!</v>
      </c>
      <c r="U88" t="e">
        <f t="shared" si="55"/>
        <v>#REF!</v>
      </c>
      <c r="V88" t="e">
        <f t="shared" si="56"/>
        <v>#REF!</v>
      </c>
    </row>
    <row r="89" spans="2:22">
      <c r="B89" t="str">
        <f ca="1">tblIndicators!A11</f>
        <v>OPER</v>
      </c>
      <c r="C89">
        <f t="shared" ca="1" si="43"/>
        <v>10</v>
      </c>
      <c r="D89">
        <f t="shared" ca="1" si="44"/>
        <v>10</v>
      </c>
      <c r="E89" t="str">
        <f t="shared" ca="1" si="45"/>
        <v>Operational maturity</v>
      </c>
      <c r="F89">
        <f t="shared" ca="1" si="6"/>
        <v>0</v>
      </c>
      <c r="H89" t="e">
        <f t="shared" ca="1" si="49"/>
        <v>#REF!</v>
      </c>
      <c r="I89" t="e">
        <f t="shared" ca="1" si="49"/>
        <v>#REF!</v>
      </c>
      <c r="J89" t="e">
        <f t="shared" ca="1" si="49"/>
        <v>#REF!</v>
      </c>
      <c r="K89">
        <f t="shared" ca="1" si="49"/>
        <v>0</v>
      </c>
      <c r="L89" t="e">
        <f t="shared" ca="1" si="49"/>
        <v>#REF!</v>
      </c>
      <c r="M89" t="e">
        <f t="shared" ca="1" si="49"/>
        <v>#REF!</v>
      </c>
      <c r="N89" t="e">
        <f t="shared" ca="1" si="49"/>
        <v>#REF!</v>
      </c>
      <c r="P89">
        <f t="shared" si="50"/>
        <v>0</v>
      </c>
      <c r="Q89">
        <f t="shared" si="51"/>
        <v>0</v>
      </c>
      <c r="R89">
        <f t="shared" si="52"/>
        <v>0</v>
      </c>
      <c r="S89">
        <f t="shared" si="53"/>
        <v>0</v>
      </c>
      <c r="T89">
        <f t="shared" si="54"/>
        <v>0</v>
      </c>
      <c r="U89">
        <f t="shared" si="55"/>
        <v>0</v>
      </c>
      <c r="V89">
        <f t="shared" si="56"/>
        <v>0</v>
      </c>
    </row>
    <row r="90" spans="2:22">
      <c r="B90" t="str">
        <f ca="1">tblIndicators!A12</f>
        <v>OPER01</v>
      </c>
      <c r="C90">
        <f t="shared" ca="1" si="43"/>
        <v>11</v>
      </c>
      <c r="D90">
        <f t="shared" ca="1" si="44"/>
        <v>11</v>
      </c>
      <c r="E90" t="str">
        <f t="shared" ca="1" si="45"/>
        <v>Public capacity to plan and oversee PPPs</v>
      </c>
      <c r="F90">
        <f t="shared" ca="1" si="6"/>
        <v>1</v>
      </c>
      <c r="H90" t="e">
        <f t="shared" ca="1" si="49"/>
        <v>#REF!</v>
      </c>
      <c r="I90" t="e">
        <f t="shared" ca="1" si="49"/>
        <v>#REF!</v>
      </c>
      <c r="J90" t="e">
        <f t="shared" ca="1" si="49"/>
        <v>#REF!</v>
      </c>
      <c r="K90">
        <f t="shared" ca="1" si="49"/>
        <v>1</v>
      </c>
      <c r="L90" t="e">
        <f t="shared" ca="1" si="49"/>
        <v>#REF!</v>
      </c>
      <c r="M90" t="e">
        <f t="shared" ca="1" si="49"/>
        <v>#REF!</v>
      </c>
      <c r="N90" t="e">
        <f t="shared" ca="1" si="49"/>
        <v>#REF!</v>
      </c>
      <c r="P90" t="e">
        <f t="shared" si="50"/>
        <v>#REF!</v>
      </c>
      <c r="Q90" t="e">
        <f t="shared" si="51"/>
        <v>#REF!</v>
      </c>
      <c r="R90" t="e">
        <f t="shared" si="52"/>
        <v>#REF!</v>
      </c>
      <c r="S90">
        <f t="shared" si="53"/>
        <v>0</v>
      </c>
      <c r="T90" t="e">
        <f t="shared" si="54"/>
        <v>#REF!</v>
      </c>
      <c r="U90" t="e">
        <f t="shared" si="55"/>
        <v>#REF!</v>
      </c>
      <c r="V90" t="e">
        <f t="shared" si="56"/>
        <v>#REF!</v>
      </c>
    </row>
    <row r="91" spans="2:22">
      <c r="B91" t="str">
        <f ca="1">tblIndicators!A13</f>
        <v>OPER02</v>
      </c>
      <c r="C91">
        <f t="shared" ca="1" si="43"/>
        <v>12</v>
      </c>
      <c r="D91">
        <f t="shared" ca="1" si="44"/>
        <v>12</v>
      </c>
      <c r="E91" t="str">
        <f t="shared" ca="1" si="45"/>
        <v xml:space="preserve">Methods and criteria for awarding projects </v>
      </c>
      <c r="F91">
        <f t="shared" ca="1" si="6"/>
        <v>1</v>
      </c>
      <c r="H91" t="e">
        <f t="shared" ca="1" si="49"/>
        <v>#REF!</v>
      </c>
      <c r="I91" t="e">
        <f t="shared" ca="1" si="49"/>
        <v>#REF!</v>
      </c>
      <c r="J91" t="e">
        <f t="shared" ca="1" si="49"/>
        <v>#REF!</v>
      </c>
      <c r="K91">
        <f t="shared" ca="1" si="49"/>
        <v>2</v>
      </c>
      <c r="L91" t="e">
        <f t="shared" ca="1" si="49"/>
        <v>#REF!</v>
      </c>
      <c r="M91" t="e">
        <f t="shared" ca="1" si="49"/>
        <v>#REF!</v>
      </c>
      <c r="N91" t="e">
        <f t="shared" ca="1" si="49"/>
        <v>#REF!</v>
      </c>
      <c r="P91" t="e">
        <f t="shared" si="50"/>
        <v>#REF!</v>
      </c>
      <c r="Q91" t="e">
        <f t="shared" si="51"/>
        <v>#REF!</v>
      </c>
      <c r="R91" t="e">
        <f t="shared" si="52"/>
        <v>#REF!</v>
      </c>
      <c r="S91">
        <f t="shared" si="53"/>
        <v>1</v>
      </c>
      <c r="T91" t="e">
        <f t="shared" si="54"/>
        <v>#REF!</v>
      </c>
      <c r="U91" t="e">
        <f t="shared" si="55"/>
        <v>#REF!</v>
      </c>
      <c r="V91" t="e">
        <f t="shared" si="56"/>
        <v>#REF!</v>
      </c>
    </row>
    <row r="92" spans="2:22">
      <c r="B92" t="e">
        <f ca="1">tblIndicators!#REF!</f>
        <v>#REF!</v>
      </c>
      <c r="C92" t="e">
        <f t="shared" ca="1" si="43"/>
        <v>#REF!</v>
      </c>
      <c r="D92" t="e">
        <f t="shared" ca="1" si="44"/>
        <v>#REF!</v>
      </c>
      <c r="E92" t="e">
        <f t="shared" ca="1" si="45"/>
        <v>#REF!</v>
      </c>
      <c r="F92" t="e">
        <f t="shared" ca="1" si="6"/>
        <v>#REF!</v>
      </c>
      <c r="H92" t="e">
        <f t="shared" ca="1" si="49"/>
        <v>#REF!</v>
      </c>
      <c r="I92" t="e">
        <f t="shared" ca="1" si="49"/>
        <v>#REF!</v>
      </c>
      <c r="J92" t="e">
        <f t="shared" ca="1" si="49"/>
        <v>#REF!</v>
      </c>
      <c r="K92" t="e">
        <f t="shared" ca="1" si="49"/>
        <v>#REF!</v>
      </c>
      <c r="L92" t="e">
        <f t="shared" ca="1" si="49"/>
        <v>#REF!</v>
      </c>
      <c r="M92" t="e">
        <f t="shared" ca="1" si="49"/>
        <v>#REF!</v>
      </c>
      <c r="N92" t="e">
        <f t="shared" ca="1" si="49"/>
        <v>#REF!</v>
      </c>
      <c r="P92" t="e">
        <f t="shared" si="50"/>
        <v>#REF!</v>
      </c>
      <c r="Q92" t="e">
        <f t="shared" si="51"/>
        <v>#REF!</v>
      </c>
      <c r="R92" t="e">
        <f t="shared" si="52"/>
        <v>#REF!</v>
      </c>
      <c r="S92" t="e">
        <f t="shared" si="53"/>
        <v>#REF!</v>
      </c>
      <c r="T92" t="e">
        <f t="shared" si="54"/>
        <v>#REF!</v>
      </c>
      <c r="U92" t="e">
        <f t="shared" si="55"/>
        <v>#REF!</v>
      </c>
      <c r="V92" t="e">
        <f t="shared" si="56"/>
        <v>#REF!</v>
      </c>
    </row>
    <row r="93" spans="2:22">
      <c r="B93" t="str">
        <f ca="1">tblIndicators!A15</f>
        <v>OPER04</v>
      </c>
      <c r="C93">
        <f t="shared" ca="1" si="43"/>
        <v>14</v>
      </c>
      <c r="D93">
        <f t="shared" ca="1" si="44"/>
        <v>14</v>
      </c>
      <c r="E93" t="str">
        <f t="shared" ca="1" si="45"/>
        <v>Experience in transport &amp; water concessions</v>
      </c>
      <c r="F93">
        <f t="shared" ca="1" si="6"/>
        <v>62</v>
      </c>
      <c r="H93" t="e">
        <f t="shared" ca="1" si="49"/>
        <v>#REF!</v>
      </c>
      <c r="I93" t="e">
        <f t="shared" ca="1" si="49"/>
        <v>#REF!</v>
      </c>
      <c r="J93" t="e">
        <f t="shared" ca="1" si="49"/>
        <v>#REF!</v>
      </c>
      <c r="K93">
        <f t="shared" ca="1" si="49"/>
        <v>5</v>
      </c>
      <c r="L93" t="e">
        <f t="shared" ca="1" si="49"/>
        <v>#REF!</v>
      </c>
      <c r="M93" t="e">
        <f t="shared" ca="1" si="49"/>
        <v>#REF!</v>
      </c>
      <c r="N93" t="e">
        <f t="shared" ca="1" si="49"/>
        <v>#REF!</v>
      </c>
      <c r="P93" t="e">
        <f t="shared" si="50"/>
        <v>#REF!</v>
      </c>
      <c r="Q93" t="e">
        <f t="shared" si="51"/>
        <v>#REF!</v>
      </c>
      <c r="R93" t="e">
        <f t="shared" si="52"/>
        <v>#REF!</v>
      </c>
      <c r="S93">
        <f t="shared" si="53"/>
        <v>0.91935483870967738</v>
      </c>
      <c r="T93" t="e">
        <f t="shared" si="54"/>
        <v>#REF!</v>
      </c>
      <c r="U93" t="e">
        <f t="shared" si="55"/>
        <v>#REF!</v>
      </c>
      <c r="V93" t="e">
        <f t="shared" si="56"/>
        <v>#REF!</v>
      </c>
    </row>
    <row r="94" spans="2:22">
      <c r="B94" t="str">
        <f ca="1">tblIndicators!A19</f>
        <v>INVT02</v>
      </c>
      <c r="C94">
        <f t="shared" ca="1" si="43"/>
        <v>18</v>
      </c>
      <c r="D94">
        <f t="shared" ca="1" si="44"/>
        <v>18</v>
      </c>
      <c r="E94" t="str">
        <f t="shared" ca="1" si="45"/>
        <v>Business environment</v>
      </c>
      <c r="F94">
        <f t="shared" ca="1" si="6"/>
        <v>61.814425598440621</v>
      </c>
      <c r="H94" t="e">
        <f t="shared" ca="1" si="49"/>
        <v>#REF!</v>
      </c>
      <c r="I94" t="e">
        <f t="shared" ca="1" si="49"/>
        <v>#REF!</v>
      </c>
      <c r="J94" t="e">
        <f t="shared" ca="1" si="49"/>
        <v>#REF!</v>
      </c>
      <c r="K94">
        <f t="shared" ca="1" si="49"/>
        <v>41.42744288535151</v>
      </c>
      <c r="L94" t="e">
        <f t="shared" ca="1" si="49"/>
        <v>#REF!</v>
      </c>
      <c r="M94" t="e">
        <f t="shared" ca="1" si="49"/>
        <v>#REF!</v>
      </c>
      <c r="N94" t="e">
        <f t="shared" ca="1" si="49"/>
        <v>#REF!</v>
      </c>
      <c r="P94" t="e">
        <f t="shared" si="50"/>
        <v>#REF!</v>
      </c>
      <c r="Q94" t="e">
        <f t="shared" si="51"/>
        <v>#REF!</v>
      </c>
      <c r="R94" t="e">
        <f t="shared" si="52"/>
        <v>#REF!</v>
      </c>
      <c r="S94">
        <f t="shared" si="53"/>
        <v>0.32980946624865842</v>
      </c>
      <c r="T94" t="e">
        <f t="shared" si="54"/>
        <v>#REF!</v>
      </c>
      <c r="U94" t="e">
        <f t="shared" si="55"/>
        <v>#REF!</v>
      </c>
      <c r="V94" t="e">
        <f t="shared" si="56"/>
        <v>#REF!</v>
      </c>
    </row>
    <row r="95" spans="2:22">
      <c r="B95" t="str">
        <f ca="1">tblIndicators!A20</f>
        <v>INVT03</v>
      </c>
      <c r="C95">
        <f t="shared" ca="1" si="43"/>
        <v>19</v>
      </c>
      <c r="D95">
        <f t="shared" ca="1" si="44"/>
        <v>19</v>
      </c>
      <c r="E95" t="str">
        <f t="shared" ca="1" si="45"/>
        <v>Social attitudes towards privatisation</v>
      </c>
      <c r="F95">
        <f t="shared" ca="1" si="6"/>
        <v>0.3175</v>
      </c>
      <c r="H95" t="e">
        <f t="shared" ca="1" si="49"/>
        <v>#REF!</v>
      </c>
      <c r="I95" t="e">
        <f t="shared" ca="1" si="49"/>
        <v>#REF!</v>
      </c>
      <c r="J95" t="e">
        <f t="shared" ca="1" si="49"/>
        <v>#REF!</v>
      </c>
      <c r="K95">
        <f t="shared" ca="1" si="49"/>
        <v>0.26833333333333331</v>
      </c>
      <c r="L95" t="e">
        <f t="shared" ca="1" si="49"/>
        <v>#REF!</v>
      </c>
      <c r="M95" t="e">
        <f t="shared" ca="1" si="49"/>
        <v>#REF!</v>
      </c>
      <c r="N95" t="e">
        <f t="shared" ca="1" si="49"/>
        <v>#REF!</v>
      </c>
      <c r="P95" t="e">
        <f t="shared" si="50"/>
        <v>#REF!</v>
      </c>
      <c r="Q95" t="e">
        <f t="shared" si="51"/>
        <v>#REF!</v>
      </c>
      <c r="R95" t="e">
        <f t="shared" si="52"/>
        <v>#REF!</v>
      </c>
      <c r="S95">
        <f t="shared" si="53"/>
        <v>0.15485564304461949</v>
      </c>
      <c r="T95" t="e">
        <f t="shared" si="54"/>
        <v>#REF!</v>
      </c>
      <c r="U95" t="e">
        <f t="shared" si="55"/>
        <v>#REF!</v>
      </c>
      <c r="V95" t="e">
        <f t="shared" si="56"/>
        <v>#REF!</v>
      </c>
    </row>
    <row r="96" spans="2:22">
      <c r="B96" t="e">
        <f ca="1">tblIndicators!#REF!</f>
        <v>#REF!</v>
      </c>
      <c r="C96" t="e">
        <f t="shared" ca="1" si="43"/>
        <v>#REF!</v>
      </c>
      <c r="D96" t="e">
        <f t="shared" ca="1" si="44"/>
        <v>#REF!</v>
      </c>
      <c r="E96" t="e">
        <f t="shared" ca="1" si="45"/>
        <v>#REF!</v>
      </c>
      <c r="F96" t="e">
        <f t="shared" ca="1" si="6"/>
        <v>#REF!</v>
      </c>
      <c r="H96" t="e">
        <f t="shared" ca="1" si="49"/>
        <v>#REF!</v>
      </c>
      <c r="I96" t="e">
        <f t="shared" ca="1" si="49"/>
        <v>#REF!</v>
      </c>
      <c r="J96" t="e">
        <f t="shared" ca="1" si="49"/>
        <v>#REF!</v>
      </c>
      <c r="K96" t="e">
        <f t="shared" ca="1" si="49"/>
        <v>#REF!</v>
      </c>
      <c r="L96" t="e">
        <f t="shared" ca="1" si="49"/>
        <v>#REF!</v>
      </c>
      <c r="M96" t="e">
        <f t="shared" ca="1" si="49"/>
        <v>#REF!</v>
      </c>
      <c r="N96" t="e">
        <f t="shared" ca="1" si="49"/>
        <v>#REF!</v>
      </c>
      <c r="P96" t="e">
        <f t="shared" si="50"/>
        <v>#REF!</v>
      </c>
      <c r="Q96" t="e">
        <f t="shared" si="51"/>
        <v>#REF!</v>
      </c>
      <c r="R96" t="e">
        <f t="shared" si="52"/>
        <v>#REF!</v>
      </c>
      <c r="S96" t="e">
        <f t="shared" si="53"/>
        <v>#REF!</v>
      </c>
      <c r="T96" t="e">
        <f t="shared" si="54"/>
        <v>#REF!</v>
      </c>
      <c r="U96" t="e">
        <f t="shared" si="55"/>
        <v>#REF!</v>
      </c>
      <c r="V96" t="e">
        <f t="shared" si="56"/>
        <v>#REF!</v>
      </c>
    </row>
    <row r="97" spans="2:22">
      <c r="B97" t="str">
        <f ca="1">tblIndicators!A21</f>
        <v>FINC</v>
      </c>
      <c r="C97">
        <f t="shared" ca="1" si="43"/>
        <v>20</v>
      </c>
      <c r="D97">
        <f t="shared" ca="1" si="44"/>
        <v>20</v>
      </c>
      <c r="E97" t="str">
        <f t="shared" ca="1" si="45"/>
        <v>Financial facilities</v>
      </c>
      <c r="F97">
        <f t="shared" ca="1" si="6"/>
        <v>0</v>
      </c>
      <c r="H97" t="e">
        <f t="shared" ca="1" si="49"/>
        <v>#REF!</v>
      </c>
      <c r="I97" t="e">
        <f t="shared" ca="1" si="49"/>
        <v>#REF!</v>
      </c>
      <c r="J97" t="e">
        <f t="shared" ca="1" si="49"/>
        <v>#REF!</v>
      </c>
      <c r="K97">
        <f t="shared" ca="1" si="49"/>
        <v>0</v>
      </c>
      <c r="L97" t="e">
        <f t="shared" ca="1" si="49"/>
        <v>#REF!</v>
      </c>
      <c r="M97" t="e">
        <f t="shared" ca="1" si="49"/>
        <v>#REF!</v>
      </c>
      <c r="N97" t="e">
        <f t="shared" ca="1" si="49"/>
        <v>#REF!</v>
      </c>
      <c r="P97">
        <f t="shared" si="50"/>
        <v>0</v>
      </c>
      <c r="Q97">
        <f t="shared" si="51"/>
        <v>0</v>
      </c>
      <c r="R97">
        <f t="shared" si="52"/>
        <v>0</v>
      </c>
      <c r="S97">
        <f t="shared" si="53"/>
        <v>0</v>
      </c>
      <c r="T97">
        <f t="shared" si="54"/>
        <v>0</v>
      </c>
      <c r="U97">
        <f t="shared" si="55"/>
        <v>0</v>
      </c>
      <c r="V97">
        <f t="shared" si="56"/>
        <v>0</v>
      </c>
    </row>
    <row r="98" spans="2:22">
      <c r="B98" t="str">
        <f ca="1">tblIndicators!A22</f>
        <v>FINC01</v>
      </c>
      <c r="C98">
        <f t="shared" ca="1" si="43"/>
        <v>21</v>
      </c>
      <c r="D98">
        <f t="shared" ca="1" si="44"/>
        <v>21</v>
      </c>
      <c r="E98" t="str">
        <f t="shared" ca="1" si="45"/>
        <v>Government payment risk</v>
      </c>
      <c r="F98">
        <f t="shared" ca="1" si="6"/>
        <v>3</v>
      </c>
      <c r="H98" t="e">
        <f t="shared" ca="1" si="49"/>
        <v>#REF!</v>
      </c>
      <c r="I98" t="e">
        <f t="shared" ca="1" si="49"/>
        <v>#REF!</v>
      </c>
      <c r="J98" t="e">
        <f t="shared" ca="1" si="49"/>
        <v>#REF!</v>
      </c>
      <c r="K98">
        <f t="shared" ca="1" si="49"/>
        <v>2</v>
      </c>
      <c r="L98" t="e">
        <f t="shared" ca="1" si="49"/>
        <v>#REF!</v>
      </c>
      <c r="M98" t="e">
        <f t="shared" ca="1" si="49"/>
        <v>#REF!</v>
      </c>
      <c r="N98" t="e">
        <f t="shared" ca="1" si="49"/>
        <v>#REF!</v>
      </c>
      <c r="P98" t="e">
        <f t="shared" si="50"/>
        <v>#REF!</v>
      </c>
      <c r="Q98" t="e">
        <f t="shared" si="51"/>
        <v>#REF!</v>
      </c>
      <c r="R98" t="e">
        <f t="shared" si="52"/>
        <v>#REF!</v>
      </c>
      <c r="S98">
        <f t="shared" si="53"/>
        <v>0.33333333333333331</v>
      </c>
      <c r="T98" t="e">
        <f t="shared" si="54"/>
        <v>#REF!</v>
      </c>
      <c r="U98" t="e">
        <f t="shared" si="55"/>
        <v>#REF!</v>
      </c>
      <c r="V98" t="e">
        <f t="shared" si="56"/>
        <v>#REF!</v>
      </c>
    </row>
    <row r="99" spans="2:22">
      <c r="B99" t="str">
        <f ca="1">tblIndicators!A23</f>
        <v>FINC02</v>
      </c>
      <c r="C99">
        <f t="shared" ca="1" si="43"/>
        <v>22</v>
      </c>
      <c r="D99">
        <f t="shared" ca="1" si="44"/>
        <v>22</v>
      </c>
      <c r="E99" t="str">
        <f t="shared" ca="1" si="45"/>
        <v>Capital market: private infrastructure finance</v>
      </c>
      <c r="F99">
        <f t="shared" ca="1" si="6"/>
        <v>3</v>
      </c>
      <c r="H99" t="e">
        <f t="shared" ca="1" si="49"/>
        <v>#REF!</v>
      </c>
      <c r="I99" t="e">
        <f t="shared" ca="1" si="49"/>
        <v>#REF!</v>
      </c>
      <c r="J99" t="e">
        <f t="shared" ca="1" si="49"/>
        <v>#REF!</v>
      </c>
      <c r="K99">
        <f t="shared" ca="1" si="49"/>
        <v>2</v>
      </c>
      <c r="L99" t="e">
        <f t="shared" ca="1" si="49"/>
        <v>#REF!</v>
      </c>
      <c r="M99" t="e">
        <f t="shared" ca="1" si="49"/>
        <v>#REF!</v>
      </c>
      <c r="N99" t="e">
        <f t="shared" ca="1" si="49"/>
        <v>#REF!</v>
      </c>
      <c r="P99" t="e">
        <f t="shared" si="50"/>
        <v>#REF!</v>
      </c>
      <c r="Q99" t="e">
        <f t="shared" si="51"/>
        <v>#REF!</v>
      </c>
      <c r="R99" t="e">
        <f t="shared" si="52"/>
        <v>#REF!</v>
      </c>
      <c r="S99">
        <f t="shared" si="53"/>
        <v>0.33333333333333331</v>
      </c>
      <c r="T99" t="e">
        <f t="shared" si="54"/>
        <v>#REF!</v>
      </c>
      <c r="U99" t="e">
        <f t="shared" si="55"/>
        <v>#REF!</v>
      </c>
      <c r="V99" t="e">
        <f t="shared" si="56"/>
        <v>#REF!</v>
      </c>
    </row>
    <row r="100" spans="2:22">
      <c r="B100" t="str">
        <f ca="1">tblIndicators!A24</f>
        <v>FINC03</v>
      </c>
      <c r="C100">
        <f t="shared" ca="1" si="43"/>
        <v>23</v>
      </c>
      <c r="D100">
        <f t="shared" ca="1" si="44"/>
        <v>23</v>
      </c>
      <c r="E100" t="str">
        <f t="shared" ca="1" si="45"/>
        <v>Marketable debt</v>
      </c>
      <c r="F100">
        <f t="shared" ca="1" si="6"/>
        <v>3</v>
      </c>
      <c r="H100" t="e">
        <f t="shared" ca="1" si="49"/>
        <v>#REF!</v>
      </c>
      <c r="I100" t="e">
        <f t="shared" ca="1" si="49"/>
        <v>#REF!</v>
      </c>
      <c r="J100" t="e">
        <f t="shared" ca="1" si="49"/>
        <v>#REF!</v>
      </c>
      <c r="K100">
        <f t="shared" ca="1" si="49"/>
        <v>3</v>
      </c>
      <c r="L100" t="e">
        <f t="shared" ca="1" si="49"/>
        <v>#REF!</v>
      </c>
      <c r="M100" t="e">
        <f t="shared" ca="1" si="49"/>
        <v>#REF!</v>
      </c>
      <c r="N100" t="e">
        <f t="shared" ca="1" si="49"/>
        <v>#REF!</v>
      </c>
      <c r="P100" t="e">
        <f t="shared" si="50"/>
        <v>#REF!</v>
      </c>
      <c r="Q100" t="e">
        <f t="shared" si="51"/>
        <v>#REF!</v>
      </c>
      <c r="R100" t="e">
        <f t="shared" si="52"/>
        <v>#REF!</v>
      </c>
      <c r="S100">
        <f t="shared" si="53"/>
        <v>0</v>
      </c>
      <c r="T100" t="e">
        <f t="shared" si="54"/>
        <v>#REF!</v>
      </c>
      <c r="U100" t="e">
        <f t="shared" si="55"/>
        <v>#REF!</v>
      </c>
      <c r="V100" t="e">
        <f t="shared" si="56"/>
        <v>#REF!</v>
      </c>
    </row>
    <row r="101" spans="2:22">
      <c r="B101" t="str">
        <f ca="1">tblIndicators!A25</f>
        <v>FINC04</v>
      </c>
      <c r="C101">
        <f t="shared" ca="1" si="43"/>
        <v>24</v>
      </c>
      <c r="D101">
        <f t="shared" ca="1" si="44"/>
        <v>24</v>
      </c>
      <c r="E101" t="str">
        <f t="shared" ca="1" si="45"/>
        <v>Government support for low income users</v>
      </c>
      <c r="F101">
        <f t="shared" ca="1" si="6"/>
        <v>1</v>
      </c>
      <c r="H101" t="e">
        <f t="shared" ca="1" si="49"/>
        <v>#REF!</v>
      </c>
      <c r="I101" t="e">
        <f t="shared" ca="1" si="49"/>
        <v>#REF!</v>
      </c>
      <c r="J101" t="e">
        <f t="shared" ca="1" si="49"/>
        <v>#REF!</v>
      </c>
      <c r="K101">
        <f t="shared" ca="1" si="49"/>
        <v>1</v>
      </c>
      <c r="L101" t="e">
        <f t="shared" ca="1" si="49"/>
        <v>#REF!</v>
      </c>
      <c r="M101" t="e">
        <f t="shared" ca="1" si="49"/>
        <v>#REF!</v>
      </c>
      <c r="N101" t="e">
        <f t="shared" ca="1" si="49"/>
        <v>#REF!</v>
      </c>
      <c r="P101" t="e">
        <f t="shared" si="50"/>
        <v>#REF!</v>
      </c>
      <c r="Q101" t="e">
        <f t="shared" si="51"/>
        <v>#REF!</v>
      </c>
      <c r="R101" t="e">
        <f t="shared" si="52"/>
        <v>#REF!</v>
      </c>
      <c r="S101">
        <f t="shared" si="53"/>
        <v>0</v>
      </c>
      <c r="T101" t="e">
        <f t="shared" si="54"/>
        <v>#REF!</v>
      </c>
      <c r="U101" t="e">
        <f t="shared" si="55"/>
        <v>#REF!</v>
      </c>
      <c r="V101" t="e">
        <f t="shared" si="56"/>
        <v>#REF!</v>
      </c>
    </row>
    <row r="102" spans="2:22">
      <c r="B102" t="e">
        <f ca="1">tblIndicators!#REF!</f>
        <v>#REF!</v>
      </c>
      <c r="C102" t="e">
        <f t="shared" ca="1" si="43"/>
        <v>#REF!</v>
      </c>
      <c r="D102" t="e">
        <f t="shared" ca="1" si="44"/>
        <v>#REF!</v>
      </c>
      <c r="E102" t="e">
        <f t="shared" ca="1" si="45"/>
        <v>#REF!</v>
      </c>
      <c r="F102" t="e">
        <f t="shared" ca="1" si="6"/>
        <v>#REF!</v>
      </c>
      <c r="H102" t="e">
        <f t="shared" ca="1" si="49"/>
        <v>#REF!</v>
      </c>
      <c r="I102" t="e">
        <f t="shared" ca="1" si="49"/>
        <v>#REF!</v>
      </c>
      <c r="J102" t="e">
        <f t="shared" ca="1" si="49"/>
        <v>#REF!</v>
      </c>
      <c r="K102" t="e">
        <f t="shared" ca="1" si="49"/>
        <v>#REF!</v>
      </c>
      <c r="L102" t="e">
        <f t="shared" ca="1" si="49"/>
        <v>#REF!</v>
      </c>
      <c r="M102" t="e">
        <f t="shared" ca="1" si="49"/>
        <v>#REF!</v>
      </c>
      <c r="N102" t="e">
        <f t="shared" ca="1" si="49"/>
        <v>#REF!</v>
      </c>
      <c r="P102" t="e">
        <f t="shared" si="50"/>
        <v>#REF!</v>
      </c>
      <c r="Q102" t="e">
        <f t="shared" si="51"/>
        <v>#REF!</v>
      </c>
      <c r="R102" t="e">
        <f t="shared" si="52"/>
        <v>#REF!</v>
      </c>
      <c r="S102" t="e">
        <f t="shared" si="53"/>
        <v>#REF!</v>
      </c>
      <c r="T102" t="e">
        <f t="shared" si="54"/>
        <v>#REF!</v>
      </c>
      <c r="U102" t="e">
        <f t="shared" si="55"/>
        <v>#REF!</v>
      </c>
      <c r="V102" t="e">
        <f t="shared" si="56"/>
        <v>#REF!</v>
      </c>
    </row>
    <row r="103" spans="2:22">
      <c r="B103" t="str">
        <f ca="1">tblIndicators!A26</f>
        <v>ENDX</v>
      </c>
      <c r="C103" t="e">
        <f t="shared" ca="1" si="43"/>
        <v>#N/A</v>
      </c>
      <c r="D103">
        <f t="shared" ca="1" si="44"/>
        <v>25</v>
      </c>
      <c r="E103" t="str">
        <f t="shared" ca="1" si="45"/>
        <v>END</v>
      </c>
      <c r="F103" t="e">
        <f t="shared" ca="1" si="6"/>
        <v>#N/A</v>
      </c>
      <c r="H103" t="e">
        <f t="shared" ca="1" si="49"/>
        <v>#N/A</v>
      </c>
      <c r="I103" t="e">
        <f t="shared" ca="1" si="49"/>
        <v>#N/A</v>
      </c>
      <c r="J103" t="e">
        <f t="shared" ca="1" si="49"/>
        <v>#N/A</v>
      </c>
      <c r="K103" t="e">
        <f t="shared" ca="1" si="49"/>
        <v>#N/A</v>
      </c>
      <c r="L103" t="e">
        <f t="shared" ca="1" si="49"/>
        <v>#N/A</v>
      </c>
      <c r="M103" t="e">
        <f t="shared" ca="1" si="49"/>
        <v>#N/A</v>
      </c>
      <c r="N103" t="e">
        <f t="shared" ca="1" si="49"/>
        <v>#N/A</v>
      </c>
      <c r="P103" t="e">
        <f t="shared" si="50"/>
        <v>#N/A</v>
      </c>
      <c r="Q103" t="e">
        <f t="shared" si="51"/>
        <v>#N/A</v>
      </c>
      <c r="R103" t="e">
        <f t="shared" si="52"/>
        <v>#N/A</v>
      </c>
      <c r="S103" t="e">
        <f t="shared" si="53"/>
        <v>#N/A</v>
      </c>
      <c r="T103" t="e">
        <f t="shared" si="54"/>
        <v>#N/A</v>
      </c>
      <c r="U103" t="e">
        <f t="shared" si="55"/>
        <v>#N/A</v>
      </c>
      <c r="V103" t="e">
        <f t="shared" si="56"/>
        <v>#N/A</v>
      </c>
    </row>
    <row r="104" spans="2:22">
      <c r="B104">
        <f ca="1">tblIndicators!A27</f>
        <v>0</v>
      </c>
      <c r="C104" t="e">
        <f t="shared" ca="1" si="43"/>
        <v>#N/A</v>
      </c>
      <c r="D104" t="e">
        <f t="shared" ca="1" si="44"/>
        <v>#N/A</v>
      </c>
      <c r="E104" t="e">
        <f t="shared" ca="1" si="45"/>
        <v>#N/A</v>
      </c>
      <c r="F104" t="e">
        <f t="shared" ca="1" si="6"/>
        <v>#N/A</v>
      </c>
      <c r="H104" t="e">
        <f t="shared" ca="1" si="49"/>
        <v>#N/A</v>
      </c>
      <c r="I104" t="e">
        <f t="shared" ca="1" si="49"/>
        <v>#N/A</v>
      </c>
      <c r="J104" t="e">
        <f t="shared" ca="1" si="49"/>
        <v>#N/A</v>
      </c>
      <c r="K104" t="e">
        <f t="shared" ca="1" si="49"/>
        <v>#N/A</v>
      </c>
      <c r="L104" t="e">
        <f t="shared" ca="1" si="49"/>
        <v>#N/A</v>
      </c>
      <c r="M104" t="e">
        <f t="shared" ca="1" si="49"/>
        <v>#N/A</v>
      </c>
      <c r="N104" t="e">
        <f t="shared" ca="1" si="49"/>
        <v>#N/A</v>
      </c>
      <c r="P104" t="e">
        <f t="shared" si="50"/>
        <v>#N/A</v>
      </c>
      <c r="Q104" t="e">
        <f t="shared" si="51"/>
        <v>#N/A</v>
      </c>
      <c r="R104" t="e">
        <f t="shared" si="52"/>
        <v>#N/A</v>
      </c>
      <c r="S104" t="e">
        <f t="shared" si="53"/>
        <v>#N/A</v>
      </c>
      <c r="T104" t="e">
        <f t="shared" si="54"/>
        <v>#N/A</v>
      </c>
      <c r="U104" t="e">
        <f t="shared" si="55"/>
        <v>#N/A</v>
      </c>
      <c r="V104" t="e">
        <f t="shared" si="56"/>
        <v>#N/A</v>
      </c>
    </row>
    <row r="105" spans="2:22">
      <c r="B105" t="str">
        <f ca="1">tblIndicators!A28</f>
        <v>ENDX03</v>
      </c>
      <c r="C105" t="e">
        <f t="shared" ca="1" si="43"/>
        <v>#N/A</v>
      </c>
      <c r="D105">
        <f t="shared" ca="1" si="44"/>
        <v>27</v>
      </c>
      <c r="E105" t="str">
        <f t="shared" ca="1" si="45"/>
        <v>Spare</v>
      </c>
      <c r="F105" t="e">
        <f t="shared" ca="1" si="6"/>
        <v>#N/A</v>
      </c>
      <c r="H105" t="e">
        <f t="shared" ca="1" si="49"/>
        <v>#N/A</v>
      </c>
      <c r="I105" t="e">
        <f t="shared" ca="1" si="49"/>
        <v>#N/A</v>
      </c>
      <c r="J105" t="e">
        <f t="shared" ca="1" si="49"/>
        <v>#N/A</v>
      </c>
      <c r="K105" t="e">
        <f t="shared" ca="1" si="49"/>
        <v>#N/A</v>
      </c>
      <c r="L105" t="e">
        <f t="shared" ca="1" si="49"/>
        <v>#N/A</v>
      </c>
      <c r="M105" t="e">
        <f t="shared" ca="1" si="49"/>
        <v>#N/A</v>
      </c>
      <c r="N105" t="e">
        <f t="shared" ca="1" si="49"/>
        <v>#N/A</v>
      </c>
      <c r="P105" t="e">
        <f t="shared" si="50"/>
        <v>#N/A</v>
      </c>
      <c r="Q105" t="e">
        <f t="shared" si="51"/>
        <v>#N/A</v>
      </c>
      <c r="R105" t="e">
        <f t="shared" si="52"/>
        <v>#N/A</v>
      </c>
      <c r="S105" t="e">
        <f t="shared" si="53"/>
        <v>#N/A</v>
      </c>
      <c r="T105" t="e">
        <f t="shared" si="54"/>
        <v>#N/A</v>
      </c>
      <c r="U105" t="e">
        <f t="shared" si="55"/>
        <v>#N/A</v>
      </c>
      <c r="V105" t="e">
        <f t="shared" si="56"/>
        <v>#N/A</v>
      </c>
    </row>
    <row r="106" spans="2:22">
      <c r="B106" t="e">
        <f ca="1">tblIndicators!#REF!</f>
        <v>#REF!</v>
      </c>
      <c r="C106" t="e">
        <f t="shared" ca="1" si="43"/>
        <v>#REF!</v>
      </c>
      <c r="D106" t="e">
        <f t="shared" ca="1" si="44"/>
        <v>#REF!</v>
      </c>
      <c r="E106" t="e">
        <f t="shared" ca="1" si="45"/>
        <v>#REF!</v>
      </c>
      <c r="F106" t="e">
        <f t="shared" ca="1" si="6"/>
        <v>#REF!</v>
      </c>
      <c r="H106" t="e">
        <f t="shared" ca="1" si="49"/>
        <v>#REF!</v>
      </c>
      <c r="I106" t="e">
        <f t="shared" ca="1" si="49"/>
        <v>#REF!</v>
      </c>
      <c r="J106" t="e">
        <f t="shared" ca="1" si="49"/>
        <v>#REF!</v>
      </c>
      <c r="K106" t="e">
        <f t="shared" ca="1" si="49"/>
        <v>#REF!</v>
      </c>
      <c r="L106" t="e">
        <f t="shared" ca="1" si="49"/>
        <v>#REF!</v>
      </c>
      <c r="M106" t="e">
        <f t="shared" ca="1" si="49"/>
        <v>#REF!</v>
      </c>
      <c r="N106" t="e">
        <f t="shared" ca="1" si="49"/>
        <v>#REF!</v>
      </c>
      <c r="P106" t="e">
        <f t="shared" si="50"/>
        <v>#REF!</v>
      </c>
      <c r="Q106" t="e">
        <f t="shared" si="51"/>
        <v>#REF!</v>
      </c>
      <c r="R106" t="e">
        <f t="shared" si="52"/>
        <v>#REF!</v>
      </c>
      <c r="S106" t="e">
        <f t="shared" si="53"/>
        <v>#REF!</v>
      </c>
      <c r="T106" t="e">
        <f t="shared" si="54"/>
        <v>#REF!</v>
      </c>
      <c r="U106" t="e">
        <f t="shared" si="55"/>
        <v>#REF!</v>
      </c>
      <c r="V106" t="e">
        <f t="shared" si="56"/>
        <v>#REF!</v>
      </c>
    </row>
    <row r="107" spans="2:22">
      <c r="B107" t="e">
        <f ca="1">tblIndicators!#REF!</f>
        <v>#REF!</v>
      </c>
      <c r="C107" t="e">
        <f t="shared" ca="1" si="43"/>
        <v>#REF!</v>
      </c>
      <c r="D107" t="e">
        <f t="shared" ca="1" si="44"/>
        <v>#REF!</v>
      </c>
      <c r="E107" t="e">
        <f t="shared" ca="1" si="45"/>
        <v>#REF!</v>
      </c>
      <c r="F107" t="e">
        <f t="shared" ca="1" si="6"/>
        <v>#REF!</v>
      </c>
      <c r="H107" t="e">
        <f t="shared" ca="1" si="49"/>
        <v>#REF!</v>
      </c>
      <c r="I107" t="e">
        <f t="shared" ca="1" si="49"/>
        <v>#REF!</v>
      </c>
      <c r="J107" t="e">
        <f t="shared" ca="1" si="49"/>
        <v>#REF!</v>
      </c>
      <c r="K107" t="e">
        <f t="shared" ca="1" si="49"/>
        <v>#REF!</v>
      </c>
      <c r="L107" t="e">
        <f t="shared" ca="1" si="49"/>
        <v>#REF!</v>
      </c>
      <c r="M107" t="e">
        <f t="shared" ca="1" si="49"/>
        <v>#REF!</v>
      </c>
      <c r="N107" t="e">
        <f t="shared" ca="1" si="49"/>
        <v>#REF!</v>
      </c>
      <c r="P107" t="e">
        <f t="shared" si="50"/>
        <v>#REF!</v>
      </c>
      <c r="Q107" t="e">
        <f t="shared" si="51"/>
        <v>#REF!</v>
      </c>
      <c r="R107" t="e">
        <f t="shared" si="52"/>
        <v>#REF!</v>
      </c>
      <c r="S107" t="e">
        <f t="shared" si="53"/>
        <v>#REF!</v>
      </c>
      <c r="T107" t="e">
        <f t="shared" si="54"/>
        <v>#REF!</v>
      </c>
      <c r="U107" t="e">
        <f t="shared" si="55"/>
        <v>#REF!</v>
      </c>
      <c r="V107" t="e">
        <f t="shared" si="56"/>
        <v>#REF!</v>
      </c>
    </row>
    <row r="108" spans="2:22">
      <c r="B108" t="e">
        <f ca="1">tblIndicators!#REF!</f>
        <v>#REF!</v>
      </c>
      <c r="C108" t="e">
        <f t="shared" ca="1" si="43"/>
        <v>#REF!</v>
      </c>
      <c r="D108" t="e">
        <f t="shared" ca="1" si="44"/>
        <v>#REF!</v>
      </c>
      <c r="E108" t="e">
        <f t="shared" ca="1" si="45"/>
        <v>#REF!</v>
      </c>
      <c r="F108" t="e">
        <f t="shared" ca="1" si="6"/>
        <v>#REF!</v>
      </c>
      <c r="H108" t="e">
        <f t="shared" ca="1" si="49"/>
        <v>#REF!</v>
      </c>
      <c r="I108" t="e">
        <f t="shared" ca="1" si="49"/>
        <v>#REF!</v>
      </c>
      <c r="J108" t="e">
        <f t="shared" ca="1" si="49"/>
        <v>#REF!</v>
      </c>
      <c r="K108" t="e">
        <f t="shared" ca="1" si="49"/>
        <v>#REF!</v>
      </c>
      <c r="L108" t="e">
        <f t="shared" ca="1" si="49"/>
        <v>#REF!</v>
      </c>
      <c r="M108" t="e">
        <f t="shared" ca="1" si="49"/>
        <v>#REF!</v>
      </c>
      <c r="N108" t="e">
        <f t="shared" ca="1" si="49"/>
        <v>#REF!</v>
      </c>
      <c r="P108" t="e">
        <f t="shared" si="50"/>
        <v>#REF!</v>
      </c>
      <c r="Q108" t="e">
        <f t="shared" si="51"/>
        <v>#REF!</v>
      </c>
      <c r="R108" t="e">
        <f t="shared" si="52"/>
        <v>#REF!</v>
      </c>
      <c r="S108" t="e">
        <f t="shared" si="53"/>
        <v>#REF!</v>
      </c>
      <c r="T108" t="e">
        <f t="shared" si="54"/>
        <v>#REF!</v>
      </c>
      <c r="U108" t="e">
        <f t="shared" si="55"/>
        <v>#REF!</v>
      </c>
      <c r="V108" t="e">
        <f t="shared" si="56"/>
        <v>#REF!</v>
      </c>
    </row>
    <row r="109" spans="2:22">
      <c r="B109" t="e">
        <f ca="1">tblIndicators!#REF!</f>
        <v>#REF!</v>
      </c>
      <c r="C109" t="e">
        <f t="shared" ca="1" si="43"/>
        <v>#REF!</v>
      </c>
      <c r="D109" t="e">
        <f t="shared" ca="1" si="44"/>
        <v>#REF!</v>
      </c>
      <c r="E109" t="e">
        <f t="shared" ca="1" si="45"/>
        <v>#REF!</v>
      </c>
      <c r="F109" t="e">
        <f t="shared" ca="1" si="6"/>
        <v>#REF!</v>
      </c>
      <c r="H109" t="e">
        <f t="shared" ca="1" si="49"/>
        <v>#REF!</v>
      </c>
      <c r="I109" t="e">
        <f t="shared" ca="1" si="49"/>
        <v>#REF!</v>
      </c>
      <c r="J109" t="e">
        <f t="shared" ca="1" si="49"/>
        <v>#REF!</v>
      </c>
      <c r="K109" t="e">
        <f t="shared" ca="1" si="49"/>
        <v>#REF!</v>
      </c>
      <c r="L109" t="e">
        <f t="shared" ca="1" si="49"/>
        <v>#REF!</v>
      </c>
      <c r="M109" t="e">
        <f t="shared" ca="1" si="49"/>
        <v>#REF!</v>
      </c>
      <c r="N109" t="e">
        <f t="shared" ca="1" si="49"/>
        <v>#REF!</v>
      </c>
      <c r="P109" t="e">
        <f t="shared" si="50"/>
        <v>#REF!</v>
      </c>
      <c r="Q109" t="e">
        <f t="shared" si="51"/>
        <v>#REF!</v>
      </c>
      <c r="R109" t="e">
        <f t="shared" si="52"/>
        <v>#REF!</v>
      </c>
      <c r="S109" t="e">
        <f t="shared" si="53"/>
        <v>#REF!</v>
      </c>
      <c r="T109" t="e">
        <f t="shared" si="54"/>
        <v>#REF!</v>
      </c>
      <c r="U109" t="e">
        <f t="shared" si="55"/>
        <v>#REF!</v>
      </c>
      <c r="V109" t="e">
        <f t="shared" si="56"/>
        <v>#REF!</v>
      </c>
    </row>
    <row r="110" spans="2:22">
      <c r="B110" t="str">
        <f ca="1">tblIndicators!A29</f>
        <v>DEPE</v>
      </c>
      <c r="C110" t="e">
        <f t="shared" ca="1" si="43"/>
        <v>#N/A</v>
      </c>
      <c r="D110">
        <f t="shared" ca="1" si="44"/>
        <v>28</v>
      </c>
      <c r="E110" t="str">
        <f t="shared" ca="1" si="45"/>
        <v>Dependent variables</v>
      </c>
      <c r="F110" t="e">
        <f t="shared" ca="1" si="6"/>
        <v>#N/A</v>
      </c>
      <c r="H110" t="e">
        <f t="shared" ca="1" si="49"/>
        <v>#N/A</v>
      </c>
      <c r="I110" t="e">
        <f t="shared" ca="1" si="49"/>
        <v>#N/A</v>
      </c>
      <c r="J110" t="e">
        <f t="shared" ca="1" si="49"/>
        <v>#N/A</v>
      </c>
      <c r="K110" t="e">
        <f t="shared" ca="1" si="49"/>
        <v>#N/A</v>
      </c>
      <c r="L110" t="e">
        <f t="shared" ca="1" si="49"/>
        <v>#N/A</v>
      </c>
      <c r="M110" t="e">
        <f t="shared" ca="1" si="49"/>
        <v>#N/A</v>
      </c>
      <c r="N110" t="e">
        <f t="shared" ca="1" si="49"/>
        <v>#N/A</v>
      </c>
      <c r="P110" t="e">
        <f t="shared" si="50"/>
        <v>#N/A</v>
      </c>
      <c r="Q110" t="e">
        <f t="shared" si="51"/>
        <v>#N/A</v>
      </c>
      <c r="R110" t="e">
        <f t="shared" si="52"/>
        <v>#N/A</v>
      </c>
      <c r="S110" t="e">
        <f t="shared" si="53"/>
        <v>#N/A</v>
      </c>
      <c r="T110" t="e">
        <f t="shared" si="54"/>
        <v>#N/A</v>
      </c>
      <c r="U110" t="e">
        <f t="shared" si="55"/>
        <v>#N/A</v>
      </c>
      <c r="V110" t="e">
        <f t="shared" si="56"/>
        <v>#N/A</v>
      </c>
    </row>
    <row r="111" spans="2:22">
      <c r="B111" t="str">
        <f ca="1">tblIndicators!A30</f>
        <v>DEPE01</v>
      </c>
      <c r="C111" t="e">
        <f t="shared" ca="1" si="43"/>
        <v>#N/A</v>
      </c>
      <c r="D111">
        <f t="shared" ca="1" si="44"/>
        <v>29</v>
      </c>
      <c r="E111" t="str">
        <f t="shared" ca="1" si="45"/>
        <v>Cancelled / distressed projects (percent of projects)</v>
      </c>
      <c r="F111" t="e">
        <f t="shared" ca="1" si="6"/>
        <v>#N/A</v>
      </c>
      <c r="H111" t="e">
        <f t="shared" ca="1" si="49"/>
        <v>#N/A</v>
      </c>
      <c r="I111" t="e">
        <f t="shared" ca="1" si="49"/>
        <v>#N/A</v>
      </c>
      <c r="J111" t="e">
        <f t="shared" ca="1" si="49"/>
        <v>#N/A</v>
      </c>
      <c r="K111" t="e">
        <f t="shared" ca="1" si="49"/>
        <v>#N/A</v>
      </c>
      <c r="L111" t="e">
        <f t="shared" ca="1" si="49"/>
        <v>#N/A</v>
      </c>
      <c r="M111" t="e">
        <f t="shared" ca="1" si="49"/>
        <v>#N/A</v>
      </c>
      <c r="N111" t="e">
        <f t="shared" ca="1" si="49"/>
        <v>#N/A</v>
      </c>
      <c r="P111" t="e">
        <f t="shared" si="50"/>
        <v>#N/A</v>
      </c>
      <c r="Q111" t="e">
        <f t="shared" si="51"/>
        <v>#N/A</v>
      </c>
      <c r="R111" t="e">
        <f t="shared" si="52"/>
        <v>#N/A</v>
      </c>
      <c r="S111" t="e">
        <f t="shared" si="53"/>
        <v>#N/A</v>
      </c>
      <c r="T111" t="e">
        <f t="shared" si="54"/>
        <v>#N/A</v>
      </c>
      <c r="U111" t="e">
        <f t="shared" si="55"/>
        <v>#N/A</v>
      </c>
      <c r="V111" t="e">
        <f t="shared" si="56"/>
        <v>#N/A</v>
      </c>
    </row>
    <row r="112" spans="2:22">
      <c r="B112" t="str">
        <f ca="1">tblIndicators!A31</f>
        <v>DEPE02</v>
      </c>
      <c r="C112" t="e">
        <f t="shared" ca="1" si="43"/>
        <v>#N/A</v>
      </c>
      <c r="D112">
        <f t="shared" ca="1" si="44"/>
        <v>30</v>
      </c>
      <c r="E112" t="str">
        <f t="shared" ca="1" si="45"/>
        <v>Cancelled / distressed projects (percent of investment)</v>
      </c>
      <c r="F112" t="e">
        <f t="shared" ca="1" si="6"/>
        <v>#N/A</v>
      </c>
      <c r="H112" t="e">
        <f t="shared" ca="1" si="49"/>
        <v>#N/A</v>
      </c>
      <c r="I112" t="e">
        <f t="shared" ca="1" si="49"/>
        <v>#N/A</v>
      </c>
      <c r="J112" t="e">
        <f t="shared" ca="1" si="49"/>
        <v>#N/A</v>
      </c>
      <c r="K112" t="e">
        <f t="shared" ca="1" si="49"/>
        <v>#N/A</v>
      </c>
      <c r="L112" t="e">
        <f t="shared" ca="1" si="49"/>
        <v>#N/A</v>
      </c>
      <c r="M112" t="e">
        <f t="shared" ca="1" si="49"/>
        <v>#N/A</v>
      </c>
      <c r="N112" t="e">
        <f t="shared" ca="1" si="49"/>
        <v>#N/A</v>
      </c>
      <c r="P112" t="e">
        <f t="shared" si="50"/>
        <v>#N/A</v>
      </c>
      <c r="Q112" t="e">
        <f t="shared" si="51"/>
        <v>#N/A</v>
      </c>
      <c r="R112" t="e">
        <f t="shared" si="52"/>
        <v>#N/A</v>
      </c>
      <c r="S112" t="e">
        <f t="shared" si="53"/>
        <v>#N/A</v>
      </c>
      <c r="T112" t="e">
        <f t="shared" si="54"/>
        <v>#N/A</v>
      </c>
      <c r="U112" t="e">
        <f t="shared" si="55"/>
        <v>#N/A</v>
      </c>
      <c r="V112" t="e">
        <f t="shared" si="56"/>
        <v>#N/A</v>
      </c>
    </row>
    <row r="113" spans="2:22">
      <c r="B113" t="str">
        <f ca="1">tblIndicators!A32</f>
        <v>DEPE03</v>
      </c>
      <c r="C113" t="e">
        <f t="shared" ca="1" si="43"/>
        <v>#N/A</v>
      </c>
      <c r="D113">
        <f t="shared" ca="1" si="44"/>
        <v>31</v>
      </c>
      <c r="E113" t="str">
        <f t="shared" ca="1" si="45"/>
        <v xml:space="preserve">2007 project investment </v>
      </c>
      <c r="F113" t="e">
        <f t="shared" ca="1" si="6"/>
        <v>#N/A</v>
      </c>
      <c r="H113" t="e">
        <f t="shared" ca="1" si="49"/>
        <v>#N/A</v>
      </c>
      <c r="I113" t="e">
        <f t="shared" ca="1" si="49"/>
        <v>#N/A</v>
      </c>
      <c r="J113" t="e">
        <f t="shared" ca="1" si="49"/>
        <v>#N/A</v>
      </c>
      <c r="K113" t="e">
        <f t="shared" ca="1" si="49"/>
        <v>#N/A</v>
      </c>
      <c r="L113" t="e">
        <f t="shared" ca="1" si="49"/>
        <v>#N/A</v>
      </c>
      <c r="M113" t="e">
        <f t="shared" ca="1" si="49"/>
        <v>#N/A</v>
      </c>
      <c r="N113" t="e">
        <f t="shared" ca="1" si="49"/>
        <v>#N/A</v>
      </c>
      <c r="P113" t="e">
        <f t="shared" si="50"/>
        <v>#N/A</v>
      </c>
      <c r="Q113" t="e">
        <f t="shared" si="51"/>
        <v>#N/A</v>
      </c>
      <c r="R113" t="e">
        <f t="shared" si="52"/>
        <v>#N/A</v>
      </c>
      <c r="S113" t="e">
        <f t="shared" si="53"/>
        <v>#N/A</v>
      </c>
      <c r="T113" t="e">
        <f t="shared" si="54"/>
        <v>#N/A</v>
      </c>
      <c r="U113" t="e">
        <f t="shared" si="55"/>
        <v>#N/A</v>
      </c>
      <c r="V113" t="e">
        <f t="shared" si="56"/>
        <v>#N/A</v>
      </c>
    </row>
    <row r="114" spans="2:22">
      <c r="B114" t="str">
        <f ca="1">tblIndicators!A33</f>
        <v>DEPE04</v>
      </c>
      <c r="C114" t="e">
        <f t="shared" ca="1" si="43"/>
        <v>#N/A</v>
      </c>
      <c r="D114">
        <f t="shared" ca="1" si="44"/>
        <v>32</v>
      </c>
      <c r="E114" t="str">
        <f t="shared" ca="1" si="45"/>
        <v xml:space="preserve">Concessions' share of infrastructure PPPs </v>
      </c>
      <c r="F114" t="e">
        <f t="shared" ca="1" si="6"/>
        <v>#N/A</v>
      </c>
      <c r="H114" t="e">
        <f t="shared" ca="1" si="49"/>
        <v>#N/A</v>
      </c>
      <c r="I114" t="e">
        <f t="shared" ca="1" si="49"/>
        <v>#N/A</v>
      </c>
      <c r="J114" t="e">
        <f t="shared" ca="1" si="49"/>
        <v>#N/A</v>
      </c>
      <c r="K114" t="e">
        <f t="shared" ca="1" si="49"/>
        <v>#N/A</v>
      </c>
      <c r="L114" t="e">
        <f t="shared" ca="1" si="49"/>
        <v>#N/A</v>
      </c>
      <c r="M114" t="e">
        <f t="shared" ca="1" si="49"/>
        <v>#N/A</v>
      </c>
      <c r="N114" t="e">
        <f t="shared" ca="1" si="49"/>
        <v>#N/A</v>
      </c>
      <c r="P114" t="e">
        <f t="shared" si="50"/>
        <v>#N/A</v>
      </c>
      <c r="Q114" t="e">
        <f t="shared" si="51"/>
        <v>#N/A</v>
      </c>
      <c r="R114" t="e">
        <f t="shared" si="52"/>
        <v>#N/A</v>
      </c>
      <c r="S114" t="e">
        <f t="shared" si="53"/>
        <v>#N/A</v>
      </c>
      <c r="T114" t="e">
        <f t="shared" si="54"/>
        <v>#N/A</v>
      </c>
      <c r="U114" t="e">
        <f t="shared" si="55"/>
        <v>#N/A</v>
      </c>
      <c r="V114" t="e">
        <f t="shared" si="56"/>
        <v>#N/A</v>
      </c>
    </row>
    <row r="115" spans="2:22">
      <c r="B115" t="str">
        <f ca="1">tblIndicators!A34</f>
        <v>BACK</v>
      </c>
      <c r="C115" t="e">
        <f t="shared" ca="1" si="43"/>
        <v>#N/A</v>
      </c>
      <c r="D115">
        <f t="shared" ca="1" si="44"/>
        <v>33</v>
      </c>
      <c r="E115" t="str">
        <f t="shared" ca="1" si="45"/>
        <v>Background data</v>
      </c>
      <c r="F115" t="e">
        <f t="shared" ca="1" si="6"/>
        <v>#N/A</v>
      </c>
      <c r="H115" t="e">
        <f t="shared" ca="1" si="49"/>
        <v>#N/A</v>
      </c>
      <c r="I115" t="e">
        <f t="shared" ca="1" si="49"/>
        <v>#N/A</v>
      </c>
      <c r="J115" t="e">
        <f t="shared" ca="1" si="49"/>
        <v>#N/A</v>
      </c>
      <c r="K115" t="e">
        <f t="shared" ca="1" si="49"/>
        <v>#N/A</v>
      </c>
      <c r="L115" t="e">
        <f t="shared" ca="1" si="49"/>
        <v>#N/A</v>
      </c>
      <c r="M115" t="e">
        <f t="shared" ca="1" si="49"/>
        <v>#N/A</v>
      </c>
      <c r="N115" t="e">
        <f t="shared" ca="1" si="49"/>
        <v>#N/A</v>
      </c>
      <c r="P115" t="e">
        <f t="shared" si="50"/>
        <v>#N/A</v>
      </c>
      <c r="Q115" t="e">
        <f t="shared" si="51"/>
        <v>#N/A</v>
      </c>
      <c r="R115" t="e">
        <f t="shared" si="52"/>
        <v>#N/A</v>
      </c>
      <c r="S115" t="e">
        <f t="shared" si="53"/>
        <v>#N/A</v>
      </c>
      <c r="T115" t="e">
        <f t="shared" si="54"/>
        <v>#N/A</v>
      </c>
      <c r="U115" t="e">
        <f t="shared" si="55"/>
        <v>#N/A</v>
      </c>
      <c r="V115" t="e">
        <f t="shared" si="56"/>
        <v>#N/A</v>
      </c>
    </row>
    <row r="116" spans="2:22">
      <c r="B116" t="str">
        <f ca="1">tblIndicators!A35</f>
        <v>BACK01</v>
      </c>
      <c r="C116" t="e">
        <f t="shared" ca="1" si="43"/>
        <v>#N/A</v>
      </c>
      <c r="D116">
        <f t="shared" ca="1" si="44"/>
        <v>34</v>
      </c>
      <c r="E116" t="str">
        <f t="shared" ca="1" si="45"/>
        <v>Fairness of judicial process</v>
      </c>
      <c r="F116" t="e">
        <f t="shared" ca="1" si="6"/>
        <v>#N/A</v>
      </c>
      <c r="H116" t="e">
        <f t="shared" ca="1" si="49"/>
        <v>#N/A</v>
      </c>
      <c r="I116" t="e">
        <f t="shared" ca="1" si="49"/>
        <v>#N/A</v>
      </c>
      <c r="J116" t="e">
        <f t="shared" ca="1" si="49"/>
        <v>#N/A</v>
      </c>
      <c r="K116" t="e">
        <f t="shared" ref="H116:N131" ca="1" si="57">INDEX(data,$C116,K$5)</f>
        <v>#N/A</v>
      </c>
      <c r="L116" t="e">
        <f t="shared" ca="1" si="57"/>
        <v>#N/A</v>
      </c>
      <c r="M116" t="e">
        <f t="shared" ca="1" si="57"/>
        <v>#N/A</v>
      </c>
      <c r="N116" t="e">
        <f t="shared" ca="1" si="57"/>
        <v>#N/A</v>
      </c>
      <c r="P116" t="e">
        <f t="shared" si="50"/>
        <v>#N/A</v>
      </c>
      <c r="Q116" t="e">
        <f t="shared" si="51"/>
        <v>#N/A</v>
      </c>
      <c r="R116" t="e">
        <f t="shared" si="52"/>
        <v>#N/A</v>
      </c>
      <c r="S116" t="e">
        <f t="shared" si="53"/>
        <v>#N/A</v>
      </c>
      <c r="T116" t="e">
        <f t="shared" si="54"/>
        <v>#N/A</v>
      </c>
      <c r="U116" t="e">
        <f t="shared" si="55"/>
        <v>#N/A</v>
      </c>
      <c r="V116" t="e">
        <f t="shared" si="56"/>
        <v>#N/A</v>
      </c>
    </row>
    <row r="117" spans="2:22">
      <c r="B117" t="str">
        <f ca="1">tblIndicators!A36</f>
        <v>BACK02</v>
      </c>
      <c r="C117" t="e">
        <f t="shared" ca="1" si="43"/>
        <v>#N/A</v>
      </c>
      <c r="D117">
        <f t="shared" ca="1" si="44"/>
        <v>35</v>
      </c>
      <c r="E117" t="str">
        <f t="shared" ca="1" si="45"/>
        <v>Speediness of judicial process</v>
      </c>
      <c r="F117" t="e">
        <f t="shared" ca="1" si="6"/>
        <v>#N/A</v>
      </c>
      <c r="H117" t="e">
        <f t="shared" ca="1" si="57"/>
        <v>#N/A</v>
      </c>
      <c r="I117" t="e">
        <f t="shared" ca="1" si="57"/>
        <v>#N/A</v>
      </c>
      <c r="J117" t="e">
        <f t="shared" ca="1" si="57"/>
        <v>#N/A</v>
      </c>
      <c r="K117" t="e">
        <f t="shared" ca="1" si="57"/>
        <v>#N/A</v>
      </c>
      <c r="L117" t="e">
        <f t="shared" ca="1" si="57"/>
        <v>#N/A</v>
      </c>
      <c r="M117" t="e">
        <f t="shared" ca="1" si="57"/>
        <v>#N/A</v>
      </c>
      <c r="N117" t="e">
        <f t="shared" ca="1" si="57"/>
        <v>#N/A</v>
      </c>
      <c r="P117" t="e">
        <f t="shared" si="50"/>
        <v>#N/A</v>
      </c>
      <c r="Q117" t="e">
        <f t="shared" si="51"/>
        <v>#N/A</v>
      </c>
      <c r="R117" t="e">
        <f t="shared" si="52"/>
        <v>#N/A</v>
      </c>
      <c r="S117" t="e">
        <f t="shared" si="53"/>
        <v>#N/A</v>
      </c>
      <c r="T117" t="e">
        <f t="shared" si="54"/>
        <v>#N/A</v>
      </c>
      <c r="U117" t="e">
        <f t="shared" si="55"/>
        <v>#N/A</v>
      </c>
      <c r="V117" t="e">
        <f t="shared" si="56"/>
        <v>#N/A</v>
      </c>
    </row>
    <row r="118" spans="2:22">
      <c r="B118" t="str">
        <f ca="1">tblIndicators!A37</f>
        <v>BACK03</v>
      </c>
      <c r="C118" t="e">
        <f t="shared" ca="1" si="43"/>
        <v>#N/A</v>
      </c>
      <c r="D118">
        <f t="shared" ca="1" si="44"/>
        <v>36</v>
      </c>
      <c r="E118" t="str">
        <f t="shared" ca="1" si="45"/>
        <v>Investor protection index</v>
      </c>
      <c r="F118" t="e">
        <f t="shared" ca="1" si="6"/>
        <v>#N/A</v>
      </c>
      <c r="H118" t="e">
        <f t="shared" ca="1" si="57"/>
        <v>#N/A</v>
      </c>
      <c r="I118" t="e">
        <f t="shared" ca="1" si="57"/>
        <v>#N/A</v>
      </c>
      <c r="J118" t="e">
        <f t="shared" ca="1" si="57"/>
        <v>#N/A</v>
      </c>
      <c r="K118" t="e">
        <f t="shared" ca="1" si="57"/>
        <v>#N/A</v>
      </c>
      <c r="L118" t="e">
        <f t="shared" ca="1" si="57"/>
        <v>#N/A</v>
      </c>
      <c r="M118" t="e">
        <f t="shared" ca="1" si="57"/>
        <v>#N/A</v>
      </c>
      <c r="N118" t="e">
        <f t="shared" ca="1" si="57"/>
        <v>#N/A</v>
      </c>
    </row>
    <row r="119" spans="2:22">
      <c r="B119" t="str">
        <f ca="1">tblIndicators!A38</f>
        <v>BACK04</v>
      </c>
      <c r="C119" t="e">
        <f t="shared" ca="1" si="43"/>
        <v>#N/A</v>
      </c>
      <c r="D119">
        <f t="shared" ca="1" si="44"/>
        <v>37</v>
      </c>
      <c r="E119" t="str">
        <f t="shared" ca="1" si="45"/>
        <v>Average time to complete a bankruptcy procedure</v>
      </c>
      <c r="F119" t="e">
        <f t="shared" ca="1" si="6"/>
        <v>#N/A</v>
      </c>
      <c r="H119" t="e">
        <f t="shared" ca="1" si="57"/>
        <v>#N/A</v>
      </c>
      <c r="I119" t="e">
        <f t="shared" ca="1" si="57"/>
        <v>#N/A</v>
      </c>
      <c r="J119" t="e">
        <f t="shared" ca="1" si="57"/>
        <v>#N/A</v>
      </c>
      <c r="K119" t="e">
        <f t="shared" ca="1" si="57"/>
        <v>#N/A</v>
      </c>
      <c r="L119" t="e">
        <f t="shared" ca="1" si="57"/>
        <v>#N/A</v>
      </c>
      <c r="M119" t="e">
        <f t="shared" ca="1" si="57"/>
        <v>#N/A</v>
      </c>
      <c r="N119" t="e">
        <f t="shared" ca="1" si="57"/>
        <v>#N/A</v>
      </c>
    </row>
    <row r="120" spans="2:22">
      <c r="B120" t="str">
        <f ca="1">tblIndicators!A39</f>
        <v>BACK05</v>
      </c>
      <c r="C120" t="e">
        <f t="shared" ca="1" si="43"/>
        <v>#N/A</v>
      </c>
      <c r="D120">
        <f t="shared" ca="1" si="44"/>
        <v>38</v>
      </c>
      <c r="E120" t="str">
        <f t="shared" ca="1" si="45"/>
        <v>Cost recovery after bankruptcy</v>
      </c>
      <c r="F120" t="e">
        <f t="shared" ca="1" si="6"/>
        <v>#N/A</v>
      </c>
      <c r="H120" t="e">
        <f t="shared" ca="1" si="57"/>
        <v>#N/A</v>
      </c>
      <c r="I120" t="e">
        <f t="shared" ca="1" si="57"/>
        <v>#N/A</v>
      </c>
      <c r="J120" t="e">
        <f t="shared" ca="1" si="57"/>
        <v>#N/A</v>
      </c>
      <c r="K120" t="e">
        <f t="shared" ca="1" si="57"/>
        <v>#N/A</v>
      </c>
      <c r="L120" t="e">
        <f t="shared" ca="1" si="57"/>
        <v>#N/A</v>
      </c>
      <c r="M120" t="e">
        <f t="shared" ca="1" si="57"/>
        <v>#N/A</v>
      </c>
      <c r="N120" t="e">
        <f t="shared" ca="1" si="57"/>
        <v>#N/A</v>
      </c>
    </row>
    <row r="121" spans="2:22">
      <c r="B121" t="str">
        <f ca="1">tblIndicators!A40</f>
        <v>BACK06</v>
      </c>
      <c r="C121" t="e">
        <f t="shared" ca="1" si="43"/>
        <v>#N/A</v>
      </c>
      <c r="D121">
        <f t="shared" ca="1" si="44"/>
        <v>39</v>
      </c>
      <c r="E121" t="str">
        <f t="shared" ca="1" si="45"/>
        <v>Time to settle a dispute</v>
      </c>
      <c r="F121" t="e">
        <f t="shared" ca="1" si="6"/>
        <v>#N/A</v>
      </c>
      <c r="H121" t="e">
        <f t="shared" ca="1" si="57"/>
        <v>#N/A</v>
      </c>
      <c r="I121" t="e">
        <f t="shared" ca="1" si="57"/>
        <v>#N/A</v>
      </c>
      <c r="J121" t="e">
        <f t="shared" ca="1" si="57"/>
        <v>#N/A</v>
      </c>
      <c r="K121" t="e">
        <f t="shared" ca="1" si="57"/>
        <v>#N/A</v>
      </c>
      <c r="L121" t="e">
        <f t="shared" ca="1" si="57"/>
        <v>#N/A</v>
      </c>
      <c r="M121" t="e">
        <f t="shared" ca="1" si="57"/>
        <v>#N/A</v>
      </c>
      <c r="N121" t="e">
        <f t="shared" ca="1" si="57"/>
        <v>#N/A</v>
      </c>
    </row>
    <row r="122" spans="2:22">
      <c r="B122" t="str">
        <f ca="1">tblIndicators!A45</f>
        <v>BACK11</v>
      </c>
      <c r="C122" t="e">
        <f t="shared" ca="1" si="43"/>
        <v>#N/A</v>
      </c>
      <c r="D122">
        <f t="shared" ca="1" si="44"/>
        <v>44</v>
      </c>
      <c r="E122" t="str">
        <f t="shared" ca="1" si="45"/>
        <v>Hostility to foreigners/private property</v>
      </c>
      <c r="F122" t="e">
        <f t="shared" ca="1" si="6"/>
        <v>#N/A</v>
      </c>
      <c r="H122" t="e">
        <f t="shared" ca="1" si="57"/>
        <v>#N/A</v>
      </c>
      <c r="I122" t="e">
        <f t="shared" ca="1" si="57"/>
        <v>#N/A</v>
      </c>
      <c r="J122" t="e">
        <f t="shared" ca="1" si="57"/>
        <v>#N/A</v>
      </c>
      <c r="K122" t="e">
        <f t="shared" ca="1" si="57"/>
        <v>#N/A</v>
      </c>
      <c r="L122" t="e">
        <f t="shared" ca="1" si="57"/>
        <v>#N/A</v>
      </c>
      <c r="M122" t="e">
        <f t="shared" ca="1" si="57"/>
        <v>#N/A</v>
      </c>
      <c r="N122" t="e">
        <f t="shared" ca="1" si="57"/>
        <v>#N/A</v>
      </c>
    </row>
    <row r="123" spans="2:22">
      <c r="B123">
        <f ca="1">tblIndicators!A47</f>
        <v>0</v>
      </c>
      <c r="C123" t="e">
        <f t="shared" ca="1" si="43"/>
        <v>#N/A</v>
      </c>
      <c r="D123" t="e">
        <f t="shared" ca="1" si="44"/>
        <v>#N/A</v>
      </c>
      <c r="E123" t="e">
        <f t="shared" ca="1" si="45"/>
        <v>#N/A</v>
      </c>
      <c r="F123" t="e">
        <f t="shared" ca="1" si="6"/>
        <v>#N/A</v>
      </c>
      <c r="H123" t="e">
        <f t="shared" ca="1" si="57"/>
        <v>#N/A</v>
      </c>
      <c r="I123" t="e">
        <f t="shared" ca="1" si="57"/>
        <v>#N/A</v>
      </c>
      <c r="J123" t="e">
        <f t="shared" ca="1" si="57"/>
        <v>#N/A</v>
      </c>
      <c r="K123" t="e">
        <f t="shared" ca="1" si="57"/>
        <v>#N/A</v>
      </c>
      <c r="L123" t="e">
        <f t="shared" ca="1" si="57"/>
        <v>#N/A</v>
      </c>
      <c r="M123" t="e">
        <f t="shared" ca="1" si="57"/>
        <v>#N/A</v>
      </c>
      <c r="N123" t="e">
        <f t="shared" ca="1" si="57"/>
        <v>#N/A</v>
      </c>
    </row>
    <row r="124" spans="2:22">
      <c r="B124">
        <f ca="1">tblIndicators!A48</f>
        <v>0</v>
      </c>
      <c r="C124" t="e">
        <f t="shared" ca="1" si="43"/>
        <v>#N/A</v>
      </c>
      <c r="D124" t="e">
        <f t="shared" ca="1" si="44"/>
        <v>#N/A</v>
      </c>
      <c r="E124" t="e">
        <f t="shared" ca="1" si="45"/>
        <v>#N/A</v>
      </c>
      <c r="F124" t="e">
        <f t="shared" ca="1" si="6"/>
        <v>#N/A</v>
      </c>
      <c r="H124" t="e">
        <f t="shared" ca="1" si="57"/>
        <v>#N/A</v>
      </c>
      <c r="I124" t="e">
        <f t="shared" ca="1" si="57"/>
        <v>#N/A</v>
      </c>
      <c r="J124" t="e">
        <f t="shared" ca="1" si="57"/>
        <v>#N/A</v>
      </c>
      <c r="K124" t="e">
        <f t="shared" ca="1" si="57"/>
        <v>#N/A</v>
      </c>
      <c r="L124" t="e">
        <f t="shared" ca="1" si="57"/>
        <v>#N/A</v>
      </c>
      <c r="M124" t="e">
        <f t="shared" ca="1" si="57"/>
        <v>#N/A</v>
      </c>
      <c r="N124" t="e">
        <f t="shared" ca="1" si="57"/>
        <v>#N/A</v>
      </c>
    </row>
    <row r="125" spans="2:22">
      <c r="B125">
        <f ca="1">tblIndicators!A49</f>
        <v>0</v>
      </c>
      <c r="C125" t="e">
        <f t="shared" ca="1" si="43"/>
        <v>#N/A</v>
      </c>
      <c r="D125" t="e">
        <f t="shared" ca="1" si="44"/>
        <v>#N/A</v>
      </c>
      <c r="E125" t="e">
        <f t="shared" ca="1" si="45"/>
        <v>#N/A</v>
      </c>
      <c r="F125" t="e">
        <f t="shared" ca="1" si="6"/>
        <v>#N/A</v>
      </c>
      <c r="H125" t="e">
        <f t="shared" ca="1" si="57"/>
        <v>#N/A</v>
      </c>
      <c r="I125" t="e">
        <f t="shared" ca="1" si="57"/>
        <v>#N/A</v>
      </c>
      <c r="J125" t="e">
        <f t="shared" ca="1" si="57"/>
        <v>#N/A</v>
      </c>
      <c r="K125" t="e">
        <f t="shared" ca="1" si="57"/>
        <v>#N/A</v>
      </c>
      <c r="L125" t="e">
        <f t="shared" ca="1" si="57"/>
        <v>#N/A</v>
      </c>
      <c r="M125" t="e">
        <f t="shared" ca="1" si="57"/>
        <v>#N/A</v>
      </c>
      <c r="N125" t="e">
        <f t="shared" ca="1" si="57"/>
        <v>#N/A</v>
      </c>
    </row>
    <row r="126" spans="2:22">
      <c r="B126" t="str">
        <f ca="1">tblIndicators!A50</f>
        <v>NORMAL BACKGROUND</v>
      </c>
      <c r="C126" t="e">
        <f t="shared" ref="C126:C158" ca="1" si="58">MATCH(B126,score_indicode,0)</f>
        <v>#N/A</v>
      </c>
      <c r="D126" t="e">
        <f t="shared" ref="D126:D158" ca="1" si="59">MATCH(B126,indi_code,0)</f>
        <v>#N/A</v>
      </c>
      <c r="E126" t="e">
        <f t="shared" ref="E126:E158" ca="1" si="60">INDEX(indi_short,D126)</f>
        <v>#N/A</v>
      </c>
      <c r="F126" t="e">
        <f t="shared" ca="1" si="6"/>
        <v>#N/A</v>
      </c>
      <c r="H126" t="e">
        <f t="shared" ca="1" si="57"/>
        <v>#N/A</v>
      </c>
      <c r="I126" t="e">
        <f t="shared" ca="1" si="57"/>
        <v>#N/A</v>
      </c>
      <c r="J126" t="e">
        <f t="shared" ca="1" si="57"/>
        <v>#N/A</v>
      </c>
      <c r="K126" t="e">
        <f t="shared" ca="1" si="57"/>
        <v>#N/A</v>
      </c>
      <c r="L126" t="e">
        <f t="shared" ca="1" si="57"/>
        <v>#N/A</v>
      </c>
      <c r="M126" t="e">
        <f t="shared" ca="1" si="57"/>
        <v>#N/A</v>
      </c>
      <c r="N126" t="e">
        <f t="shared" ca="1" si="57"/>
        <v>#N/A</v>
      </c>
    </row>
    <row r="127" spans="2:22">
      <c r="B127">
        <f ca="1">tblIndicators!A51</f>
        <v>0</v>
      </c>
      <c r="C127" t="e">
        <f t="shared" ca="1" si="58"/>
        <v>#N/A</v>
      </c>
      <c r="D127" t="e">
        <f t="shared" ca="1" si="59"/>
        <v>#N/A</v>
      </c>
      <c r="E127" t="e">
        <f t="shared" ca="1" si="60"/>
        <v>#N/A</v>
      </c>
      <c r="F127" t="e">
        <f t="shared" ca="1" si="6"/>
        <v>#N/A</v>
      </c>
      <c r="H127" t="e">
        <f t="shared" ca="1" si="57"/>
        <v>#N/A</v>
      </c>
      <c r="I127" t="e">
        <f t="shared" ca="1" si="57"/>
        <v>#N/A</v>
      </c>
      <c r="J127" t="e">
        <f t="shared" ca="1" si="57"/>
        <v>#N/A</v>
      </c>
      <c r="K127" t="e">
        <f t="shared" ca="1" si="57"/>
        <v>#N/A</v>
      </c>
      <c r="L127" t="e">
        <f t="shared" ca="1" si="57"/>
        <v>#N/A</v>
      </c>
      <c r="M127" t="e">
        <f t="shared" ca="1" si="57"/>
        <v>#N/A</v>
      </c>
      <c r="N127" t="e">
        <f t="shared" ca="1" si="57"/>
        <v>#N/A</v>
      </c>
    </row>
    <row r="128" spans="2:22">
      <c r="B128">
        <f ca="1">tblIndicators!A52</f>
        <v>0</v>
      </c>
      <c r="C128" t="e">
        <f t="shared" ca="1" si="58"/>
        <v>#N/A</v>
      </c>
      <c r="D128" t="e">
        <f t="shared" ca="1" si="59"/>
        <v>#N/A</v>
      </c>
      <c r="E128" t="e">
        <f t="shared" ca="1" si="60"/>
        <v>#N/A</v>
      </c>
      <c r="F128" t="e">
        <f t="shared" ref="F128:F158" ca="1" si="61">INDEX(data,$C128,F$5)</f>
        <v>#N/A</v>
      </c>
      <c r="H128" t="e">
        <f t="shared" ca="1" si="57"/>
        <v>#N/A</v>
      </c>
      <c r="I128" t="e">
        <f t="shared" ca="1" si="57"/>
        <v>#N/A</v>
      </c>
      <c r="J128" t="e">
        <f t="shared" ca="1" si="57"/>
        <v>#N/A</v>
      </c>
      <c r="K128" t="e">
        <f t="shared" ca="1" si="57"/>
        <v>#N/A</v>
      </c>
      <c r="L128" t="e">
        <f t="shared" ca="1" si="57"/>
        <v>#N/A</v>
      </c>
      <c r="M128" t="e">
        <f t="shared" ca="1" si="57"/>
        <v>#N/A</v>
      </c>
      <c r="N128" t="e">
        <f t="shared" ca="1" si="57"/>
        <v>#N/A</v>
      </c>
    </row>
    <row r="129" spans="2:14">
      <c r="B129">
        <f ca="1">tblIndicators!A53</f>
        <v>0</v>
      </c>
      <c r="C129" t="e">
        <f t="shared" ca="1" si="58"/>
        <v>#N/A</v>
      </c>
      <c r="D129" t="e">
        <f t="shared" ca="1" si="59"/>
        <v>#N/A</v>
      </c>
      <c r="E129" t="e">
        <f t="shared" ca="1" si="60"/>
        <v>#N/A</v>
      </c>
      <c r="F129" t="e">
        <f t="shared" ca="1" si="61"/>
        <v>#N/A</v>
      </c>
      <c r="H129" t="e">
        <f t="shared" ca="1" si="57"/>
        <v>#N/A</v>
      </c>
      <c r="I129" t="e">
        <f t="shared" ca="1" si="57"/>
        <v>#N/A</v>
      </c>
      <c r="J129" t="e">
        <f t="shared" ca="1" si="57"/>
        <v>#N/A</v>
      </c>
      <c r="K129" t="e">
        <f t="shared" ca="1" si="57"/>
        <v>#N/A</v>
      </c>
      <c r="L129" t="e">
        <f t="shared" ca="1" si="57"/>
        <v>#N/A</v>
      </c>
      <c r="M129" t="e">
        <f t="shared" ca="1" si="57"/>
        <v>#N/A</v>
      </c>
      <c r="N129" t="e">
        <f t="shared" ca="1" si="57"/>
        <v>#N/A</v>
      </c>
    </row>
    <row r="130" spans="2:14">
      <c r="B130">
        <f ca="1">tblIndicators!A54</f>
        <v>0</v>
      </c>
      <c r="C130" t="e">
        <f t="shared" ca="1" si="58"/>
        <v>#N/A</v>
      </c>
      <c r="D130" t="e">
        <f t="shared" ca="1" si="59"/>
        <v>#N/A</v>
      </c>
      <c r="E130" t="e">
        <f t="shared" ca="1" si="60"/>
        <v>#N/A</v>
      </c>
      <c r="F130" t="e">
        <f t="shared" ca="1" si="61"/>
        <v>#N/A</v>
      </c>
      <c r="H130" t="e">
        <f t="shared" ca="1" si="57"/>
        <v>#N/A</v>
      </c>
      <c r="I130" t="e">
        <f t="shared" ca="1" si="57"/>
        <v>#N/A</v>
      </c>
      <c r="J130" t="e">
        <f t="shared" ca="1" si="57"/>
        <v>#N/A</v>
      </c>
      <c r="K130" t="e">
        <f t="shared" ca="1" si="57"/>
        <v>#N/A</v>
      </c>
      <c r="L130" t="e">
        <f t="shared" ca="1" si="57"/>
        <v>#N/A</v>
      </c>
      <c r="M130" t="e">
        <f t="shared" ca="1" si="57"/>
        <v>#N/A</v>
      </c>
      <c r="N130" t="e">
        <f t="shared" ca="1" si="57"/>
        <v>#N/A</v>
      </c>
    </row>
    <row r="131" spans="2:14">
      <c r="B131">
        <f ca="1">tblIndicators!A55</f>
        <v>0</v>
      </c>
      <c r="C131" t="e">
        <f t="shared" ca="1" si="58"/>
        <v>#N/A</v>
      </c>
      <c r="D131" t="e">
        <f t="shared" ca="1" si="59"/>
        <v>#N/A</v>
      </c>
      <c r="E131" t="e">
        <f t="shared" ca="1" si="60"/>
        <v>#N/A</v>
      </c>
      <c r="F131" t="e">
        <f t="shared" ca="1" si="61"/>
        <v>#N/A</v>
      </c>
      <c r="H131" t="e">
        <f t="shared" ca="1" si="57"/>
        <v>#N/A</v>
      </c>
      <c r="I131" t="e">
        <f t="shared" ca="1" si="57"/>
        <v>#N/A</v>
      </c>
      <c r="J131" t="e">
        <f t="shared" ca="1" si="57"/>
        <v>#N/A</v>
      </c>
      <c r="K131" t="e">
        <f t="shared" ca="1" si="57"/>
        <v>#N/A</v>
      </c>
      <c r="L131" t="e">
        <f t="shared" ca="1" si="57"/>
        <v>#N/A</v>
      </c>
      <c r="M131" t="e">
        <f t="shared" ca="1" si="57"/>
        <v>#N/A</v>
      </c>
      <c r="N131" t="e">
        <f t="shared" ca="1" si="57"/>
        <v>#N/A</v>
      </c>
    </row>
    <row r="132" spans="2:14">
      <c r="B132">
        <f ca="1">tblIndicators!A56</f>
        <v>0</v>
      </c>
      <c r="C132" t="e">
        <f t="shared" ca="1" si="58"/>
        <v>#N/A</v>
      </c>
      <c r="D132" t="e">
        <f t="shared" ca="1" si="59"/>
        <v>#N/A</v>
      </c>
      <c r="E132" t="e">
        <f t="shared" ca="1" si="60"/>
        <v>#N/A</v>
      </c>
      <c r="F132" t="e">
        <f t="shared" ca="1" si="61"/>
        <v>#N/A</v>
      </c>
      <c r="H132" t="e">
        <f t="shared" ref="H132:N147" ca="1" si="62">INDEX(data,$C132,H$5)</f>
        <v>#N/A</v>
      </c>
      <c r="I132" t="e">
        <f t="shared" ca="1" si="62"/>
        <v>#N/A</v>
      </c>
      <c r="J132" t="e">
        <f t="shared" ca="1" si="62"/>
        <v>#N/A</v>
      </c>
      <c r="K132" t="e">
        <f t="shared" ca="1" si="62"/>
        <v>#N/A</v>
      </c>
      <c r="L132" t="e">
        <f t="shared" ca="1" si="62"/>
        <v>#N/A</v>
      </c>
      <c r="M132" t="e">
        <f t="shared" ca="1" si="62"/>
        <v>#N/A</v>
      </c>
      <c r="N132" t="e">
        <f t="shared" ca="1" si="62"/>
        <v>#N/A</v>
      </c>
    </row>
    <row r="133" spans="2:14">
      <c r="B133">
        <f ca="1">tblIndicators!A57</f>
        <v>0</v>
      </c>
      <c r="C133" t="e">
        <f t="shared" ca="1" si="58"/>
        <v>#N/A</v>
      </c>
      <c r="D133" t="e">
        <f t="shared" ca="1" si="59"/>
        <v>#N/A</v>
      </c>
      <c r="E133" t="e">
        <f t="shared" ca="1" si="60"/>
        <v>#N/A</v>
      </c>
      <c r="F133" t="e">
        <f t="shared" ca="1" si="61"/>
        <v>#N/A</v>
      </c>
      <c r="H133" t="e">
        <f t="shared" ca="1" si="62"/>
        <v>#N/A</v>
      </c>
      <c r="I133" t="e">
        <f t="shared" ca="1" si="62"/>
        <v>#N/A</v>
      </c>
      <c r="J133" t="e">
        <f t="shared" ca="1" si="62"/>
        <v>#N/A</v>
      </c>
      <c r="K133" t="e">
        <f t="shared" ca="1" si="62"/>
        <v>#N/A</v>
      </c>
      <c r="L133" t="e">
        <f t="shared" ca="1" si="62"/>
        <v>#N/A</v>
      </c>
      <c r="M133" t="e">
        <f t="shared" ca="1" si="62"/>
        <v>#N/A</v>
      </c>
      <c r="N133" t="e">
        <f t="shared" ca="1" si="62"/>
        <v>#N/A</v>
      </c>
    </row>
    <row r="134" spans="2:14">
      <c r="B134">
        <f ca="1">tblIndicators!A58</f>
        <v>0</v>
      </c>
      <c r="C134" t="e">
        <f t="shared" ca="1" si="58"/>
        <v>#N/A</v>
      </c>
      <c r="D134" t="e">
        <f t="shared" ca="1" si="59"/>
        <v>#N/A</v>
      </c>
      <c r="E134" t="e">
        <f t="shared" ca="1" si="60"/>
        <v>#N/A</v>
      </c>
      <c r="F134" t="e">
        <f t="shared" ca="1" si="61"/>
        <v>#N/A</v>
      </c>
      <c r="H134" t="e">
        <f t="shared" ca="1" si="62"/>
        <v>#N/A</v>
      </c>
      <c r="I134" t="e">
        <f t="shared" ca="1" si="62"/>
        <v>#N/A</v>
      </c>
      <c r="J134" t="e">
        <f t="shared" ca="1" si="62"/>
        <v>#N/A</v>
      </c>
      <c r="K134" t="e">
        <f t="shared" ca="1" si="62"/>
        <v>#N/A</v>
      </c>
      <c r="L134" t="e">
        <f t="shared" ca="1" si="62"/>
        <v>#N/A</v>
      </c>
      <c r="M134" t="e">
        <f t="shared" ca="1" si="62"/>
        <v>#N/A</v>
      </c>
      <c r="N134" t="e">
        <f t="shared" ca="1" si="62"/>
        <v>#N/A</v>
      </c>
    </row>
    <row r="135" spans="2:14">
      <c r="B135">
        <f ca="1">tblIndicators!A59</f>
        <v>0</v>
      </c>
      <c r="C135" t="e">
        <f t="shared" ca="1" si="58"/>
        <v>#N/A</v>
      </c>
      <c r="D135" t="e">
        <f t="shared" ca="1" si="59"/>
        <v>#N/A</v>
      </c>
      <c r="E135" t="e">
        <f t="shared" ca="1" si="60"/>
        <v>#N/A</v>
      </c>
      <c r="F135" t="e">
        <f t="shared" ca="1" si="61"/>
        <v>#N/A</v>
      </c>
      <c r="H135" t="e">
        <f t="shared" ca="1" si="62"/>
        <v>#N/A</v>
      </c>
      <c r="I135" t="e">
        <f t="shared" ca="1" si="62"/>
        <v>#N/A</v>
      </c>
      <c r="J135" t="e">
        <f t="shared" ca="1" si="62"/>
        <v>#N/A</v>
      </c>
      <c r="K135" t="e">
        <f t="shared" ca="1" si="62"/>
        <v>#N/A</v>
      </c>
      <c r="L135" t="e">
        <f t="shared" ca="1" si="62"/>
        <v>#N/A</v>
      </c>
      <c r="M135" t="e">
        <f t="shared" ca="1" si="62"/>
        <v>#N/A</v>
      </c>
      <c r="N135" t="e">
        <f t="shared" ca="1" si="62"/>
        <v>#N/A</v>
      </c>
    </row>
    <row r="136" spans="2:14">
      <c r="B136">
        <f ca="1">tblIndicators!A60</f>
        <v>0</v>
      </c>
      <c r="C136" t="e">
        <f t="shared" ca="1" si="58"/>
        <v>#N/A</v>
      </c>
      <c r="D136" t="e">
        <f t="shared" ca="1" si="59"/>
        <v>#N/A</v>
      </c>
      <c r="E136" t="e">
        <f t="shared" ca="1" si="60"/>
        <v>#N/A</v>
      </c>
      <c r="F136" t="e">
        <f t="shared" ca="1" si="61"/>
        <v>#N/A</v>
      </c>
      <c r="H136" t="e">
        <f t="shared" ca="1" si="62"/>
        <v>#N/A</v>
      </c>
      <c r="I136" t="e">
        <f t="shared" ca="1" si="62"/>
        <v>#N/A</v>
      </c>
      <c r="J136" t="e">
        <f t="shared" ca="1" si="62"/>
        <v>#N/A</v>
      </c>
      <c r="K136" t="e">
        <f t="shared" ca="1" si="62"/>
        <v>#N/A</v>
      </c>
      <c r="L136" t="e">
        <f t="shared" ca="1" si="62"/>
        <v>#N/A</v>
      </c>
      <c r="M136" t="e">
        <f t="shared" ca="1" si="62"/>
        <v>#N/A</v>
      </c>
      <c r="N136" t="e">
        <f t="shared" ca="1" si="62"/>
        <v>#N/A</v>
      </c>
    </row>
    <row r="137" spans="2:14">
      <c r="B137">
        <f ca="1">tblIndicators!A61</f>
        <v>0</v>
      </c>
      <c r="C137" t="e">
        <f t="shared" ca="1" si="58"/>
        <v>#N/A</v>
      </c>
      <c r="D137" t="e">
        <f t="shared" ca="1" si="59"/>
        <v>#N/A</v>
      </c>
      <c r="E137" t="e">
        <f t="shared" ca="1" si="60"/>
        <v>#N/A</v>
      </c>
      <c r="F137" t="e">
        <f t="shared" ca="1" si="61"/>
        <v>#N/A</v>
      </c>
      <c r="H137" t="e">
        <f t="shared" ca="1" si="62"/>
        <v>#N/A</v>
      </c>
      <c r="I137" t="e">
        <f t="shared" ca="1" si="62"/>
        <v>#N/A</v>
      </c>
      <c r="J137" t="e">
        <f t="shared" ca="1" si="62"/>
        <v>#N/A</v>
      </c>
      <c r="K137" t="e">
        <f t="shared" ca="1" si="62"/>
        <v>#N/A</v>
      </c>
      <c r="L137" t="e">
        <f t="shared" ca="1" si="62"/>
        <v>#N/A</v>
      </c>
      <c r="M137" t="e">
        <f t="shared" ca="1" si="62"/>
        <v>#N/A</v>
      </c>
      <c r="N137" t="e">
        <f t="shared" ca="1" si="62"/>
        <v>#N/A</v>
      </c>
    </row>
    <row r="138" spans="2:14">
      <c r="B138">
        <f ca="1">tblIndicators!A62</f>
        <v>0</v>
      </c>
      <c r="C138" t="e">
        <f t="shared" ca="1" si="58"/>
        <v>#N/A</v>
      </c>
      <c r="D138" t="e">
        <f t="shared" ca="1" si="59"/>
        <v>#N/A</v>
      </c>
      <c r="E138" t="e">
        <f t="shared" ca="1" si="60"/>
        <v>#N/A</v>
      </c>
      <c r="F138" t="e">
        <f t="shared" ca="1" si="61"/>
        <v>#N/A</v>
      </c>
      <c r="H138" t="e">
        <f t="shared" ca="1" si="62"/>
        <v>#N/A</v>
      </c>
      <c r="I138" t="e">
        <f t="shared" ca="1" si="62"/>
        <v>#N/A</v>
      </c>
      <c r="J138" t="e">
        <f t="shared" ca="1" si="62"/>
        <v>#N/A</v>
      </c>
      <c r="K138" t="e">
        <f t="shared" ca="1" si="62"/>
        <v>#N/A</v>
      </c>
      <c r="L138" t="e">
        <f t="shared" ca="1" si="62"/>
        <v>#N/A</v>
      </c>
      <c r="M138" t="e">
        <f t="shared" ca="1" si="62"/>
        <v>#N/A</v>
      </c>
      <c r="N138" t="e">
        <f t="shared" ca="1" si="62"/>
        <v>#N/A</v>
      </c>
    </row>
    <row r="139" spans="2:14">
      <c r="B139">
        <f ca="1">tblIndicators!A63</f>
        <v>0</v>
      </c>
      <c r="C139" t="e">
        <f t="shared" ca="1" si="58"/>
        <v>#N/A</v>
      </c>
      <c r="D139" t="e">
        <f t="shared" ca="1" si="59"/>
        <v>#N/A</v>
      </c>
      <c r="E139" t="e">
        <f t="shared" ca="1" si="60"/>
        <v>#N/A</v>
      </c>
      <c r="F139" t="e">
        <f t="shared" ca="1" si="61"/>
        <v>#N/A</v>
      </c>
      <c r="H139" t="e">
        <f t="shared" ca="1" si="62"/>
        <v>#N/A</v>
      </c>
      <c r="I139" t="e">
        <f t="shared" ca="1" si="62"/>
        <v>#N/A</v>
      </c>
      <c r="J139" t="e">
        <f t="shared" ca="1" si="62"/>
        <v>#N/A</v>
      </c>
      <c r="K139" t="e">
        <f t="shared" ca="1" si="62"/>
        <v>#N/A</v>
      </c>
      <c r="L139" t="e">
        <f t="shared" ca="1" si="62"/>
        <v>#N/A</v>
      </c>
      <c r="M139" t="e">
        <f t="shared" ca="1" si="62"/>
        <v>#N/A</v>
      </c>
      <c r="N139" t="e">
        <f t="shared" ca="1" si="62"/>
        <v>#N/A</v>
      </c>
    </row>
    <row r="140" spans="2:14">
      <c r="B140">
        <f ca="1">tblIndicators!A64</f>
        <v>0</v>
      </c>
      <c r="C140" t="e">
        <f t="shared" ca="1" si="58"/>
        <v>#N/A</v>
      </c>
      <c r="D140" t="e">
        <f t="shared" ca="1" si="59"/>
        <v>#N/A</v>
      </c>
      <c r="E140" t="e">
        <f t="shared" ca="1" si="60"/>
        <v>#N/A</v>
      </c>
      <c r="F140" t="e">
        <f t="shared" ca="1" si="61"/>
        <v>#N/A</v>
      </c>
      <c r="H140" t="e">
        <f t="shared" ca="1" si="62"/>
        <v>#N/A</v>
      </c>
      <c r="I140" t="e">
        <f t="shared" ca="1" si="62"/>
        <v>#N/A</v>
      </c>
      <c r="J140" t="e">
        <f t="shared" ca="1" si="62"/>
        <v>#N/A</v>
      </c>
      <c r="K140" t="e">
        <f t="shared" ca="1" si="62"/>
        <v>#N/A</v>
      </c>
      <c r="L140" t="e">
        <f t="shared" ca="1" si="62"/>
        <v>#N/A</v>
      </c>
      <c r="M140" t="e">
        <f t="shared" ca="1" si="62"/>
        <v>#N/A</v>
      </c>
      <c r="N140" t="e">
        <f t="shared" ca="1" si="62"/>
        <v>#N/A</v>
      </c>
    </row>
    <row r="141" spans="2:14">
      <c r="B141">
        <f ca="1">tblIndicators!A65</f>
        <v>0</v>
      </c>
      <c r="C141" t="e">
        <f t="shared" ca="1" si="58"/>
        <v>#N/A</v>
      </c>
      <c r="D141" t="e">
        <f t="shared" ca="1" si="59"/>
        <v>#N/A</v>
      </c>
      <c r="E141" t="e">
        <f t="shared" ca="1" si="60"/>
        <v>#N/A</v>
      </c>
      <c r="F141" t="e">
        <f t="shared" ca="1" si="61"/>
        <v>#N/A</v>
      </c>
      <c r="H141" t="e">
        <f t="shared" ca="1" si="62"/>
        <v>#N/A</v>
      </c>
      <c r="I141" t="e">
        <f t="shared" ca="1" si="62"/>
        <v>#N/A</v>
      </c>
      <c r="J141" t="e">
        <f t="shared" ca="1" si="62"/>
        <v>#N/A</v>
      </c>
      <c r="K141" t="e">
        <f t="shared" ca="1" si="62"/>
        <v>#N/A</v>
      </c>
      <c r="L141" t="e">
        <f t="shared" ca="1" si="62"/>
        <v>#N/A</v>
      </c>
      <c r="M141" t="e">
        <f t="shared" ca="1" si="62"/>
        <v>#N/A</v>
      </c>
      <c r="N141" t="e">
        <f t="shared" ca="1" si="62"/>
        <v>#N/A</v>
      </c>
    </row>
    <row r="142" spans="2:14">
      <c r="B142">
        <f ca="1">tblIndicators!A66</f>
        <v>0</v>
      </c>
      <c r="C142" t="e">
        <f t="shared" ca="1" si="58"/>
        <v>#N/A</v>
      </c>
      <c r="D142" t="e">
        <f t="shared" ca="1" si="59"/>
        <v>#N/A</v>
      </c>
      <c r="E142" t="e">
        <f t="shared" ca="1" si="60"/>
        <v>#N/A</v>
      </c>
      <c r="F142" t="e">
        <f t="shared" ca="1" si="61"/>
        <v>#N/A</v>
      </c>
      <c r="H142" t="e">
        <f t="shared" ca="1" si="62"/>
        <v>#N/A</v>
      </c>
      <c r="I142" t="e">
        <f t="shared" ca="1" si="62"/>
        <v>#N/A</v>
      </c>
      <c r="J142" t="e">
        <f t="shared" ca="1" si="62"/>
        <v>#N/A</v>
      </c>
      <c r="K142" t="e">
        <f t="shared" ca="1" si="62"/>
        <v>#N/A</v>
      </c>
      <c r="L142" t="e">
        <f t="shared" ca="1" si="62"/>
        <v>#N/A</v>
      </c>
      <c r="M142" t="e">
        <f t="shared" ca="1" si="62"/>
        <v>#N/A</v>
      </c>
      <c r="N142" t="e">
        <f t="shared" ca="1" si="62"/>
        <v>#N/A</v>
      </c>
    </row>
    <row r="143" spans="2:14">
      <c r="B143">
        <f ca="1">tblIndicators!A67</f>
        <v>0</v>
      </c>
      <c r="C143" t="e">
        <f t="shared" ca="1" si="58"/>
        <v>#N/A</v>
      </c>
      <c r="D143" t="e">
        <f t="shared" ca="1" si="59"/>
        <v>#N/A</v>
      </c>
      <c r="E143" t="e">
        <f t="shared" ca="1" si="60"/>
        <v>#N/A</v>
      </c>
      <c r="F143" t="e">
        <f t="shared" ca="1" si="61"/>
        <v>#N/A</v>
      </c>
      <c r="H143" t="e">
        <f t="shared" ca="1" si="62"/>
        <v>#N/A</v>
      </c>
      <c r="I143" t="e">
        <f t="shared" ca="1" si="62"/>
        <v>#N/A</v>
      </c>
      <c r="J143" t="e">
        <f t="shared" ca="1" si="62"/>
        <v>#N/A</v>
      </c>
      <c r="K143" t="e">
        <f t="shared" ca="1" si="62"/>
        <v>#N/A</v>
      </c>
      <c r="L143" t="e">
        <f t="shared" ca="1" si="62"/>
        <v>#N/A</v>
      </c>
      <c r="M143" t="e">
        <f t="shared" ca="1" si="62"/>
        <v>#N/A</v>
      </c>
      <c r="N143" t="e">
        <f t="shared" ca="1" si="62"/>
        <v>#N/A</v>
      </c>
    </row>
    <row r="144" spans="2:14">
      <c r="B144">
        <f ca="1">tblIndicators!A68</f>
        <v>0</v>
      </c>
      <c r="C144" t="e">
        <f t="shared" ca="1" si="58"/>
        <v>#N/A</v>
      </c>
      <c r="D144" t="e">
        <f t="shared" ca="1" si="59"/>
        <v>#N/A</v>
      </c>
      <c r="E144" t="e">
        <f t="shared" ca="1" si="60"/>
        <v>#N/A</v>
      </c>
      <c r="F144" t="e">
        <f t="shared" ca="1" si="61"/>
        <v>#N/A</v>
      </c>
      <c r="H144" t="e">
        <f t="shared" ca="1" si="62"/>
        <v>#N/A</v>
      </c>
      <c r="I144" t="e">
        <f t="shared" ca="1" si="62"/>
        <v>#N/A</v>
      </c>
      <c r="J144" t="e">
        <f t="shared" ca="1" si="62"/>
        <v>#N/A</v>
      </c>
      <c r="K144" t="e">
        <f t="shared" ca="1" si="62"/>
        <v>#N/A</v>
      </c>
      <c r="L144" t="e">
        <f t="shared" ca="1" si="62"/>
        <v>#N/A</v>
      </c>
      <c r="M144" t="e">
        <f t="shared" ca="1" si="62"/>
        <v>#N/A</v>
      </c>
      <c r="N144" t="e">
        <f t="shared" ca="1" si="62"/>
        <v>#N/A</v>
      </c>
    </row>
    <row r="145" spans="2:14">
      <c r="B145">
        <f ca="1">tblIndicators!A69</f>
        <v>0</v>
      </c>
      <c r="C145" t="e">
        <f t="shared" ca="1" si="58"/>
        <v>#N/A</v>
      </c>
      <c r="D145" t="e">
        <f t="shared" ca="1" si="59"/>
        <v>#N/A</v>
      </c>
      <c r="E145" t="e">
        <f t="shared" ca="1" si="60"/>
        <v>#N/A</v>
      </c>
      <c r="F145" t="e">
        <f t="shared" ca="1" si="61"/>
        <v>#N/A</v>
      </c>
      <c r="H145" t="e">
        <f t="shared" ca="1" si="62"/>
        <v>#N/A</v>
      </c>
      <c r="I145" t="e">
        <f t="shared" ca="1" si="62"/>
        <v>#N/A</v>
      </c>
      <c r="J145" t="e">
        <f t="shared" ca="1" si="62"/>
        <v>#N/A</v>
      </c>
      <c r="K145" t="e">
        <f t="shared" ca="1" si="62"/>
        <v>#N/A</v>
      </c>
      <c r="L145" t="e">
        <f t="shared" ca="1" si="62"/>
        <v>#N/A</v>
      </c>
      <c r="M145" t="e">
        <f t="shared" ca="1" si="62"/>
        <v>#N/A</v>
      </c>
      <c r="N145" t="e">
        <f t="shared" ca="1" si="62"/>
        <v>#N/A</v>
      </c>
    </row>
    <row r="146" spans="2:14">
      <c r="B146">
        <f ca="1">tblIndicators!A70</f>
        <v>0</v>
      </c>
      <c r="C146" t="e">
        <f t="shared" ca="1" si="58"/>
        <v>#N/A</v>
      </c>
      <c r="D146" t="e">
        <f t="shared" ca="1" si="59"/>
        <v>#N/A</v>
      </c>
      <c r="E146" t="e">
        <f t="shared" ca="1" si="60"/>
        <v>#N/A</v>
      </c>
      <c r="F146" t="e">
        <f t="shared" ca="1" si="61"/>
        <v>#N/A</v>
      </c>
      <c r="H146" t="e">
        <f t="shared" ca="1" si="62"/>
        <v>#N/A</v>
      </c>
      <c r="I146" t="e">
        <f t="shared" ca="1" si="62"/>
        <v>#N/A</v>
      </c>
      <c r="J146" t="e">
        <f t="shared" ca="1" si="62"/>
        <v>#N/A</v>
      </c>
      <c r="K146" t="e">
        <f t="shared" ca="1" si="62"/>
        <v>#N/A</v>
      </c>
      <c r="L146" t="e">
        <f t="shared" ca="1" si="62"/>
        <v>#N/A</v>
      </c>
      <c r="M146" t="e">
        <f t="shared" ca="1" si="62"/>
        <v>#N/A</v>
      </c>
      <c r="N146" t="e">
        <f t="shared" ca="1" si="62"/>
        <v>#N/A</v>
      </c>
    </row>
    <row r="147" spans="2:14">
      <c r="B147">
        <f ca="1">tblIndicators!A71</f>
        <v>0</v>
      </c>
      <c r="C147" t="e">
        <f t="shared" ca="1" si="58"/>
        <v>#N/A</v>
      </c>
      <c r="D147" t="e">
        <f t="shared" ca="1" si="59"/>
        <v>#N/A</v>
      </c>
      <c r="E147" t="e">
        <f t="shared" ca="1" si="60"/>
        <v>#N/A</v>
      </c>
      <c r="F147" t="e">
        <f t="shared" ca="1" si="61"/>
        <v>#N/A</v>
      </c>
      <c r="H147" t="e">
        <f t="shared" ca="1" si="62"/>
        <v>#N/A</v>
      </c>
      <c r="I147" t="e">
        <f t="shared" ca="1" si="62"/>
        <v>#N/A</v>
      </c>
      <c r="J147" t="e">
        <f t="shared" ca="1" si="62"/>
        <v>#N/A</v>
      </c>
      <c r="K147" t="e">
        <f t="shared" ca="1" si="62"/>
        <v>#N/A</v>
      </c>
      <c r="L147" t="e">
        <f t="shared" ca="1" si="62"/>
        <v>#N/A</v>
      </c>
      <c r="M147" t="e">
        <f t="shared" ca="1" si="62"/>
        <v>#N/A</v>
      </c>
      <c r="N147" t="e">
        <f t="shared" ca="1" si="62"/>
        <v>#N/A</v>
      </c>
    </row>
    <row r="148" spans="2:14">
      <c r="B148">
        <f ca="1">tblIndicators!A72</f>
        <v>0</v>
      </c>
      <c r="C148" t="e">
        <f t="shared" ca="1" si="58"/>
        <v>#N/A</v>
      </c>
      <c r="D148" t="e">
        <f t="shared" ca="1" si="59"/>
        <v>#N/A</v>
      </c>
      <c r="E148" t="e">
        <f t="shared" ca="1" si="60"/>
        <v>#N/A</v>
      </c>
      <c r="F148" t="e">
        <f t="shared" ca="1" si="61"/>
        <v>#N/A</v>
      </c>
      <c r="H148" t="e">
        <f t="shared" ref="H148:N158" ca="1" si="63">INDEX(data,$C148,H$5)</f>
        <v>#N/A</v>
      </c>
      <c r="I148" t="e">
        <f t="shared" ca="1" si="63"/>
        <v>#N/A</v>
      </c>
      <c r="J148" t="e">
        <f t="shared" ca="1" si="63"/>
        <v>#N/A</v>
      </c>
      <c r="K148" t="e">
        <f t="shared" ca="1" si="63"/>
        <v>#N/A</v>
      </c>
      <c r="L148" t="e">
        <f t="shared" ca="1" si="63"/>
        <v>#N/A</v>
      </c>
      <c r="M148" t="e">
        <f t="shared" ca="1" si="63"/>
        <v>#N/A</v>
      </c>
      <c r="N148" t="e">
        <f t="shared" ca="1" si="63"/>
        <v>#N/A</v>
      </c>
    </row>
    <row r="149" spans="2:14">
      <c r="B149">
        <f ca="1">tblIndicators!A73</f>
        <v>0</v>
      </c>
      <c r="C149" t="e">
        <f t="shared" ca="1" si="58"/>
        <v>#N/A</v>
      </c>
      <c r="D149" t="e">
        <f t="shared" ca="1" si="59"/>
        <v>#N/A</v>
      </c>
      <c r="E149" t="e">
        <f t="shared" ca="1" si="60"/>
        <v>#N/A</v>
      </c>
      <c r="F149" t="e">
        <f t="shared" ca="1" si="61"/>
        <v>#N/A</v>
      </c>
      <c r="H149" t="e">
        <f t="shared" ca="1" si="63"/>
        <v>#N/A</v>
      </c>
      <c r="I149" t="e">
        <f t="shared" ca="1" si="63"/>
        <v>#N/A</v>
      </c>
      <c r="J149" t="e">
        <f t="shared" ca="1" si="63"/>
        <v>#N/A</v>
      </c>
      <c r="K149" t="e">
        <f t="shared" ca="1" si="63"/>
        <v>#N/A</v>
      </c>
      <c r="L149" t="e">
        <f t="shared" ca="1" si="63"/>
        <v>#N/A</v>
      </c>
      <c r="M149" t="e">
        <f t="shared" ca="1" si="63"/>
        <v>#N/A</v>
      </c>
      <c r="N149" t="e">
        <f t="shared" ca="1" si="63"/>
        <v>#N/A</v>
      </c>
    </row>
    <row r="150" spans="2:14">
      <c r="B150">
        <f ca="1">tblIndicators!A74</f>
        <v>0</v>
      </c>
      <c r="C150" t="e">
        <f t="shared" ca="1" si="58"/>
        <v>#N/A</v>
      </c>
      <c r="D150" t="e">
        <f t="shared" ca="1" si="59"/>
        <v>#N/A</v>
      </c>
      <c r="E150" t="e">
        <f t="shared" ca="1" si="60"/>
        <v>#N/A</v>
      </c>
      <c r="F150" t="e">
        <f t="shared" ca="1" si="61"/>
        <v>#N/A</v>
      </c>
      <c r="H150" t="e">
        <f t="shared" ca="1" si="63"/>
        <v>#N/A</v>
      </c>
      <c r="I150" t="e">
        <f t="shared" ca="1" si="63"/>
        <v>#N/A</v>
      </c>
      <c r="J150" t="e">
        <f t="shared" ca="1" si="63"/>
        <v>#N/A</v>
      </c>
      <c r="K150" t="e">
        <f t="shared" ca="1" si="63"/>
        <v>#N/A</v>
      </c>
      <c r="L150" t="e">
        <f t="shared" ca="1" si="63"/>
        <v>#N/A</v>
      </c>
      <c r="M150" t="e">
        <f t="shared" ca="1" si="63"/>
        <v>#N/A</v>
      </c>
      <c r="N150" t="e">
        <f t="shared" ca="1" si="63"/>
        <v>#N/A</v>
      </c>
    </row>
    <row r="151" spans="2:14">
      <c r="B151">
        <f ca="1">tblIndicators!A75</f>
        <v>0</v>
      </c>
      <c r="C151" t="e">
        <f t="shared" ca="1" si="58"/>
        <v>#N/A</v>
      </c>
      <c r="D151" t="e">
        <f t="shared" ca="1" si="59"/>
        <v>#N/A</v>
      </c>
      <c r="E151" t="e">
        <f t="shared" ca="1" si="60"/>
        <v>#N/A</v>
      </c>
      <c r="F151" t="e">
        <f t="shared" ca="1" si="61"/>
        <v>#N/A</v>
      </c>
      <c r="H151" t="e">
        <f t="shared" ca="1" si="63"/>
        <v>#N/A</v>
      </c>
      <c r="I151" t="e">
        <f t="shared" ca="1" si="63"/>
        <v>#N/A</v>
      </c>
      <c r="J151" t="e">
        <f t="shared" ca="1" si="63"/>
        <v>#N/A</v>
      </c>
      <c r="K151" t="e">
        <f t="shared" ca="1" si="63"/>
        <v>#N/A</v>
      </c>
      <c r="L151" t="e">
        <f t="shared" ca="1" si="63"/>
        <v>#N/A</v>
      </c>
      <c r="M151" t="e">
        <f t="shared" ca="1" si="63"/>
        <v>#N/A</v>
      </c>
      <c r="N151" t="e">
        <f t="shared" ca="1" si="63"/>
        <v>#N/A</v>
      </c>
    </row>
    <row r="152" spans="2:14">
      <c r="B152">
        <f ca="1">tblIndicators!A76</f>
        <v>0</v>
      </c>
      <c r="C152" t="e">
        <f t="shared" ca="1" si="58"/>
        <v>#N/A</v>
      </c>
      <c r="D152" t="e">
        <f t="shared" ca="1" si="59"/>
        <v>#N/A</v>
      </c>
      <c r="E152" t="e">
        <f t="shared" ca="1" si="60"/>
        <v>#N/A</v>
      </c>
      <c r="F152" t="e">
        <f t="shared" ca="1" si="61"/>
        <v>#N/A</v>
      </c>
      <c r="H152" t="e">
        <f t="shared" ca="1" si="63"/>
        <v>#N/A</v>
      </c>
      <c r="I152" t="e">
        <f t="shared" ca="1" si="63"/>
        <v>#N/A</v>
      </c>
      <c r="J152" t="e">
        <f t="shared" ca="1" si="63"/>
        <v>#N/A</v>
      </c>
      <c r="K152" t="e">
        <f t="shared" ca="1" si="63"/>
        <v>#N/A</v>
      </c>
      <c r="L152" t="e">
        <f t="shared" ca="1" si="63"/>
        <v>#N/A</v>
      </c>
      <c r="M152" t="e">
        <f t="shared" ca="1" si="63"/>
        <v>#N/A</v>
      </c>
      <c r="N152" t="e">
        <f t="shared" ca="1" si="63"/>
        <v>#N/A</v>
      </c>
    </row>
    <row r="153" spans="2:14">
      <c r="B153">
        <f ca="1">tblIndicators!A77</f>
        <v>0</v>
      </c>
      <c r="C153" t="e">
        <f t="shared" ca="1" si="58"/>
        <v>#N/A</v>
      </c>
      <c r="D153" t="e">
        <f t="shared" ca="1" si="59"/>
        <v>#N/A</v>
      </c>
      <c r="E153" t="e">
        <f t="shared" ca="1" si="60"/>
        <v>#N/A</v>
      </c>
      <c r="F153" t="e">
        <f t="shared" ca="1" si="61"/>
        <v>#N/A</v>
      </c>
      <c r="H153" t="e">
        <f t="shared" ca="1" si="63"/>
        <v>#N/A</v>
      </c>
      <c r="I153" t="e">
        <f t="shared" ca="1" si="63"/>
        <v>#N/A</v>
      </c>
      <c r="J153" t="e">
        <f t="shared" ca="1" si="63"/>
        <v>#N/A</v>
      </c>
      <c r="K153" t="e">
        <f t="shared" ca="1" si="63"/>
        <v>#N/A</v>
      </c>
      <c r="L153" t="e">
        <f t="shared" ca="1" si="63"/>
        <v>#N/A</v>
      </c>
      <c r="M153" t="e">
        <f t="shared" ca="1" si="63"/>
        <v>#N/A</v>
      </c>
      <c r="N153" t="e">
        <f t="shared" ca="1" si="63"/>
        <v>#N/A</v>
      </c>
    </row>
    <row r="154" spans="2:14">
      <c r="B154">
        <f ca="1">tblIndicators!A78</f>
        <v>0</v>
      </c>
      <c r="C154" t="e">
        <f t="shared" ca="1" si="58"/>
        <v>#N/A</v>
      </c>
      <c r="D154" t="e">
        <f t="shared" ca="1" si="59"/>
        <v>#N/A</v>
      </c>
      <c r="E154" t="e">
        <f t="shared" ca="1" si="60"/>
        <v>#N/A</v>
      </c>
      <c r="F154" t="e">
        <f t="shared" ca="1" si="61"/>
        <v>#N/A</v>
      </c>
      <c r="H154" t="e">
        <f t="shared" ca="1" si="63"/>
        <v>#N/A</v>
      </c>
      <c r="I154" t="e">
        <f t="shared" ca="1" si="63"/>
        <v>#N/A</v>
      </c>
      <c r="J154" t="e">
        <f t="shared" ca="1" si="63"/>
        <v>#N/A</v>
      </c>
      <c r="K154" t="e">
        <f t="shared" ca="1" si="63"/>
        <v>#N/A</v>
      </c>
      <c r="L154" t="e">
        <f t="shared" ca="1" si="63"/>
        <v>#N/A</v>
      </c>
      <c r="M154" t="e">
        <f t="shared" ca="1" si="63"/>
        <v>#N/A</v>
      </c>
      <c r="N154" t="e">
        <f t="shared" ca="1" si="63"/>
        <v>#N/A</v>
      </c>
    </row>
    <row r="155" spans="2:14">
      <c r="B155">
        <f ca="1">tblIndicators!A79</f>
        <v>0</v>
      </c>
      <c r="C155" t="e">
        <f t="shared" ca="1" si="58"/>
        <v>#N/A</v>
      </c>
      <c r="D155" t="e">
        <f t="shared" ca="1" si="59"/>
        <v>#N/A</v>
      </c>
      <c r="E155" t="e">
        <f t="shared" ca="1" si="60"/>
        <v>#N/A</v>
      </c>
      <c r="F155" t="e">
        <f t="shared" ca="1" si="61"/>
        <v>#N/A</v>
      </c>
      <c r="H155" t="e">
        <f t="shared" ca="1" si="63"/>
        <v>#N/A</v>
      </c>
      <c r="I155" t="e">
        <f t="shared" ca="1" si="63"/>
        <v>#N/A</v>
      </c>
      <c r="J155" t="e">
        <f t="shared" ca="1" si="63"/>
        <v>#N/A</v>
      </c>
      <c r="K155" t="e">
        <f t="shared" ca="1" si="63"/>
        <v>#N/A</v>
      </c>
      <c r="L155" t="e">
        <f t="shared" ca="1" si="63"/>
        <v>#N/A</v>
      </c>
      <c r="M155" t="e">
        <f t="shared" ca="1" si="63"/>
        <v>#N/A</v>
      </c>
      <c r="N155" t="e">
        <f t="shared" ca="1" si="63"/>
        <v>#N/A</v>
      </c>
    </row>
    <row r="156" spans="2:14">
      <c r="B156">
        <f ca="1">tblIndicators!A80</f>
        <v>0</v>
      </c>
      <c r="C156" t="e">
        <f t="shared" ca="1" si="58"/>
        <v>#N/A</v>
      </c>
      <c r="D156" t="e">
        <f t="shared" ca="1" si="59"/>
        <v>#N/A</v>
      </c>
      <c r="E156" t="e">
        <f t="shared" ca="1" si="60"/>
        <v>#N/A</v>
      </c>
      <c r="F156" t="e">
        <f t="shared" ca="1" si="61"/>
        <v>#N/A</v>
      </c>
      <c r="H156" t="e">
        <f t="shared" ca="1" si="63"/>
        <v>#N/A</v>
      </c>
      <c r="I156" t="e">
        <f t="shared" ca="1" si="63"/>
        <v>#N/A</v>
      </c>
      <c r="J156" t="e">
        <f t="shared" ca="1" si="63"/>
        <v>#N/A</v>
      </c>
      <c r="K156" t="e">
        <f t="shared" ca="1" si="63"/>
        <v>#N/A</v>
      </c>
      <c r="L156" t="e">
        <f t="shared" ca="1" si="63"/>
        <v>#N/A</v>
      </c>
      <c r="M156" t="e">
        <f t="shared" ca="1" si="63"/>
        <v>#N/A</v>
      </c>
      <c r="N156" t="e">
        <f t="shared" ca="1" si="63"/>
        <v>#N/A</v>
      </c>
    </row>
    <row r="157" spans="2:14">
      <c r="B157">
        <f ca="1">tblIndicators!A81</f>
        <v>0</v>
      </c>
      <c r="C157" t="e">
        <f t="shared" ca="1" si="58"/>
        <v>#N/A</v>
      </c>
      <c r="D157" t="e">
        <f t="shared" ca="1" si="59"/>
        <v>#N/A</v>
      </c>
      <c r="E157" t="e">
        <f t="shared" ca="1" si="60"/>
        <v>#N/A</v>
      </c>
      <c r="F157" t="e">
        <f t="shared" ca="1" si="61"/>
        <v>#N/A</v>
      </c>
      <c r="H157" t="e">
        <f t="shared" ca="1" si="63"/>
        <v>#N/A</v>
      </c>
      <c r="I157" t="e">
        <f t="shared" ca="1" si="63"/>
        <v>#N/A</v>
      </c>
      <c r="J157" t="e">
        <f t="shared" ca="1" si="63"/>
        <v>#N/A</v>
      </c>
      <c r="K157" t="e">
        <f t="shared" ca="1" si="63"/>
        <v>#N/A</v>
      </c>
      <c r="L157" t="e">
        <f t="shared" ca="1" si="63"/>
        <v>#N/A</v>
      </c>
      <c r="M157" t="e">
        <f t="shared" ca="1" si="63"/>
        <v>#N/A</v>
      </c>
      <c r="N157" t="e">
        <f t="shared" ca="1" si="63"/>
        <v>#N/A</v>
      </c>
    </row>
    <row r="158" spans="2:14">
      <c r="B158">
        <f ca="1">tblIndicators!A82</f>
        <v>0</v>
      </c>
      <c r="C158" t="e">
        <f t="shared" ca="1" si="58"/>
        <v>#N/A</v>
      </c>
      <c r="D158" t="e">
        <f t="shared" ca="1" si="59"/>
        <v>#N/A</v>
      </c>
      <c r="E158" t="e">
        <f t="shared" ca="1" si="60"/>
        <v>#N/A</v>
      </c>
      <c r="F158" t="e">
        <f t="shared" ca="1" si="61"/>
        <v>#N/A</v>
      </c>
      <c r="H158" t="e">
        <f t="shared" ca="1" si="63"/>
        <v>#N/A</v>
      </c>
      <c r="I158" t="e">
        <f t="shared" ca="1" si="63"/>
        <v>#N/A</v>
      </c>
      <c r="J158" t="e">
        <f t="shared" ca="1" si="63"/>
        <v>#N/A</v>
      </c>
      <c r="K158" t="e">
        <f t="shared" ca="1" si="63"/>
        <v>#N/A</v>
      </c>
      <c r="L158" t="e">
        <f t="shared" ca="1" si="63"/>
        <v>#N/A</v>
      </c>
      <c r="M158" t="e">
        <f t="shared" ca="1" si="63"/>
        <v>#N/A</v>
      </c>
      <c r="N158" t="e">
        <f t="shared" ca="1" si="63"/>
        <v>#N/A</v>
      </c>
    </row>
    <row r="163" spans="3:7">
      <c r="D163" t="s">
        <v>240</v>
      </c>
      <c r="E163" t="s">
        <v>243</v>
      </c>
      <c r="F163" t="s">
        <v>244</v>
      </c>
      <c r="G163" t="s">
        <v>245</v>
      </c>
    </row>
    <row r="164" spans="3:7">
      <c r="C164" t="s">
        <v>241</v>
      </c>
      <c r="D164" t="e">
        <f>F133</f>
        <v>#N/A</v>
      </c>
      <c r="E164" t="e">
        <f>F134</f>
        <v>#N/A</v>
      </c>
      <c r="F164" t="e">
        <f>F135</f>
        <v>#N/A</v>
      </c>
      <c r="G164" t="e">
        <f>F136</f>
        <v>#N/A</v>
      </c>
    </row>
    <row r="165" spans="3:7">
      <c r="C165" t="s">
        <v>591</v>
      </c>
      <c r="D165" t="e">
        <f>F141</f>
        <v>#N/A</v>
      </c>
      <c r="E165" t="e">
        <f>F142</f>
        <v>#N/A</v>
      </c>
      <c r="F165" t="e">
        <f>F143</f>
        <v>#N/A</v>
      </c>
      <c r="G165" t="e">
        <f>F144</f>
        <v>#N/A</v>
      </c>
    </row>
    <row r="166" spans="3:7">
      <c r="C166" t="s">
        <v>247</v>
      </c>
      <c r="D166" t="e">
        <f>F137</f>
        <v>#N/A</v>
      </c>
      <c r="E166" t="e">
        <f>F138</f>
        <v>#N/A</v>
      </c>
      <c r="F166" t="e">
        <f>F139</f>
        <v>#N/A</v>
      </c>
      <c r="G166" t="e">
        <f>F140</f>
        <v>#N/A</v>
      </c>
    </row>
    <row r="167" spans="3:7">
      <c r="C167" t="s">
        <v>242</v>
      </c>
      <c r="D167" t="e">
        <f>F145</f>
        <v>#N/A</v>
      </c>
      <c r="E167" t="e">
        <f>F146</f>
        <v>#N/A</v>
      </c>
      <c r="F167" t="e">
        <f>F147</f>
        <v>#N/A</v>
      </c>
      <c r="G167" t="e">
        <f>F148</f>
        <v>#N/A</v>
      </c>
    </row>
  </sheetData>
  <phoneticPr fontId="44" type="noConversion"/>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sheetPr codeName="Sheet5"/>
  <dimension ref="A1:AG34"/>
  <sheetViews>
    <sheetView zoomScale="70" zoomScaleNormal="70" workbookViewId="0">
      <pane xSplit="6" ySplit="5" topLeftCell="K6" activePane="bottomRight" state="frozen"/>
      <selection pane="topRight" activeCell="G1" sqref="G1"/>
      <selection pane="bottomLeft" activeCell="A6" sqref="A6"/>
      <selection pane="bottomRight" activeCell="AA22" sqref="AA22"/>
    </sheetView>
  </sheetViews>
  <sheetFormatPr defaultRowHeight="12.75"/>
  <cols>
    <col min="1" max="1" width="15.5703125" bestFit="1" customWidth="1"/>
    <col min="2" max="2" width="6.85546875" customWidth="1"/>
    <col min="3" max="3" width="5" customWidth="1"/>
    <col min="4" max="4" width="4.42578125" customWidth="1"/>
    <col min="5" max="5" width="14.140625" bestFit="1" customWidth="1"/>
    <col min="6" max="6" width="7" customWidth="1"/>
    <col min="7" max="7" width="14.140625" bestFit="1" customWidth="1"/>
    <col min="11" max="11" width="4.140625" customWidth="1"/>
    <col min="12" max="12" width="3.7109375" customWidth="1"/>
    <col min="13" max="21" width="2.28515625" customWidth="1"/>
  </cols>
  <sheetData>
    <row r="1" spans="1:33">
      <c r="A1" s="121" t="s">
        <v>288</v>
      </c>
      <c r="B1" s="60">
        <f ca="1">uxb_works!B21</f>
        <v>12</v>
      </c>
    </row>
    <row r="2" spans="1:33">
      <c r="A2" s="52" t="s">
        <v>613</v>
      </c>
      <c r="B2" s="60">
        <f ca="1">uxb_works!B27</f>
        <v>2</v>
      </c>
    </row>
    <row r="3" spans="1:33">
      <c r="A3" s="52" t="s">
        <v>614</v>
      </c>
      <c r="B3" s="60">
        <f ca="1">uxb_works!B28</f>
        <v>1</v>
      </c>
    </row>
    <row r="4" spans="1:33">
      <c r="A4" s="52" t="s">
        <v>615</v>
      </c>
    </row>
    <row r="5" spans="1:33">
      <c r="A5" s="1" t="s">
        <v>288</v>
      </c>
      <c r="B5" s="1" t="s">
        <v>519</v>
      </c>
      <c r="C5" s="1" t="s">
        <v>512</v>
      </c>
      <c r="D5" s="1" t="s">
        <v>514</v>
      </c>
      <c r="E5" s="1" t="s">
        <v>513</v>
      </c>
      <c r="F5" s="1" t="s">
        <v>510</v>
      </c>
      <c r="G5" s="1" t="s">
        <v>511</v>
      </c>
      <c r="H5" s="1" t="s">
        <v>562</v>
      </c>
      <c r="I5" s="1" t="s">
        <v>612</v>
      </c>
      <c r="J5" s="1" t="s">
        <v>596</v>
      </c>
      <c r="U5" s="57"/>
      <c r="V5" s="26" t="s">
        <v>616</v>
      </c>
      <c r="W5" s="26" t="s">
        <v>617</v>
      </c>
      <c r="X5" s="57" t="s">
        <v>347</v>
      </c>
      <c r="Y5" s="57" t="s">
        <v>348</v>
      </c>
      <c r="Z5" s="57" t="s">
        <v>349</v>
      </c>
      <c r="AA5" s="57" t="s">
        <v>733</v>
      </c>
      <c r="AB5" s="57" t="s">
        <v>342</v>
      </c>
      <c r="AC5" s="57" t="s">
        <v>342</v>
      </c>
      <c r="AD5" s="57" t="s">
        <v>342</v>
      </c>
      <c r="AE5" s="57" t="s">
        <v>342</v>
      </c>
      <c r="AF5" s="57" t="s">
        <v>342</v>
      </c>
      <c r="AG5" s="57" t="s">
        <v>342</v>
      </c>
    </row>
    <row r="6" spans="1:33">
      <c r="A6">
        <v>1</v>
      </c>
      <c r="B6" s="57"/>
      <c r="C6" t="s">
        <v>263</v>
      </c>
      <c r="D6" t="s">
        <v>263</v>
      </c>
      <c r="E6" t="s">
        <v>248</v>
      </c>
      <c r="G6" s="57"/>
      <c r="H6" s="24">
        <f ca="1">IF(I6=0,0,IF(A6=$B$1,3,IF(J6=1,2,1)))</f>
        <v>1</v>
      </c>
      <c r="I6" s="24">
        <f ca="1">OFFSET(U6,0,$B$2)</f>
        <v>1</v>
      </c>
      <c r="J6">
        <f ca="1">OFFSET(U6,0,$B$3)</f>
        <v>0</v>
      </c>
      <c r="V6">
        <v>0</v>
      </c>
      <c r="W6">
        <v>1</v>
      </c>
      <c r="X6">
        <v>0</v>
      </c>
      <c r="Y6">
        <v>0</v>
      </c>
      <c r="Z6">
        <v>1</v>
      </c>
      <c r="AA6">
        <v>1</v>
      </c>
      <c r="AB6">
        <v>0</v>
      </c>
      <c r="AC6">
        <v>0</v>
      </c>
      <c r="AD6">
        <v>0</v>
      </c>
      <c r="AE6">
        <v>0</v>
      </c>
      <c r="AF6">
        <v>0</v>
      </c>
      <c r="AG6">
        <v>0</v>
      </c>
    </row>
    <row r="7" spans="1:33">
      <c r="A7">
        <v>2</v>
      </c>
      <c r="B7" s="57"/>
      <c r="C7" t="s">
        <v>518</v>
      </c>
      <c r="D7" t="s">
        <v>518</v>
      </c>
      <c r="E7" t="s">
        <v>508</v>
      </c>
      <c r="H7" s="24">
        <f t="shared" ref="H7:H21" ca="1" si="0">IF(I7=0,0,IF(A7=$B$1,3,IF(J7=1,2,1)))</f>
        <v>1</v>
      </c>
      <c r="I7" s="24">
        <f t="shared" ref="I7:I21" ca="1" si="1">OFFSET(U7,0,$B$2)</f>
        <v>1</v>
      </c>
      <c r="J7">
        <f t="shared" ref="J7:J21" ca="1" si="2">OFFSET(U7,0,$B$3)</f>
        <v>0</v>
      </c>
      <c r="V7">
        <v>0</v>
      </c>
      <c r="W7">
        <v>1</v>
      </c>
      <c r="X7">
        <v>0</v>
      </c>
      <c r="Y7">
        <v>0</v>
      </c>
      <c r="Z7">
        <v>1</v>
      </c>
      <c r="AA7">
        <v>0</v>
      </c>
      <c r="AB7">
        <v>0</v>
      </c>
      <c r="AC7">
        <v>0</v>
      </c>
      <c r="AD7">
        <v>0</v>
      </c>
      <c r="AE7">
        <v>0</v>
      </c>
      <c r="AF7">
        <v>0</v>
      </c>
      <c r="AG7">
        <v>0</v>
      </c>
    </row>
    <row r="8" spans="1:33">
      <c r="A8">
        <v>3</v>
      </c>
      <c r="B8" s="57"/>
      <c r="C8" t="s">
        <v>264</v>
      </c>
      <c r="D8" t="s">
        <v>517</v>
      </c>
      <c r="E8" t="s">
        <v>249</v>
      </c>
      <c r="H8" s="24">
        <f t="shared" ca="1" si="0"/>
        <v>1</v>
      </c>
      <c r="I8" s="24">
        <f t="shared" ca="1" si="1"/>
        <v>1</v>
      </c>
      <c r="J8">
        <f t="shared" ca="1" si="2"/>
        <v>0</v>
      </c>
      <c r="V8">
        <v>0</v>
      </c>
      <c r="W8">
        <v>1</v>
      </c>
      <c r="X8">
        <v>0</v>
      </c>
      <c r="Y8">
        <v>0</v>
      </c>
      <c r="Z8">
        <v>1</v>
      </c>
      <c r="AA8">
        <v>1</v>
      </c>
      <c r="AB8">
        <v>0</v>
      </c>
      <c r="AC8">
        <v>0</v>
      </c>
      <c r="AD8">
        <v>0</v>
      </c>
      <c r="AE8">
        <v>0</v>
      </c>
      <c r="AF8">
        <v>0</v>
      </c>
      <c r="AG8">
        <v>0</v>
      </c>
    </row>
    <row r="9" spans="1:33">
      <c r="A9">
        <v>4</v>
      </c>
      <c r="B9" s="57"/>
      <c r="C9" t="s">
        <v>266</v>
      </c>
      <c r="D9" t="s">
        <v>265</v>
      </c>
      <c r="E9" t="s">
        <v>250</v>
      </c>
      <c r="H9" s="24">
        <f t="shared" ca="1" si="0"/>
        <v>1</v>
      </c>
      <c r="I9" s="24">
        <f t="shared" ca="1" si="1"/>
        <v>1</v>
      </c>
      <c r="J9">
        <f t="shared" ca="1" si="2"/>
        <v>0</v>
      </c>
      <c r="V9">
        <v>0</v>
      </c>
      <c r="W9">
        <v>1</v>
      </c>
      <c r="X9">
        <v>0</v>
      </c>
      <c r="Y9">
        <v>0</v>
      </c>
      <c r="Z9">
        <v>1</v>
      </c>
      <c r="AA9">
        <v>1</v>
      </c>
      <c r="AB9">
        <v>0</v>
      </c>
      <c r="AC9">
        <v>0</v>
      </c>
      <c r="AD9">
        <v>0</v>
      </c>
      <c r="AE9">
        <v>0</v>
      </c>
      <c r="AF9">
        <v>0</v>
      </c>
      <c r="AG9">
        <v>0</v>
      </c>
    </row>
    <row r="10" spans="1:33">
      <c r="A10">
        <v>5</v>
      </c>
      <c r="B10" s="57"/>
      <c r="C10" t="s">
        <v>267</v>
      </c>
      <c r="D10" t="s">
        <v>267</v>
      </c>
      <c r="E10" t="s">
        <v>251</v>
      </c>
      <c r="H10" s="24">
        <f t="shared" ca="1" si="0"/>
        <v>1</v>
      </c>
      <c r="I10" s="24">
        <f t="shared" ca="1" si="1"/>
        <v>1</v>
      </c>
      <c r="J10">
        <f t="shared" ca="1" si="2"/>
        <v>0</v>
      </c>
      <c r="V10">
        <v>0</v>
      </c>
      <c r="W10">
        <v>1</v>
      </c>
      <c r="X10">
        <v>0</v>
      </c>
      <c r="Y10">
        <v>1</v>
      </c>
      <c r="Z10">
        <v>0</v>
      </c>
      <c r="AA10">
        <v>1</v>
      </c>
      <c r="AB10">
        <v>0</v>
      </c>
      <c r="AC10">
        <v>0</v>
      </c>
      <c r="AD10">
        <v>0</v>
      </c>
      <c r="AE10">
        <v>0</v>
      </c>
      <c r="AF10">
        <v>0</v>
      </c>
      <c r="AG10">
        <v>0</v>
      </c>
    </row>
    <row r="11" spans="1:33">
      <c r="A11">
        <v>6</v>
      </c>
      <c r="B11" s="57"/>
      <c r="C11" t="s">
        <v>269</v>
      </c>
      <c r="D11" t="s">
        <v>268</v>
      </c>
      <c r="E11" s="57" t="s">
        <v>730</v>
      </c>
      <c r="H11" s="24">
        <f t="shared" ca="1" si="0"/>
        <v>1</v>
      </c>
      <c r="I11" s="24">
        <f t="shared" ca="1" si="1"/>
        <v>1</v>
      </c>
      <c r="J11">
        <f t="shared" ca="1" si="2"/>
        <v>0</v>
      </c>
      <c r="V11">
        <v>0</v>
      </c>
      <c r="W11">
        <v>1</v>
      </c>
      <c r="X11">
        <v>1</v>
      </c>
      <c r="Y11">
        <v>0</v>
      </c>
      <c r="Z11">
        <v>0</v>
      </c>
      <c r="AA11">
        <v>1</v>
      </c>
      <c r="AB11">
        <v>0</v>
      </c>
      <c r="AC11">
        <v>0</v>
      </c>
      <c r="AD11">
        <v>0</v>
      </c>
      <c r="AE11">
        <v>0</v>
      </c>
      <c r="AF11">
        <v>0</v>
      </c>
      <c r="AG11">
        <v>0</v>
      </c>
    </row>
    <row r="12" spans="1:33">
      <c r="A12">
        <v>7</v>
      </c>
      <c r="B12" s="57"/>
      <c r="C12" t="s">
        <v>270</v>
      </c>
      <c r="D12" t="s">
        <v>270</v>
      </c>
      <c r="E12" t="s">
        <v>252</v>
      </c>
      <c r="H12" s="24">
        <f t="shared" ca="1" si="0"/>
        <v>1</v>
      </c>
      <c r="I12" s="24">
        <f t="shared" ca="1" si="1"/>
        <v>1</v>
      </c>
      <c r="J12">
        <f t="shared" ca="1" si="2"/>
        <v>0</v>
      </c>
      <c r="V12">
        <v>0</v>
      </c>
      <c r="W12">
        <v>1</v>
      </c>
      <c r="X12">
        <v>0</v>
      </c>
      <c r="Y12">
        <v>0</v>
      </c>
      <c r="Z12">
        <v>1</v>
      </c>
      <c r="AA12">
        <v>1</v>
      </c>
      <c r="AB12">
        <v>0</v>
      </c>
      <c r="AC12">
        <v>0</v>
      </c>
      <c r="AD12">
        <v>0</v>
      </c>
      <c r="AE12">
        <v>0</v>
      </c>
      <c r="AF12">
        <v>0</v>
      </c>
      <c r="AG12">
        <v>0</v>
      </c>
    </row>
    <row r="13" spans="1:33">
      <c r="A13">
        <v>8</v>
      </c>
      <c r="B13" s="57"/>
      <c r="C13" t="s">
        <v>271</v>
      </c>
      <c r="D13" t="s">
        <v>516</v>
      </c>
      <c r="E13" t="s">
        <v>253</v>
      </c>
      <c r="H13" s="24">
        <f t="shared" ca="1" si="0"/>
        <v>1</v>
      </c>
      <c r="I13" s="24">
        <f t="shared" ca="1" si="1"/>
        <v>1</v>
      </c>
      <c r="J13">
        <f t="shared" ca="1" si="2"/>
        <v>0</v>
      </c>
      <c r="V13">
        <v>0</v>
      </c>
      <c r="W13">
        <v>1</v>
      </c>
      <c r="X13">
        <v>0</v>
      </c>
      <c r="Y13">
        <v>1</v>
      </c>
      <c r="Z13">
        <v>0</v>
      </c>
      <c r="AA13">
        <v>1</v>
      </c>
      <c r="AB13">
        <v>0</v>
      </c>
      <c r="AC13">
        <v>0</v>
      </c>
      <c r="AD13">
        <v>0</v>
      </c>
      <c r="AE13">
        <v>0</v>
      </c>
      <c r="AF13">
        <v>0</v>
      </c>
      <c r="AG13">
        <v>0</v>
      </c>
    </row>
    <row r="14" spans="1:33">
      <c r="A14">
        <v>9</v>
      </c>
      <c r="B14" s="57"/>
      <c r="C14" t="s">
        <v>273</v>
      </c>
      <c r="D14" t="s">
        <v>272</v>
      </c>
      <c r="E14" t="s">
        <v>254</v>
      </c>
      <c r="H14" s="24">
        <f t="shared" ca="1" si="0"/>
        <v>1</v>
      </c>
      <c r="I14" s="24">
        <f t="shared" ca="1" si="1"/>
        <v>1</v>
      </c>
      <c r="J14">
        <f t="shared" ca="1" si="2"/>
        <v>0</v>
      </c>
      <c r="V14">
        <v>0</v>
      </c>
      <c r="W14">
        <v>1</v>
      </c>
      <c r="X14">
        <v>0</v>
      </c>
      <c r="Y14">
        <v>1</v>
      </c>
      <c r="Z14">
        <v>0</v>
      </c>
      <c r="AA14">
        <v>1</v>
      </c>
      <c r="AB14">
        <v>0</v>
      </c>
      <c r="AC14">
        <v>0</v>
      </c>
      <c r="AD14">
        <v>0</v>
      </c>
      <c r="AE14">
        <v>0</v>
      </c>
      <c r="AF14">
        <v>0</v>
      </c>
      <c r="AG14">
        <v>0</v>
      </c>
    </row>
    <row r="15" spans="1:33">
      <c r="A15">
        <v>10</v>
      </c>
      <c r="B15" s="57"/>
      <c r="C15" t="s">
        <v>275</v>
      </c>
      <c r="D15" t="s">
        <v>274</v>
      </c>
      <c r="E15" t="s">
        <v>255</v>
      </c>
      <c r="H15" s="24">
        <f t="shared" ca="1" si="0"/>
        <v>1</v>
      </c>
      <c r="I15" s="24">
        <f t="shared" ca="1" si="1"/>
        <v>1</v>
      </c>
      <c r="J15">
        <f t="shared" ca="1" si="2"/>
        <v>0</v>
      </c>
      <c r="M15" s="57"/>
      <c r="P15" s="57"/>
      <c r="V15">
        <v>0</v>
      </c>
      <c r="W15">
        <v>1</v>
      </c>
      <c r="X15">
        <v>0</v>
      </c>
      <c r="Y15">
        <v>1</v>
      </c>
      <c r="Z15">
        <v>0</v>
      </c>
      <c r="AA15">
        <v>1</v>
      </c>
      <c r="AB15">
        <v>0</v>
      </c>
      <c r="AC15">
        <v>0</v>
      </c>
      <c r="AD15">
        <v>0</v>
      </c>
      <c r="AE15">
        <v>0</v>
      </c>
      <c r="AF15">
        <v>0</v>
      </c>
      <c r="AG15">
        <v>0</v>
      </c>
    </row>
    <row r="16" spans="1:33">
      <c r="A16">
        <v>11</v>
      </c>
      <c r="B16" s="57"/>
      <c r="C16" t="s">
        <v>276</v>
      </c>
      <c r="D16" t="s">
        <v>276</v>
      </c>
      <c r="E16" t="s">
        <v>256</v>
      </c>
      <c r="H16" s="24">
        <f t="shared" ca="1" si="0"/>
        <v>1</v>
      </c>
      <c r="I16" s="24">
        <f t="shared" ca="1" si="1"/>
        <v>1</v>
      </c>
      <c r="J16">
        <f t="shared" ca="1" si="2"/>
        <v>0</v>
      </c>
      <c r="M16" s="57"/>
      <c r="P16" s="57"/>
      <c r="V16">
        <v>0</v>
      </c>
      <c r="W16">
        <v>1</v>
      </c>
      <c r="X16">
        <v>1</v>
      </c>
      <c r="Y16">
        <v>0</v>
      </c>
      <c r="Z16">
        <v>0</v>
      </c>
      <c r="AA16">
        <v>1</v>
      </c>
      <c r="AB16">
        <v>0</v>
      </c>
      <c r="AC16">
        <v>0</v>
      </c>
      <c r="AD16">
        <v>0</v>
      </c>
      <c r="AE16">
        <v>0</v>
      </c>
      <c r="AF16">
        <v>0</v>
      </c>
      <c r="AG16">
        <v>0</v>
      </c>
    </row>
    <row r="17" spans="1:33">
      <c r="A17">
        <v>12</v>
      </c>
      <c r="B17" s="57"/>
      <c r="C17" t="s">
        <v>515</v>
      </c>
      <c r="D17" t="s">
        <v>515</v>
      </c>
      <c r="E17" t="s">
        <v>507</v>
      </c>
      <c r="H17" s="24">
        <f t="shared" ca="1" si="0"/>
        <v>3</v>
      </c>
      <c r="I17" s="24">
        <f t="shared" ca="1" si="1"/>
        <v>1</v>
      </c>
      <c r="J17">
        <f t="shared" ca="1" si="2"/>
        <v>0</v>
      </c>
      <c r="V17">
        <v>0</v>
      </c>
      <c r="W17">
        <v>1</v>
      </c>
      <c r="X17">
        <v>0</v>
      </c>
      <c r="Y17">
        <v>1</v>
      </c>
      <c r="Z17">
        <v>0</v>
      </c>
      <c r="AA17">
        <v>0</v>
      </c>
      <c r="AB17">
        <v>0</v>
      </c>
      <c r="AC17">
        <v>0</v>
      </c>
      <c r="AD17">
        <v>0</v>
      </c>
      <c r="AE17">
        <v>0</v>
      </c>
      <c r="AF17">
        <v>0</v>
      </c>
      <c r="AG17">
        <v>0</v>
      </c>
    </row>
    <row r="18" spans="1:33">
      <c r="A18">
        <v>13</v>
      </c>
      <c r="B18" s="57"/>
      <c r="C18" t="s">
        <v>278</v>
      </c>
      <c r="D18" t="s">
        <v>277</v>
      </c>
      <c r="E18" t="s">
        <v>257</v>
      </c>
      <c r="H18" s="24">
        <f t="shared" ca="1" si="0"/>
        <v>1</v>
      </c>
      <c r="I18" s="24">
        <f t="shared" ca="1" si="1"/>
        <v>1</v>
      </c>
      <c r="J18">
        <f t="shared" ca="1" si="2"/>
        <v>0</v>
      </c>
      <c r="V18">
        <v>0</v>
      </c>
      <c r="W18">
        <v>1</v>
      </c>
      <c r="X18">
        <v>0</v>
      </c>
      <c r="Y18">
        <v>1</v>
      </c>
      <c r="Z18">
        <v>0</v>
      </c>
      <c r="AA18">
        <v>1</v>
      </c>
      <c r="AB18">
        <v>0</v>
      </c>
      <c r="AC18">
        <v>0</v>
      </c>
      <c r="AD18">
        <v>0</v>
      </c>
      <c r="AE18">
        <v>0</v>
      </c>
      <c r="AF18">
        <v>0</v>
      </c>
      <c r="AG18">
        <v>0</v>
      </c>
    </row>
    <row r="19" spans="1:33">
      <c r="A19">
        <v>14</v>
      </c>
      <c r="B19" s="57"/>
      <c r="C19" t="s">
        <v>280</v>
      </c>
      <c r="D19" t="s">
        <v>279</v>
      </c>
      <c r="E19" t="s">
        <v>258</v>
      </c>
      <c r="H19" s="24">
        <f t="shared" ca="1" si="0"/>
        <v>1</v>
      </c>
      <c r="I19" s="24">
        <f t="shared" ca="1" si="1"/>
        <v>1</v>
      </c>
      <c r="J19">
        <f t="shared" ca="1" si="2"/>
        <v>0</v>
      </c>
      <c r="V19">
        <v>0</v>
      </c>
      <c r="W19">
        <v>1</v>
      </c>
      <c r="X19">
        <v>0</v>
      </c>
      <c r="Y19">
        <v>1</v>
      </c>
      <c r="Z19">
        <v>0</v>
      </c>
      <c r="AA19">
        <v>1</v>
      </c>
      <c r="AB19">
        <v>0</v>
      </c>
      <c r="AC19">
        <v>0</v>
      </c>
      <c r="AD19">
        <v>0</v>
      </c>
      <c r="AE19">
        <v>0</v>
      </c>
      <c r="AF19">
        <v>0</v>
      </c>
      <c r="AG19">
        <v>0</v>
      </c>
    </row>
    <row r="20" spans="1:33">
      <c r="A20">
        <v>15</v>
      </c>
      <c r="B20" s="57"/>
      <c r="C20" t="s">
        <v>282</v>
      </c>
      <c r="D20" t="s">
        <v>281</v>
      </c>
      <c r="E20" t="s">
        <v>259</v>
      </c>
      <c r="H20" s="24">
        <f t="shared" ca="1" si="0"/>
        <v>1</v>
      </c>
      <c r="I20" s="24">
        <f t="shared" ca="1" si="1"/>
        <v>1</v>
      </c>
      <c r="J20">
        <f t="shared" ca="1" si="2"/>
        <v>0</v>
      </c>
      <c r="V20">
        <v>0</v>
      </c>
      <c r="W20">
        <v>1</v>
      </c>
      <c r="X20">
        <v>0</v>
      </c>
      <c r="Y20">
        <v>0</v>
      </c>
      <c r="Z20">
        <v>1</v>
      </c>
      <c r="AA20">
        <v>1</v>
      </c>
      <c r="AB20">
        <v>0</v>
      </c>
      <c r="AC20">
        <v>0</v>
      </c>
      <c r="AD20">
        <v>0</v>
      </c>
      <c r="AE20">
        <v>0</v>
      </c>
      <c r="AF20">
        <v>0</v>
      </c>
      <c r="AG20">
        <v>0</v>
      </c>
    </row>
    <row r="21" spans="1:33">
      <c r="A21">
        <v>16</v>
      </c>
      <c r="B21" s="57"/>
      <c r="C21" t="s">
        <v>283</v>
      </c>
      <c r="D21" t="s">
        <v>283</v>
      </c>
      <c r="E21" t="s">
        <v>260</v>
      </c>
      <c r="H21" s="24">
        <f t="shared" ca="1" si="0"/>
        <v>1</v>
      </c>
      <c r="I21" s="24">
        <f t="shared" ca="1" si="1"/>
        <v>1</v>
      </c>
      <c r="J21">
        <f t="shared" ca="1" si="2"/>
        <v>0</v>
      </c>
      <c r="V21">
        <v>0</v>
      </c>
      <c r="W21">
        <v>1</v>
      </c>
      <c r="X21">
        <v>0</v>
      </c>
      <c r="Y21">
        <v>0</v>
      </c>
      <c r="Z21">
        <v>1</v>
      </c>
      <c r="AA21">
        <v>1</v>
      </c>
      <c r="AB21">
        <v>0</v>
      </c>
      <c r="AC21">
        <v>0</v>
      </c>
      <c r="AD21">
        <v>0</v>
      </c>
      <c r="AE21">
        <v>0</v>
      </c>
      <c r="AF21">
        <v>0</v>
      </c>
      <c r="AG21">
        <v>0</v>
      </c>
    </row>
    <row r="22" spans="1:33">
      <c r="A22">
        <v>17</v>
      </c>
      <c r="B22" s="57"/>
      <c r="C22" t="s">
        <v>411</v>
      </c>
      <c r="D22" t="s">
        <v>411</v>
      </c>
      <c r="E22" t="s">
        <v>412</v>
      </c>
      <c r="H22" s="24">
        <f ca="1">IF(I22=0,0,IF(A22=$B$1,3,IF(J22=1,2,1)))</f>
        <v>1</v>
      </c>
      <c r="I22" s="24">
        <f ca="1">OFFSET(U22,0,$B$2)</f>
        <v>1</v>
      </c>
      <c r="J22">
        <f ca="1">OFFSET(U22,0,$B$3)</f>
        <v>0</v>
      </c>
      <c r="V22">
        <v>0</v>
      </c>
      <c r="W22">
        <v>1</v>
      </c>
      <c r="X22">
        <v>1</v>
      </c>
      <c r="Y22">
        <v>0</v>
      </c>
      <c r="Z22">
        <v>0</v>
      </c>
      <c r="AA22">
        <v>1</v>
      </c>
      <c r="AB22">
        <v>0</v>
      </c>
      <c r="AC22">
        <v>0</v>
      </c>
      <c r="AD22">
        <v>0</v>
      </c>
      <c r="AE22">
        <v>0</v>
      </c>
      <c r="AF22">
        <v>0</v>
      </c>
      <c r="AG22">
        <v>0</v>
      </c>
    </row>
    <row r="23" spans="1:33">
      <c r="A23">
        <v>18</v>
      </c>
      <c r="B23" s="57"/>
      <c r="C23" t="s">
        <v>285</v>
      </c>
      <c r="D23" t="s">
        <v>284</v>
      </c>
      <c r="E23" t="s">
        <v>261</v>
      </c>
      <c r="H23" s="24">
        <f ca="1">IF(I23=0,0,IF(A23=$B$1,3,IF(J23=1,2,1)))</f>
        <v>1</v>
      </c>
      <c r="I23" s="24">
        <f ca="1">OFFSET(U23,0,$B$2)</f>
        <v>1</v>
      </c>
      <c r="J23">
        <f ca="1">OFFSET(U23,0,$B$3)</f>
        <v>0</v>
      </c>
      <c r="V23">
        <v>0</v>
      </c>
      <c r="W23">
        <v>1</v>
      </c>
      <c r="X23">
        <v>0</v>
      </c>
      <c r="Y23">
        <v>0</v>
      </c>
      <c r="Z23">
        <v>1</v>
      </c>
      <c r="AA23">
        <v>1</v>
      </c>
      <c r="AB23">
        <v>0</v>
      </c>
      <c r="AC23">
        <v>0</v>
      </c>
      <c r="AD23">
        <v>0</v>
      </c>
      <c r="AE23">
        <v>0</v>
      </c>
      <c r="AF23">
        <v>0</v>
      </c>
      <c r="AG23">
        <v>0</v>
      </c>
    </row>
    <row r="24" spans="1:33">
      <c r="A24">
        <v>19</v>
      </c>
      <c r="B24" s="57"/>
      <c r="C24" t="s">
        <v>287</v>
      </c>
      <c r="D24" t="s">
        <v>286</v>
      </c>
      <c r="E24" t="s">
        <v>262</v>
      </c>
      <c r="H24" s="24">
        <f ca="1">IF(I24=0,0,IF(A24=$B$1,3,IF(J24=1,2,1)))</f>
        <v>1</v>
      </c>
      <c r="I24" s="24">
        <f ca="1">OFFSET(U24,0,$B$2)</f>
        <v>1</v>
      </c>
      <c r="J24">
        <f ca="1">OFFSET(U24,0,$B$3)</f>
        <v>0</v>
      </c>
      <c r="V24">
        <v>0</v>
      </c>
      <c r="W24">
        <v>1</v>
      </c>
      <c r="X24">
        <v>0</v>
      </c>
      <c r="Y24">
        <v>0</v>
      </c>
      <c r="Z24">
        <v>1</v>
      </c>
      <c r="AA24">
        <v>1</v>
      </c>
      <c r="AB24">
        <v>0</v>
      </c>
      <c r="AC24">
        <v>0</v>
      </c>
      <c r="AD24">
        <v>0</v>
      </c>
      <c r="AE24">
        <v>0</v>
      </c>
      <c r="AF24">
        <v>0</v>
      </c>
      <c r="AG24">
        <v>0</v>
      </c>
    </row>
    <row r="25" spans="1:33">
      <c r="B25" s="57"/>
      <c r="H25" s="24">
        <f ca="1">IF(I25=0,0,IF(A25=$B$1,3,IF(J25=1,2,1)))</f>
        <v>0</v>
      </c>
      <c r="I25" s="24">
        <f ca="1">OFFSET(U25,0,$B$2)</f>
        <v>0</v>
      </c>
      <c r="J25">
        <f ca="1">OFFSET(U25,0,$B$3)</f>
        <v>0</v>
      </c>
    </row>
    <row r="26" spans="1:33">
      <c r="B26" s="57"/>
      <c r="H26" s="24"/>
      <c r="I26" s="24"/>
    </row>
    <row r="27" spans="1:33" ht="15">
      <c r="B27" s="57"/>
      <c r="H27" s="24"/>
      <c r="I27" s="24"/>
      <c r="Z27" s="101"/>
    </row>
    <row r="28" spans="1:33">
      <c r="B28" s="57"/>
      <c r="H28" s="24"/>
      <c r="I28" s="24"/>
    </row>
    <row r="29" spans="1:33">
      <c r="B29" s="57"/>
      <c r="H29" s="24"/>
      <c r="I29" s="24"/>
    </row>
    <row r="30" spans="1:33" ht="15">
      <c r="B30" s="57"/>
      <c r="H30" s="24"/>
      <c r="X30" s="101"/>
    </row>
    <row r="31" spans="1:33">
      <c r="B31" s="57"/>
      <c r="H31" s="24"/>
      <c r="I31" s="24"/>
    </row>
    <row r="32" spans="1:33">
      <c r="B32" s="57"/>
      <c r="H32" s="24"/>
      <c r="I32" s="24"/>
    </row>
    <row r="33" spans="2:9">
      <c r="B33" s="57"/>
      <c r="H33" s="24"/>
      <c r="I33" s="24"/>
    </row>
    <row r="34" spans="2:9">
      <c r="B34" s="57"/>
      <c r="H34" s="24"/>
      <c r="I34" s="24"/>
    </row>
  </sheetData>
  <phoneticPr fontId="0" type="noConversion"/>
  <pageMargins left="0.75" right="0.75" top="1" bottom="1" header="0.5" footer="0.5"/>
  <pageSetup orientation="portrait" r:id="rId1"/>
  <headerFooter alignWithMargins="0"/>
</worksheet>
</file>

<file path=xl/worksheets/sheet24.xml><?xml version="1.0" encoding="utf-8"?>
<worksheet xmlns="http://schemas.openxmlformats.org/spreadsheetml/2006/main" xmlns:r="http://schemas.openxmlformats.org/officeDocument/2006/relationships">
  <sheetPr codeName="Sheet21"/>
  <dimension ref="A1:I22"/>
  <sheetViews>
    <sheetView showGridLines="0" workbookViewId="0">
      <selection activeCell="F27" sqref="F27"/>
    </sheetView>
  </sheetViews>
  <sheetFormatPr defaultRowHeight="12.75"/>
  <cols>
    <col min="2" max="2" width="18.85546875" customWidth="1"/>
    <col min="3" max="3" width="14.5703125" bestFit="1" customWidth="1"/>
    <col min="5" max="5" width="18.85546875" customWidth="1"/>
    <col min="6" max="6" width="11.140625" customWidth="1"/>
    <col min="7" max="7" width="8.28515625" customWidth="1"/>
    <col min="8" max="8" width="18.85546875" customWidth="1"/>
    <col min="9" max="9" width="11.42578125" customWidth="1"/>
  </cols>
  <sheetData>
    <row r="1" spans="1:9">
      <c r="A1" t="str">
        <f ca="1">uxb_profile2!B2</f>
        <v>Mexico</v>
      </c>
    </row>
    <row r="3" spans="1:9" ht="12.75" customHeight="1">
      <c r="B3" s="96" t="str">
        <f ca="1">uxb_profile2!D66</f>
        <v>Fairness of judicial process, 0-4, where 0= best and 4 = worst</v>
      </c>
      <c r="C3" s="96"/>
      <c r="E3" s="96" t="e">
        <f ca="1">uxb_profile2!G66</f>
        <v>#N/A</v>
      </c>
      <c r="F3" s="96"/>
      <c r="H3" s="96" t="e">
        <f ca="1">uxb_profile2!J66</f>
        <v>#N/A</v>
      </c>
      <c r="I3" s="96"/>
    </row>
    <row r="4" spans="1:9" ht="12.75" customHeight="1">
      <c r="B4" s="95" t="str">
        <f ca="1">IF(ISERROR(uxb_profile2!D67),"",uxb_profile2!D67)</f>
        <v/>
      </c>
      <c r="C4" s="97" t="str">
        <f ca="1">IF(ISERROR(uxb_profile2!E67),"",uxb_profile2!E67)</f>
        <v/>
      </c>
      <c r="E4" s="95" t="str">
        <f ca="1">IF(ISERROR(uxb_profile2!G67),"",uxb_profile2!G67)</f>
        <v/>
      </c>
      <c r="F4" s="98" t="str">
        <f ca="1">IF(ISERROR(uxb_profile2!H67),"",uxb_profile2!H67)</f>
        <v/>
      </c>
      <c r="H4" s="95" t="str">
        <f ca="1">IF(ISERROR(uxb_profile2!J67),"",uxb_profile2!J67)</f>
        <v/>
      </c>
      <c r="I4" s="98" t="str">
        <f ca="1">IF(ISERROR(uxb_profile2!K67),"",uxb_profile2!K67)</f>
        <v/>
      </c>
    </row>
    <row r="5" spans="1:9">
      <c r="B5" s="95" t="str">
        <f ca="1">IF(ISERROR(uxb_profile2!D68),"",uxb_profile2!D68)</f>
        <v/>
      </c>
      <c r="C5" s="97" t="str">
        <f ca="1">IF(ISERROR(uxb_profile2!E68),"",uxb_profile2!E68)</f>
        <v/>
      </c>
      <c r="E5" s="95" t="str">
        <f ca="1">IF(ISERROR(uxb_profile2!G68),"",uxb_profile2!G68)</f>
        <v/>
      </c>
      <c r="F5" s="98" t="str">
        <f ca="1">IF(ISERROR(uxb_profile2!H68),"",uxb_profile2!H68)</f>
        <v/>
      </c>
      <c r="H5" s="95" t="str">
        <f ca="1">IF(ISERROR(uxb_profile2!J68),"",uxb_profile2!J68)</f>
        <v/>
      </c>
      <c r="I5" s="98" t="str">
        <f ca="1">IF(ISERROR(uxb_profile2!K68),"",uxb_profile2!K68)</f>
        <v/>
      </c>
    </row>
    <row r="6" spans="1:9">
      <c r="B6" s="95" t="str">
        <f ca="1">IF(ISERROR(uxb_profile2!D69),"",uxb_profile2!D69)</f>
        <v/>
      </c>
      <c r="C6" s="97" t="str">
        <f ca="1">IF(ISERROR(uxb_profile2!E69),"",uxb_profile2!E69)</f>
        <v/>
      </c>
      <c r="E6" s="95" t="str">
        <f ca="1">IF(ISERROR(uxb_profile2!G69),"",uxb_profile2!G69)</f>
        <v/>
      </c>
      <c r="F6" s="98" t="str">
        <f ca="1">IF(ISERROR(uxb_profile2!H69),"",uxb_profile2!H69)</f>
        <v/>
      </c>
      <c r="H6" s="95" t="str">
        <f ca="1">IF(ISERROR(uxb_profile2!J69),"",uxb_profile2!J69)</f>
        <v/>
      </c>
      <c r="I6" s="98" t="str">
        <f ca="1">IF(ISERROR(uxb_profile2!K69),"",uxb_profile2!K69)</f>
        <v/>
      </c>
    </row>
    <row r="7" spans="1:9">
      <c r="B7" s="95" t="str">
        <f ca="1">IF(ISERROR(uxb_profile2!D70),"",uxb_profile2!D70)</f>
        <v/>
      </c>
      <c r="C7" s="97" t="str">
        <f ca="1">IF(ISERROR(uxb_profile2!E70),"",uxb_profile2!E70)</f>
        <v/>
      </c>
      <c r="E7" s="95" t="str">
        <f ca="1">IF(ISERROR(uxb_profile2!G70),"",uxb_profile2!G70)</f>
        <v/>
      </c>
      <c r="F7" s="98" t="str">
        <f ca="1">IF(ISERROR(uxb_profile2!H70),"",uxb_profile2!H70)</f>
        <v/>
      </c>
      <c r="H7" s="95" t="str">
        <f ca="1">IF(ISERROR(uxb_profile2!J70),"",uxb_profile2!J70)</f>
        <v/>
      </c>
      <c r="I7" s="98" t="str">
        <f ca="1">IF(ISERROR(uxb_profile2!K70),"",uxb_profile2!K70)</f>
        <v/>
      </c>
    </row>
    <row r="8" spans="1:9">
      <c r="B8" s="95" t="str">
        <f ca="1">IF(ISERROR(uxb_profile2!D71),"",uxb_profile2!D71)</f>
        <v/>
      </c>
      <c r="C8" s="97" t="str">
        <f ca="1">IF(ISERROR(uxb_profile2!E71),"",uxb_profile2!E71)</f>
        <v/>
      </c>
      <c r="E8" s="95" t="str">
        <f ca="1">IF(ISERROR(uxb_profile2!G71),"",uxb_profile2!G71)</f>
        <v/>
      </c>
      <c r="F8" s="98" t="str">
        <f ca="1">IF(ISERROR(uxb_profile2!H71),"",uxb_profile2!H71)</f>
        <v/>
      </c>
      <c r="H8" s="95" t="str">
        <f ca="1">IF(ISERROR(uxb_profile2!J71),"",uxb_profile2!J71)</f>
        <v/>
      </c>
      <c r="I8" s="98" t="str">
        <f ca="1">IF(ISERROR(uxb_profile2!K71),"",uxb_profile2!K71)</f>
        <v/>
      </c>
    </row>
    <row r="9" spans="1:9">
      <c r="B9" s="95" t="str">
        <f ca="1">IF(ISERROR(uxb_profile2!D72),"",uxb_profile2!D72)</f>
        <v/>
      </c>
      <c r="C9" s="97" t="str">
        <f ca="1">IF(ISERROR(uxb_profile2!E72),"",uxb_profile2!E72)</f>
        <v/>
      </c>
      <c r="E9" s="95" t="str">
        <f ca="1">IF(ISERROR(uxb_profile2!G72),"",uxb_profile2!G72)</f>
        <v/>
      </c>
      <c r="F9" s="98" t="str">
        <f ca="1">IF(ISERROR(uxb_profile2!H72),"",uxb_profile2!H72)</f>
        <v/>
      </c>
      <c r="H9" s="95" t="str">
        <f ca="1">IF(ISERROR(uxb_profile2!J72),"",uxb_profile2!J72)</f>
        <v/>
      </c>
      <c r="I9" s="98" t="str">
        <f ca="1">IF(ISERROR(uxb_profile2!K72),"",uxb_profile2!K72)</f>
        <v/>
      </c>
    </row>
    <row r="10" spans="1:9">
      <c r="B10" s="95" t="str">
        <f ca="1">IF(ISERROR(uxb_profile2!D73),"",uxb_profile2!D73)</f>
        <v/>
      </c>
      <c r="C10" s="97" t="str">
        <f ca="1">IF(ISERROR(uxb_profile2!E73),"",uxb_profile2!E73)</f>
        <v/>
      </c>
      <c r="E10" s="95" t="str">
        <f ca="1">IF(ISERROR(uxb_profile2!G73),"",uxb_profile2!G73)</f>
        <v/>
      </c>
      <c r="F10" s="98" t="str">
        <f ca="1">IF(ISERROR(uxb_profile2!H73),"",uxb_profile2!H73)</f>
        <v/>
      </c>
      <c r="H10" s="95" t="str">
        <f ca="1">IF(ISERROR(uxb_profile2!J73),"",uxb_profile2!J73)</f>
        <v/>
      </c>
      <c r="I10" s="98" t="str">
        <f ca="1">IF(ISERROR(uxb_profile2!K73),"",uxb_profile2!K73)</f>
        <v/>
      </c>
    </row>
    <row r="11" spans="1:9">
      <c r="B11" s="95" t="str">
        <f ca="1">IF(ISERROR(uxb_profile2!D74),"",uxb_profile2!D74)</f>
        <v/>
      </c>
      <c r="C11" s="97" t="str">
        <f ca="1">IF(ISERROR(uxb_profile2!E74),"",uxb_profile2!E74)</f>
        <v/>
      </c>
      <c r="E11" s="95" t="str">
        <f ca="1">IF(ISERROR(uxb_profile2!G74),"",uxb_profile2!G74)</f>
        <v/>
      </c>
      <c r="F11" s="98" t="str">
        <f ca="1">IF(ISERROR(uxb_profile2!H74),"",uxb_profile2!H74)</f>
        <v/>
      </c>
      <c r="H11" s="95" t="str">
        <f ca="1">IF(ISERROR(uxb_profile2!J74),"",uxb_profile2!J74)</f>
        <v/>
      </c>
      <c r="I11" s="98" t="str">
        <f ca="1">IF(ISERROR(uxb_profile2!K74),"",uxb_profile2!K74)</f>
        <v/>
      </c>
    </row>
    <row r="14" spans="1:9">
      <c r="B14" s="96" t="e">
        <f ca="1">uxb_profile2!M66</f>
        <v>#N/A</v>
      </c>
      <c r="C14" s="96"/>
      <c r="E14" s="96" t="e">
        <f ca="1">uxb_profile2!P66</f>
        <v>#N/A</v>
      </c>
      <c r="F14" s="96"/>
      <c r="H14" s="96" t="e">
        <f ca="1">uxb_profile2!S66</f>
        <v>#N/A</v>
      </c>
      <c r="I14" s="96"/>
    </row>
    <row r="15" spans="1:9" ht="15" customHeight="1">
      <c r="B15" s="95" t="str">
        <f ca="1">IF(ISERROR(uxb_profile2!M67),"",uxb_profile2!M67)</f>
        <v/>
      </c>
      <c r="C15" s="98" t="str">
        <f ca="1">IF(ISERROR(uxb_profile2!N67),"",uxb_profile2!N67)</f>
        <v/>
      </c>
      <c r="E15" s="95" t="str">
        <f ca="1">IF(ISERROR(uxb_profile2!P67),"",uxb_profile2!P67)</f>
        <v/>
      </c>
      <c r="F15" s="98" t="str">
        <f ca="1">IF(ISERROR(uxb_profile2!Q67),"",uxb_profile2!Q67)</f>
        <v/>
      </c>
      <c r="H15" s="95" t="str">
        <f ca="1">IF(ISERROR(uxb_profile2!S67),"",uxb_profile2!S67)</f>
        <v/>
      </c>
      <c r="I15" s="98" t="str">
        <f ca="1">IF(ISERROR(uxb_profile2!T67),"",uxb_profile2!T67)</f>
        <v/>
      </c>
    </row>
    <row r="16" spans="1:9">
      <c r="B16" s="95" t="str">
        <f ca="1">IF(ISERROR(uxb_profile2!M68),"",uxb_profile2!M68)</f>
        <v/>
      </c>
      <c r="C16" s="98" t="str">
        <f ca="1">IF(ISERROR(uxb_profile2!N68),"",uxb_profile2!N68)</f>
        <v/>
      </c>
      <c r="E16" s="95" t="str">
        <f ca="1">IF(ISERROR(uxb_profile2!P68),"",uxb_profile2!P68)</f>
        <v/>
      </c>
      <c r="F16" s="98" t="str">
        <f ca="1">IF(ISERROR(uxb_profile2!Q68),"",uxb_profile2!Q68)</f>
        <v/>
      </c>
      <c r="H16" s="95" t="str">
        <f ca="1">IF(ISERROR(uxb_profile2!S68),"",uxb_profile2!S68)</f>
        <v/>
      </c>
      <c r="I16" s="98" t="str">
        <f ca="1">IF(ISERROR(uxb_profile2!T68),"",uxb_profile2!T68)</f>
        <v/>
      </c>
    </row>
    <row r="17" spans="2:9">
      <c r="B17" s="95" t="str">
        <f ca="1">IF(ISERROR(uxb_profile2!M69),"",uxb_profile2!M69)</f>
        <v/>
      </c>
      <c r="C17" s="98" t="str">
        <f ca="1">IF(ISERROR(uxb_profile2!N69),"",uxb_profile2!N69)</f>
        <v/>
      </c>
      <c r="E17" s="95" t="str">
        <f ca="1">IF(ISERROR(uxb_profile2!P69),"",uxb_profile2!P69)</f>
        <v/>
      </c>
      <c r="F17" s="98" t="str">
        <f ca="1">IF(ISERROR(uxb_profile2!Q69),"",uxb_profile2!Q69)</f>
        <v/>
      </c>
      <c r="H17" s="95" t="str">
        <f ca="1">IF(ISERROR(uxb_profile2!S69),"",uxb_profile2!S69)</f>
        <v/>
      </c>
      <c r="I17" s="98" t="str">
        <f ca="1">IF(ISERROR(uxb_profile2!T69),"",uxb_profile2!T69)</f>
        <v/>
      </c>
    </row>
    <row r="18" spans="2:9">
      <c r="B18" s="95" t="str">
        <f ca="1">IF(ISERROR(uxb_profile2!M70),"",uxb_profile2!M70)</f>
        <v/>
      </c>
      <c r="C18" s="98" t="str">
        <f ca="1">IF(ISERROR(uxb_profile2!N70),"",uxb_profile2!N70)</f>
        <v/>
      </c>
      <c r="E18" s="95" t="str">
        <f ca="1">IF(ISERROR(uxb_profile2!P70),"",uxb_profile2!P70)</f>
        <v/>
      </c>
      <c r="F18" s="98" t="str">
        <f ca="1">IF(ISERROR(uxb_profile2!Q70),"",uxb_profile2!Q70)</f>
        <v/>
      </c>
      <c r="H18" s="95" t="str">
        <f ca="1">IF(ISERROR(uxb_profile2!S70),"",uxb_profile2!S70)</f>
        <v/>
      </c>
      <c r="I18" s="98" t="str">
        <f ca="1">IF(ISERROR(uxb_profile2!T70),"",uxb_profile2!T70)</f>
        <v/>
      </c>
    </row>
    <row r="19" spans="2:9">
      <c r="B19" s="95" t="str">
        <f ca="1">IF(ISERROR(uxb_profile2!M71),"",uxb_profile2!M71)</f>
        <v/>
      </c>
      <c r="C19" s="98" t="str">
        <f ca="1">IF(ISERROR(uxb_profile2!N71),"",uxb_profile2!N71)</f>
        <v/>
      </c>
      <c r="E19" s="95" t="str">
        <f ca="1">IF(ISERROR(uxb_profile2!P71),"",uxb_profile2!P71)</f>
        <v/>
      </c>
      <c r="F19" s="98" t="str">
        <f ca="1">IF(ISERROR(uxb_profile2!Q71),"",uxb_profile2!Q71)</f>
        <v/>
      </c>
      <c r="H19" s="95" t="str">
        <f ca="1">IF(ISERROR(uxb_profile2!S71),"",uxb_profile2!S71)</f>
        <v/>
      </c>
      <c r="I19" s="98" t="str">
        <f ca="1">IF(ISERROR(uxb_profile2!T71),"",uxb_profile2!T71)</f>
        <v/>
      </c>
    </row>
    <row r="20" spans="2:9">
      <c r="B20" s="95" t="str">
        <f ca="1">IF(ISERROR(uxb_profile2!M72),"",uxb_profile2!M72)</f>
        <v/>
      </c>
      <c r="C20" s="98" t="str">
        <f ca="1">IF(ISERROR(uxb_profile2!N72),"",uxb_profile2!N72)</f>
        <v/>
      </c>
      <c r="E20" s="95" t="str">
        <f ca="1">IF(ISERROR(uxb_profile2!P72),"",uxb_profile2!P72)</f>
        <v/>
      </c>
      <c r="F20" s="98" t="str">
        <f ca="1">IF(ISERROR(uxb_profile2!Q72),"",uxb_profile2!Q72)</f>
        <v/>
      </c>
      <c r="H20" s="95" t="str">
        <f ca="1">IF(ISERROR(uxb_profile2!S72),"",uxb_profile2!S72)</f>
        <v/>
      </c>
      <c r="I20" s="98" t="str">
        <f ca="1">IF(ISERROR(uxb_profile2!T72),"",uxb_profile2!T72)</f>
        <v/>
      </c>
    </row>
    <row r="21" spans="2:9">
      <c r="B21" s="95" t="str">
        <f ca="1">IF(ISERROR(uxb_profile2!M73),"",uxb_profile2!M73)</f>
        <v/>
      </c>
      <c r="C21" s="98" t="str">
        <f ca="1">IF(ISERROR(uxb_profile2!N73),"",uxb_profile2!N73)</f>
        <v/>
      </c>
      <c r="E21" s="95" t="str">
        <f ca="1">IF(ISERROR(uxb_profile2!P73),"",uxb_profile2!P73)</f>
        <v/>
      </c>
      <c r="F21" s="98" t="str">
        <f ca="1">IF(ISERROR(uxb_profile2!Q73),"",uxb_profile2!Q73)</f>
        <v/>
      </c>
      <c r="H21" s="95" t="str">
        <f ca="1">IF(ISERROR(uxb_profile2!S73),"",uxb_profile2!S73)</f>
        <v/>
      </c>
      <c r="I21" s="98" t="str">
        <f ca="1">IF(ISERROR(uxb_profile2!T73),"",uxb_profile2!T73)</f>
        <v/>
      </c>
    </row>
    <row r="22" spans="2:9">
      <c r="B22" s="95" t="str">
        <f ca="1">IF(ISERROR(uxb_profile2!M74),"",uxb_profile2!M74)</f>
        <v/>
      </c>
      <c r="C22" s="98" t="str">
        <f ca="1">IF(ISERROR(uxb_profile2!N74),"",uxb_profile2!N74)</f>
        <v/>
      </c>
      <c r="E22" s="95" t="str">
        <f ca="1">IF(ISERROR(uxb_profile2!P74),"",uxb_profile2!P74)</f>
        <v/>
      </c>
      <c r="F22" s="98" t="str">
        <f ca="1">IF(ISERROR(uxb_profile2!Q74),"",uxb_profile2!Q74)</f>
        <v/>
      </c>
      <c r="H22" s="95" t="str">
        <f ca="1">IF(ISERROR(uxb_profile2!S74),"",uxb_profile2!S74)</f>
        <v/>
      </c>
      <c r="I22" s="98" t="str">
        <f ca="1">IF(ISERROR(uxb_profile2!T74),"",uxb_profile2!T74)</f>
        <v/>
      </c>
    </row>
  </sheetData>
  <phoneticPr fontId="44" type="noConversion"/>
  <conditionalFormatting sqref="B4:B11 E4:E11 H4:H11 B15:B22 E15:E22 H15:H22">
    <cfRule type="expression" dxfId="1" priority="1" stopIfTrue="1">
      <formula>$A$1=B4</formula>
    </cfRule>
  </conditionalFormatting>
  <conditionalFormatting sqref="C4:C11 F4:F11 I4:I11 C15:C22 F15:F22 I15:I22">
    <cfRule type="expression" dxfId="0" priority="2" stopIfTrue="1">
      <formula>$A$1=B4</formula>
    </cfRule>
  </conditionalFormatting>
  <pageMargins left="0.7" right="0.7" top="0.75" bottom="0.75" header="0.3" footer="0.3"/>
</worksheet>
</file>

<file path=xl/worksheets/sheet25.xml><?xml version="1.0" encoding="utf-8"?>
<worksheet xmlns="http://schemas.openxmlformats.org/spreadsheetml/2006/main" xmlns:r="http://schemas.openxmlformats.org/officeDocument/2006/relationships">
  <sheetPr codeName="Sheet14"/>
  <dimension ref="A3:D22"/>
  <sheetViews>
    <sheetView showGridLines="0" zoomScale="90" zoomScaleNormal="90" workbookViewId="0">
      <selection activeCell="I16" sqref="I16"/>
    </sheetView>
  </sheetViews>
  <sheetFormatPr defaultRowHeight="12.75"/>
  <cols>
    <col min="2" max="2" width="4.7109375" customWidth="1"/>
    <col min="3" max="3" width="14.5703125" bestFit="1" customWidth="1"/>
    <col min="4" max="4" width="7" customWidth="1"/>
  </cols>
  <sheetData>
    <row r="3" spans="1:4">
      <c r="A3">
        <f ca="1">uxb_rank!AG13</f>
        <v>1</v>
      </c>
      <c r="B3" s="45">
        <f ca="1">IF(A3=0,"",uxb_rank!AI13)</f>
        <v>1</v>
      </c>
      <c r="C3" s="83" t="str">
        <f ca="1">IF(A3=0,"",uxb_rank!AE13)</f>
        <v xml:space="preserve">Chile </v>
      </c>
      <c r="D3" s="84">
        <f ca="1">IF(A3=0,"",uxb_rank!AF13)</f>
        <v>65.290000000000006</v>
      </c>
    </row>
    <row r="4" spans="1:4">
      <c r="A4">
        <f ca="1">uxb_rank!AG14</f>
        <v>1</v>
      </c>
      <c r="B4" s="45">
        <f ca="1">IF(A4=0,"",uxb_rank!AI14)</f>
        <v>2</v>
      </c>
      <c r="C4" s="83" t="str">
        <f ca="1">IF(A4=0,"",uxb_rank!AE14)</f>
        <v>Brazil</v>
      </c>
      <c r="D4" s="84">
        <f ca="1">IF(A4=0,"",uxb_rank!AF14)</f>
        <v>60.71</v>
      </c>
    </row>
    <row r="5" spans="1:4">
      <c r="A5">
        <f ca="1">uxb_rank!AG15</f>
        <v>1</v>
      </c>
      <c r="B5" s="45">
        <f ca="1">IF(A5=0,"",uxb_rank!AI15)</f>
        <v>3</v>
      </c>
      <c r="C5" s="83" t="str">
        <f ca="1">IF(A5=0,"",uxb_rank!AE15)</f>
        <v>Peru</v>
      </c>
      <c r="D5" s="84">
        <f ca="1">IF(A5=0,"",uxb_rank!AF15)</f>
        <v>53.76</v>
      </c>
    </row>
    <row r="6" spans="1:4">
      <c r="A6">
        <f ca="1">uxb_rank!AG16</f>
        <v>3</v>
      </c>
      <c r="B6" s="45">
        <f ca="1">IF(A6=0,"",uxb_rank!AI16)</f>
        <v>4</v>
      </c>
      <c r="C6" s="83" t="str">
        <f ca="1">IF(A6=0,"",uxb_rank!AE16)</f>
        <v>Mexico</v>
      </c>
      <c r="D6" s="84">
        <f ca="1">IF(A6=0,"",uxb_rank!AF16)</f>
        <v>44.59</v>
      </c>
    </row>
    <row r="7" spans="1:4">
      <c r="A7">
        <f ca="1">uxb_rank!AG17</f>
        <v>1</v>
      </c>
      <c r="B7" s="45">
        <f ca="1">IF(A7=0,"",uxb_rank!AI17)</f>
        <v>5</v>
      </c>
      <c r="C7" s="83" t="str">
        <f ca="1">IF(A7=0,"",uxb_rank!AE17)</f>
        <v>Colombia</v>
      </c>
      <c r="D7" s="84">
        <f ca="1">IF(A7=0,"",uxb_rank!AF17)</f>
        <v>42.37</v>
      </c>
    </row>
    <row r="8" spans="1:4">
      <c r="A8">
        <f ca="1">uxb_rank!AG18</f>
        <v>1</v>
      </c>
      <c r="B8" s="45">
        <f ca="1">IF(A8=0,"",uxb_rank!AI18)</f>
        <v>6</v>
      </c>
      <c r="C8" s="83" t="str">
        <f ca="1">IF(A8=0,"",uxb_rank!AE18)</f>
        <v>Costa Rica</v>
      </c>
      <c r="D8" s="84">
        <f ca="1">IF(A8=0,"",uxb_rank!AF18)</f>
        <v>41.91</v>
      </c>
    </row>
    <row r="9" spans="1:4">
      <c r="A9">
        <f ca="1">uxb_rank!AG19</f>
        <v>1</v>
      </c>
      <c r="B9" s="45">
        <f ca="1">IF(A9=0,"",uxb_rank!AI19)</f>
        <v>7</v>
      </c>
      <c r="C9" s="83" t="str">
        <f ca="1">IF(A9=0,"",uxb_rank!AE19)</f>
        <v>Uruguay</v>
      </c>
      <c r="D9" s="84">
        <f ca="1">IF(A9=0,"",uxb_rank!AF19)</f>
        <v>35.630000000000003</v>
      </c>
    </row>
    <row r="10" spans="1:4">
      <c r="A10">
        <f ca="1">uxb_rank!AG20</f>
        <v>1</v>
      </c>
      <c r="B10" s="45">
        <f ca="1">IF(A10=0,"",uxb_rank!AI20)</f>
        <v>8</v>
      </c>
      <c r="C10" s="83" t="str">
        <f ca="1">IF(A10=0,"",uxb_rank!AE20)</f>
        <v>Honduras</v>
      </c>
      <c r="D10" s="84">
        <f ca="1">IF(A10=0,"",uxb_rank!AF20)</f>
        <v>33.29</v>
      </c>
    </row>
    <row r="11" spans="1:4">
      <c r="A11">
        <f ca="1">uxb_rank!AG21</f>
        <v>1</v>
      </c>
      <c r="B11" s="45">
        <f ca="1">IF(A11=0,"",uxb_rank!AI21)</f>
        <v>9</v>
      </c>
      <c r="C11" s="83" t="str">
        <f ca="1">IF(A11=0,"",uxb_rank!AE21)</f>
        <v>Jamaica</v>
      </c>
      <c r="D11" s="84">
        <f ca="1">IF(A11=0,"",uxb_rank!AF21)</f>
        <v>31.63</v>
      </c>
    </row>
    <row r="12" spans="1:4">
      <c r="A12">
        <f ca="1">uxb_rank!AG22</f>
        <v>1</v>
      </c>
      <c r="B12" s="45">
        <f ca="1">IF(A12=0,"",uxb_rank!AI22)</f>
        <v>10</v>
      </c>
      <c r="C12" s="83" t="str">
        <f ca="1">IF(A12=0,"",uxb_rank!AE22)</f>
        <v>Paraguay</v>
      </c>
      <c r="D12" s="84">
        <f ca="1">IF(A12=0,"",uxb_rank!AF22)</f>
        <v>27.84</v>
      </c>
    </row>
    <row r="13" spans="1:4">
      <c r="A13">
        <f ca="1">uxb_rank!AG23</f>
        <v>1</v>
      </c>
      <c r="B13" s="45">
        <f ca="1">IF(A13=0,"",uxb_rank!AI23)</f>
        <v>11</v>
      </c>
      <c r="C13" s="83" t="str">
        <f ca="1">IF(A13=0,"",uxb_rank!AE23)</f>
        <v>Panama</v>
      </c>
      <c r="D13" s="84">
        <f ca="1">IF(A13=0,"",uxb_rank!AF23)</f>
        <v>26.96</v>
      </c>
    </row>
    <row r="14" spans="1:4">
      <c r="A14">
        <f ca="1">uxb_rank!AG24</f>
        <v>1</v>
      </c>
      <c r="B14" s="45">
        <f ca="1">IF(A14=0,"",uxb_rank!AI24)</f>
        <v>12</v>
      </c>
      <c r="C14" s="83" t="str">
        <f ca="1">IF(A14=0,"",uxb_rank!AE24)</f>
        <v>Dominican Rep.</v>
      </c>
      <c r="D14" s="84">
        <f ca="1">IF(A14=0,"",uxb_rank!AF24)</f>
        <v>23.62</v>
      </c>
    </row>
    <row r="15" spans="1:4">
      <c r="A15">
        <f ca="1">uxb_rank!AG25</f>
        <v>1</v>
      </c>
      <c r="B15" s="45">
        <f ca="1">IF(A15=0,"",uxb_rank!AI25)</f>
        <v>13</v>
      </c>
      <c r="C15" s="83" t="str">
        <f ca="1">IF(A15=0,"",uxb_rank!AE25)</f>
        <v>Argentina</v>
      </c>
      <c r="D15" s="84">
        <f ca="1">IF(A15=0,"",uxb_rank!AF25)</f>
        <v>23.46</v>
      </c>
    </row>
    <row r="16" spans="1:4">
      <c r="A16">
        <f ca="1">uxb_rank!AG26</f>
        <v>1</v>
      </c>
      <c r="B16" s="45">
        <f ca="1">IF(A16=0,"",uxb_rank!AI26)</f>
        <v>14</v>
      </c>
      <c r="C16" s="83" t="str">
        <f ca="1">IF(A16=0,"",uxb_rank!AE26)</f>
        <v>Guatemala</v>
      </c>
      <c r="D16" s="84">
        <f ca="1">IF(A16=0,"",uxb_rank!AF26)</f>
        <v>21.96</v>
      </c>
    </row>
    <row r="17" spans="1:4">
      <c r="A17">
        <f ca="1">uxb_rank!AG27</f>
        <v>1</v>
      </c>
      <c r="B17" s="45">
        <f ca="1">IF(A17=0,"",uxb_rank!AI27)</f>
        <v>15</v>
      </c>
      <c r="C17" s="83" t="str">
        <f ca="1">IF(A17=0,"",uxb_rank!AE27)</f>
        <v>El Salvador</v>
      </c>
      <c r="D17" s="84">
        <f ca="1">IF(A17=0,"",uxb_rank!AF27)</f>
        <v>21.82</v>
      </c>
    </row>
    <row r="18" spans="1:4">
      <c r="A18">
        <f ca="1">uxb_rank!AG28</f>
        <v>1</v>
      </c>
      <c r="B18" s="45">
        <f ca="1">IF(A18=0,"",uxb_rank!AI28)</f>
        <v>16</v>
      </c>
      <c r="C18" s="83" t="str">
        <f ca="1">IF(A18=0,"",uxb_rank!AE28)</f>
        <v>Trinidad &amp; Tobago</v>
      </c>
      <c r="D18" s="84">
        <f ca="1">IF(A18=0,"",uxb_rank!AF28)</f>
        <v>19.38</v>
      </c>
    </row>
    <row r="19" spans="1:4">
      <c r="A19">
        <f ca="1">uxb_rank!AG29</f>
        <v>1</v>
      </c>
      <c r="B19" s="45">
        <f ca="1">IF(A19=0,"",uxb_rank!AI29)</f>
        <v>17</v>
      </c>
      <c r="C19" s="83" t="str">
        <f ca="1">IF(A19=0,"",uxb_rank!AE29)</f>
        <v>Nicaragua</v>
      </c>
      <c r="D19" s="84">
        <f ca="1">IF(A19=0,"",uxb_rank!AF29)</f>
        <v>16.489999999999998</v>
      </c>
    </row>
    <row r="20" spans="1:4">
      <c r="A20">
        <f ca="1">uxb_rank!AG30</f>
        <v>1</v>
      </c>
      <c r="B20" s="45">
        <f ca="1">IF(A20=0,"",uxb_rank!AI30)</f>
        <v>18</v>
      </c>
      <c r="C20" s="83" t="str">
        <f ca="1">IF(A20=0,"",uxb_rank!AE30)</f>
        <v>Ecuador</v>
      </c>
      <c r="D20" s="84">
        <f ca="1">IF(A20=0,"",uxb_rank!AF30)</f>
        <v>14.72</v>
      </c>
    </row>
    <row r="21" spans="1:4">
      <c r="A21">
        <f ca="1">uxb_rank!AG31</f>
        <v>1</v>
      </c>
      <c r="B21" s="45">
        <f ca="1">IF(A21=0,"",uxb_rank!AI31)</f>
        <v>19</v>
      </c>
      <c r="C21" s="83" t="str">
        <f ca="1">IF(A21=0,"",uxb_rank!AE31)</f>
        <v>Venezuela</v>
      </c>
      <c r="D21" s="84">
        <f ca="1">IF(A21=0,"",uxb_rank!AF31)</f>
        <v>13.68</v>
      </c>
    </row>
    <row r="22" spans="1:4">
      <c r="B22" s="45"/>
      <c r="C22" s="83"/>
      <c r="D22" s="84"/>
    </row>
  </sheetData>
  <phoneticPr fontId="26" type="noConversion"/>
  <pageMargins left="0.7" right="0.7" top="0.75" bottom="0.75" header="0.3" footer="0.3"/>
</worksheet>
</file>

<file path=xl/worksheets/sheet26.xml><?xml version="1.0" encoding="utf-8"?>
<worksheet xmlns="http://schemas.openxmlformats.org/spreadsheetml/2006/main" xmlns:r="http://schemas.openxmlformats.org/officeDocument/2006/relationships">
  <sheetPr codeName="Sheet16"/>
  <dimension ref="A2:Q80"/>
  <sheetViews>
    <sheetView workbookViewId="0">
      <selection activeCell="B19" sqref="B19"/>
    </sheetView>
  </sheetViews>
  <sheetFormatPr defaultRowHeight="12.75"/>
  <cols>
    <col min="1" max="1" width="18.28515625" customWidth="1"/>
    <col min="5" max="5" width="11.5703125" bestFit="1" customWidth="1"/>
  </cols>
  <sheetData>
    <row r="2" spans="1:17">
      <c r="A2" s="2" t="s">
        <v>581</v>
      </c>
      <c r="B2">
        <v>1</v>
      </c>
    </row>
    <row r="3" spans="1:17">
      <c r="A3" s="2" t="s">
        <v>582</v>
      </c>
      <c r="B3" t="str">
        <f ca="1">INDEX(tblSections!A2:A9,B2)</f>
        <v>TOTL</v>
      </c>
    </row>
    <row r="4" spans="1:17">
      <c r="A4" s="2" t="s">
        <v>583</v>
      </c>
      <c r="B4" t="str">
        <f ca="1">INDEX(tblSections!B2:B9,B2)</f>
        <v>OVERALL SCORE</v>
      </c>
    </row>
    <row r="5" spans="1:17">
      <c r="B5" s="57" t="s">
        <v>732</v>
      </c>
      <c r="C5" s="57" t="s">
        <v>585</v>
      </c>
      <c r="D5" s="3" t="str">
        <f ca="1">tblIndicators!A1</f>
        <v>Code</v>
      </c>
      <c r="E5" s="3" t="str">
        <f ca="1">tblIndicators!B1</f>
        <v>Parent</v>
      </c>
      <c r="F5" s="3" t="str">
        <f ca="1">tblIndicators!C1</f>
        <v>Level</v>
      </c>
      <c r="G5" s="3" t="str">
        <f ca="1">tblIndicators!D1</f>
        <v>Process</v>
      </c>
      <c r="H5" s="3" t="str">
        <f ca="1">tblIndicators!G1</f>
        <v>0=High is good,1=High is bad</v>
      </c>
      <c r="I5" s="3" t="str">
        <f ca="1">tblIndicators!H1</f>
        <v>Short</v>
      </c>
      <c r="J5" s="3" t="str">
        <f ca="1">tblIndicators!I1</f>
        <v>Unit</v>
      </c>
      <c r="K5" s="3" t="str">
        <f ca="1">tblIndicators!J1</f>
        <v>Source</v>
      </c>
      <c r="L5" s="3" t="str">
        <f ca="1">tblIndicators!K1</f>
        <v>High Value</v>
      </c>
      <c r="M5" s="3" t="str">
        <f ca="1">tblIndicators!L1</f>
        <v>Statement</v>
      </c>
      <c r="N5" s="3" t="str">
        <f ca="1">tblIndicators!M1</f>
        <v>Year</v>
      </c>
      <c r="O5" s="3" t="str">
        <f ca="1">tblIndicators!N1</f>
        <v>Notes</v>
      </c>
      <c r="P5" s="3" t="str">
        <f ca="1">tblIndicators!O1</f>
        <v>Format</v>
      </c>
      <c r="Q5" s="3" t="str">
        <f ca="1">tblIndicators!P1</f>
        <v>Tidy</v>
      </c>
    </row>
    <row r="6" spans="1:17">
      <c r="A6" s="2" t="s">
        <v>585</v>
      </c>
      <c r="B6">
        <v>22</v>
      </c>
      <c r="C6">
        <f>B6</f>
        <v>22</v>
      </c>
      <c r="D6" t="str">
        <f ca="1">INDEX(tblIndicators!A$2:A$101,$C6)</f>
        <v>FINC02</v>
      </c>
      <c r="E6" t="str">
        <f ca="1">INDEX(tblIndicators!B$2:B$101,$C6)</f>
        <v>FINC</v>
      </c>
      <c r="F6">
        <f ca="1">INDEX(tblIndicators!C$2:C$101,$C6)</f>
        <v>2</v>
      </c>
      <c r="G6" t="str">
        <f ca="1">INDEX(tblIndicators!D$2:D$101,$C6)</f>
        <v>XX</v>
      </c>
      <c r="H6">
        <f ca="1">INDEX(tblIndicators!G$2:G$101,$C6)</f>
        <v>0</v>
      </c>
      <c r="I6" t="str">
        <f ca="1">INDEX(tblIndicators!H$2:H$101,$C6)</f>
        <v>Capital market: private infrastructure finance</v>
      </c>
      <c r="J6" t="str">
        <f ca="1">INDEX(tblIndicators!I$2:I$101,$C6)</f>
        <v>0-4, where 4=best and 0=worst</v>
      </c>
      <c r="K6" t="str">
        <f ca="1">INDEX(tblIndicators!J$2:J$101,$C6)</f>
        <v>EIU qualitative assessment</v>
      </c>
      <c r="L6" t="str">
        <f ca="1">INDEX(tblIndicators!K$2:K$101,$C6)</f>
        <v>GOOD</v>
      </c>
      <c r="M6" t="str">
        <f ca="1">INDEX(tblIndicators!L$2:L$101,$C6)</f>
        <v>How available and reliable are long-term debt  instruments for infrastructure financing? Is there a developed insurance and pension market with useful products for infrastructure risk reduction? Are interest rate, exchange rate hedging instruments available?</v>
      </c>
      <c r="N6">
        <f ca="1">INDEX(tblIndicators!M$2:M$101,$C6)</f>
        <v>0</v>
      </c>
      <c r="O6" t="str">
        <f ca="1">INDEX(tblIndicators!N$2:N$101,$C6)</f>
        <v>0=The markets for finance and risk instruments are underdeveloped or nonexistent, and only foreign sources provide project funding;
1=The market for local finance is slowly developing, though most finance comes from international sources and risk hedging instruments do not exist;
2=Some finance and risk instruments exist, though financing still mainly comes from foreign and multilateral organisations;
3=The domestic market presents a large, reliable financing market but risk instruments are still developing in size and complexity;
4=There is a deep, liquid finance market locally, as well as a reliable and large local market for hedging instruments</v>
      </c>
      <c r="P6" t="str">
        <f ca="1">INDEX(tblIndicators!O$2:O$101,$C6)</f>
        <v>0</v>
      </c>
      <c r="Q6" t="str">
        <f ca="1">INDEX(tblIndicators!P$2:P$101,$C6)</f>
        <v xml:space="preserve">   Capital market: private infrastructure finance</v>
      </c>
    </row>
    <row r="7" spans="1:17">
      <c r="A7" s="57" t="s">
        <v>731</v>
      </c>
      <c r="B7">
        <v>1</v>
      </c>
      <c r="C7">
        <f>B7</f>
        <v>1</v>
      </c>
      <c r="D7" t="str">
        <f ca="1">INDEX(tblIndicators!A$2:A$101,$C7)</f>
        <v>TOTL</v>
      </c>
      <c r="E7">
        <f ca="1">INDEX(tblIndicators!B$2:B$101,$C7)</f>
        <v>0</v>
      </c>
      <c r="F7">
        <f ca="1">INDEX(tblIndicators!C$2:C$101,$C7)</f>
        <v>0</v>
      </c>
      <c r="G7" t="str">
        <f ca="1">INDEX(tblIndicators!D$2:D$101,$C7)</f>
        <v>WS</v>
      </c>
      <c r="H7">
        <f ca="1">INDEX(tblIndicators!G$2:G$101,$C7)</f>
        <v>0</v>
      </c>
      <c r="I7" t="str">
        <f ca="1">INDEX(tblIndicators!H$2:H$101,$C7)</f>
        <v>OVERALL SCORE</v>
      </c>
      <c r="J7" t="str">
        <f ca="1">INDEX(tblIndicators!I$2:I$101,$C7)</f>
        <v>Weighted sum of the category scores</v>
      </c>
      <c r="K7" t="str">
        <f ca="1">INDEX(tblIndicators!J$2:J$101,$C7)</f>
        <v>Calculation</v>
      </c>
      <c r="L7" t="str">
        <f ca="1">INDEX(tblIndicators!K$2:K$101,$C7)</f>
        <v>GOOD</v>
      </c>
      <c r="M7" t="str">
        <f ca="1">INDEX(tblIndicators!L$2:L$101,$C7)</f>
        <v>This is the weighted sum of the following category scores: 
1) Legal and regulatory framework; 2) Institutional framework;
3) Operational Maturity; 4) Investment climate; and 5) Financial facilities</v>
      </c>
      <c r="N7">
        <f ca="1">INDEX(tblIndicators!M$2:M$101,$C7)</f>
        <v>0</v>
      </c>
      <c r="O7" t="str">
        <f ca="1">INDEX(tblIndicators!N$2:N$101,$C7)</f>
        <v>0-100, where 0= worst and 100= best</v>
      </c>
      <c r="P7" t="str">
        <f ca="1">INDEX(tblIndicators!O$2:O$101,$C7)</f>
        <v>0.0</v>
      </c>
      <c r="Q7" t="str">
        <f ca="1">INDEX(tblIndicators!P$2:P$101,$C7)</f>
        <v>OVERALL SCORE</v>
      </c>
    </row>
    <row r="8" spans="1:17">
      <c r="A8" s="2"/>
    </row>
    <row r="9" spans="1:17">
      <c r="A9" s="2"/>
    </row>
    <row r="10" spans="1:17">
      <c r="A10" s="2" t="s">
        <v>571</v>
      </c>
      <c r="B10">
        <f>F6</f>
        <v>2</v>
      </c>
    </row>
    <row r="11" spans="1:17">
      <c r="A11" s="2" t="s">
        <v>569</v>
      </c>
      <c r="B11" t="str">
        <f>D6</f>
        <v>FINC02</v>
      </c>
    </row>
    <row r="12" spans="1:17">
      <c r="A12" s="2" t="s">
        <v>587</v>
      </c>
      <c r="B12" t="str">
        <f>P6</f>
        <v>0</v>
      </c>
    </row>
    <row r="13" spans="1:17">
      <c r="A13" s="2" t="s">
        <v>588</v>
      </c>
      <c r="B13" t="str">
        <f>Q6</f>
        <v xml:space="preserve">   Capital market: private infrastructure finance</v>
      </c>
    </row>
    <row r="14" spans="1:17">
      <c r="A14" s="57" t="s">
        <v>661</v>
      </c>
      <c r="B14" t="str">
        <f>I6</f>
        <v>Capital market: private infrastructure finance</v>
      </c>
    </row>
    <row r="15" spans="1:17">
      <c r="A15" t="s">
        <v>660</v>
      </c>
      <c r="B15" t="str">
        <f>J6</f>
        <v>0-4, where 4=best and 0=worst</v>
      </c>
    </row>
    <row r="16" spans="1:17">
      <c r="A16" t="s">
        <v>662</v>
      </c>
      <c r="B16" t="str">
        <f>M6</f>
        <v>How available and reliable are long-term debt  instruments for infrastructure financing? Is there a developed insurance and pension market with useful products for infrastructure risk reduction? Are interest rate, exchange rate hedging instruments available?</v>
      </c>
    </row>
    <row r="17" spans="1:5">
      <c r="A17" t="s">
        <v>663</v>
      </c>
      <c r="B17" t="str">
        <f>K6</f>
        <v>EIU qualitative assessment</v>
      </c>
    </row>
    <row r="18" spans="1:5">
      <c r="A18" s="57" t="s">
        <v>687</v>
      </c>
      <c r="B18">
        <f>H6</f>
        <v>0</v>
      </c>
    </row>
    <row r="19" spans="1:5">
      <c r="A19" s="57" t="s">
        <v>745</v>
      </c>
      <c r="B19" t="str">
        <f>O6</f>
        <v>0=The markets for finance and risk instruments are underdeveloped or nonexistent, and only foreign sources provide project funding;
1=The market for local finance is slowly developing, though most finance comes from international sources and risk hedging instruments do not exist;
2=Some finance and risk instruments exist, though financing still mainly comes from foreign and multilateral organisations;
3=The domestic market presents a large, reliable financing market but risk instruments are still developing in size and complexity;
4=There is a deep, liquid finance market locally, as well as a reliable and large local market for hedging instruments</v>
      </c>
    </row>
    <row r="20" spans="1:5">
      <c r="A20" s="57" t="s">
        <v>289</v>
      </c>
      <c r="B20">
        <v>12</v>
      </c>
      <c r="C20">
        <v>1</v>
      </c>
      <c r="D20">
        <v>3</v>
      </c>
      <c r="E20">
        <v>10</v>
      </c>
    </row>
    <row r="21" spans="1:5">
      <c r="A21" s="57" t="s">
        <v>290</v>
      </c>
      <c r="B21">
        <f>B20</f>
        <v>12</v>
      </c>
      <c r="C21">
        <f>C20</f>
        <v>1</v>
      </c>
      <c r="D21">
        <f>D20</f>
        <v>3</v>
      </c>
      <c r="E21">
        <f>E20</f>
        <v>10</v>
      </c>
    </row>
    <row r="22" spans="1:5">
      <c r="A22" s="57" t="s">
        <v>291</v>
      </c>
      <c r="B22" t="str">
        <f ca="1">INDEX(countryName,B21)</f>
        <v>Mexico</v>
      </c>
      <c r="C22" t="str">
        <f ca="1">INDEX(countryName,C21)</f>
        <v>Argentina</v>
      </c>
      <c r="D22" t="str">
        <f ca="1">INDEX(countryName,D21)</f>
        <v xml:space="preserve">Chile </v>
      </c>
      <c r="E22" t="str">
        <f ca="1">INDEX(countryName,E21)</f>
        <v>Honduras</v>
      </c>
    </row>
    <row r="24" spans="1:5">
      <c r="A24" s="2" t="s">
        <v>594</v>
      </c>
      <c r="B24" t="b">
        <v>0</v>
      </c>
    </row>
    <row r="25" spans="1:5">
      <c r="A25" s="57" t="s">
        <v>678</v>
      </c>
      <c r="B25" t="b">
        <v>1</v>
      </c>
    </row>
    <row r="26" spans="1:5">
      <c r="A26" s="58" t="s">
        <v>638</v>
      </c>
      <c r="B26">
        <v>1</v>
      </c>
    </row>
    <row r="27" spans="1:5">
      <c r="A27" s="58" t="s">
        <v>639</v>
      </c>
      <c r="B27">
        <f>B26+1</f>
        <v>2</v>
      </c>
    </row>
    <row r="28" spans="1:5">
      <c r="A28" s="58" t="s">
        <v>640</v>
      </c>
      <c r="B28">
        <v>1</v>
      </c>
    </row>
    <row r="30" spans="1:5">
      <c r="A30" s="57" t="s">
        <v>320</v>
      </c>
      <c r="B30">
        <v>3</v>
      </c>
    </row>
    <row r="31" spans="1:5">
      <c r="A31" s="57"/>
    </row>
    <row r="32" spans="1:5">
      <c r="A32" s="57"/>
    </row>
    <row r="33" spans="1:6">
      <c r="A33" s="57"/>
    </row>
    <row r="34" spans="1:6">
      <c r="A34" s="57"/>
      <c r="E34" s="105"/>
    </row>
    <row r="36" spans="1:6">
      <c r="A36" s="58" t="s">
        <v>619</v>
      </c>
      <c r="B36" s="59" t="str">
        <f ca="1">OFFSET(tblCountries!$U$5,0,C36)</f>
        <v>None</v>
      </c>
      <c r="C36" s="27">
        <v>1</v>
      </c>
    </row>
    <row r="37" spans="1:6">
      <c r="A37" s="58" t="s">
        <v>620</v>
      </c>
      <c r="B37" s="59" t="str">
        <f ca="1">OFFSET(tblCountries!$U$5,0,C37)</f>
        <v>All</v>
      </c>
      <c r="C37" s="27">
        <v>2</v>
      </c>
    </row>
    <row r="38" spans="1:6">
      <c r="A38" s="58" t="s">
        <v>621</v>
      </c>
      <c r="B38" s="59" t="str">
        <f ca="1">OFFSET(tblCountries!$U$5,0,C38)</f>
        <v>Caribbean</v>
      </c>
      <c r="C38" s="27">
        <v>3</v>
      </c>
    </row>
    <row r="39" spans="1:6">
      <c r="A39" s="58" t="s">
        <v>622</v>
      </c>
      <c r="B39" s="59" t="str">
        <f ca="1">OFFSET(tblCountries!$U$5,0,C39)</f>
        <v>Central America</v>
      </c>
      <c r="C39" s="27">
        <v>4</v>
      </c>
    </row>
    <row r="40" spans="1:6">
      <c r="A40" s="58" t="s">
        <v>623</v>
      </c>
      <c r="B40" s="59" t="str">
        <f ca="1">OFFSET(tblCountries!$U$5,0,C40)</f>
        <v>South America</v>
      </c>
      <c r="C40" s="27">
        <v>5</v>
      </c>
    </row>
    <row r="41" spans="1:6">
      <c r="A41" s="58" t="s">
        <v>624</v>
      </c>
      <c r="B41" s="59" t="str">
        <f ca="1">OFFSET(tblCountries!$U$5,0,C41)</f>
        <v>All, ex Brazil+Mexico</v>
      </c>
      <c r="C41" s="27">
        <v>6</v>
      </c>
    </row>
    <row r="42" spans="1:6">
      <c r="A42" s="58" t="s">
        <v>625</v>
      </c>
      <c r="B42" s="59" t="str">
        <f ca="1">OFFSET(tblCountries!$U$5,0,C42)</f>
        <v>spare</v>
      </c>
      <c r="C42" s="27">
        <v>7</v>
      </c>
    </row>
    <row r="43" spans="1:6">
      <c r="A43" s="58" t="s">
        <v>626</v>
      </c>
      <c r="B43" s="59" t="str">
        <f ca="1">OFFSET(tblCountries!$U$5,0,C43)</f>
        <v>spare</v>
      </c>
      <c r="C43" s="27">
        <v>8</v>
      </c>
    </row>
    <row r="44" spans="1:6">
      <c r="A44" s="58" t="s">
        <v>627</v>
      </c>
      <c r="B44" s="59" t="str">
        <f ca="1">OFFSET(tblCountries!$U$5,0,C44)</f>
        <v>spare</v>
      </c>
      <c r="C44" s="27">
        <v>9</v>
      </c>
    </row>
    <row r="45" spans="1:6">
      <c r="A45" s="58" t="s">
        <v>628</v>
      </c>
      <c r="B45" s="59" t="str">
        <f ca="1">OFFSET(tblCountries!$U$5,0,C45)</f>
        <v>spare</v>
      </c>
      <c r="C45" s="27">
        <v>10</v>
      </c>
    </row>
    <row r="46" spans="1:6">
      <c r="A46" s="58" t="s">
        <v>629</v>
      </c>
      <c r="B46" s="59" t="str">
        <f ca="1">OFFSET(tblCountries!$U$5,0,C46)</f>
        <v>spare</v>
      </c>
      <c r="C46" s="27">
        <v>11</v>
      </c>
      <c r="F46" s="88"/>
    </row>
    <row r="47" spans="1:6">
      <c r="A47" s="58" t="s">
        <v>630</v>
      </c>
      <c r="B47" s="59" t="str">
        <f ca="1">OFFSET(tblCountries!$U$5,0,C47)</f>
        <v>spare</v>
      </c>
      <c r="C47" s="27">
        <v>12</v>
      </c>
      <c r="F47" s="89" t="s">
        <v>684</v>
      </c>
    </row>
    <row r="48" spans="1:6">
      <c r="A48" s="58" t="s">
        <v>631</v>
      </c>
      <c r="B48" s="59">
        <f ca="1">OFFSET(tblCountries!$U$5,0,C48)</f>
        <v>0</v>
      </c>
      <c r="C48" s="27">
        <v>13</v>
      </c>
    </row>
    <row r="49" spans="1:3">
      <c r="A49" s="58" t="s">
        <v>632</v>
      </c>
      <c r="B49" s="59">
        <f ca="1">OFFSET(tblCountries!$U$5,0,C49)</f>
        <v>0</v>
      </c>
      <c r="C49" s="27">
        <v>14</v>
      </c>
    </row>
    <row r="50" spans="1:3">
      <c r="A50" s="58" t="s">
        <v>633</v>
      </c>
      <c r="B50" s="59">
        <f ca="1">OFFSET(tblCountries!$U$5,0,C50)</f>
        <v>0</v>
      </c>
      <c r="C50" s="27">
        <v>15</v>
      </c>
    </row>
    <row r="51" spans="1:3">
      <c r="A51" s="58" t="s">
        <v>634</v>
      </c>
      <c r="B51" s="59">
        <f ca="1">OFFSET(tblCountries!$U$5,0,C51)</f>
        <v>0</v>
      </c>
      <c r="C51" s="27">
        <v>16</v>
      </c>
    </row>
    <row r="52" spans="1:3">
      <c r="A52" s="58" t="s">
        <v>635</v>
      </c>
      <c r="B52" s="59">
        <f ca="1">OFFSET(tblCountries!$U$5,0,C52)</f>
        <v>0</v>
      </c>
      <c r="C52" s="27">
        <v>17</v>
      </c>
    </row>
    <row r="53" spans="1:3">
      <c r="A53" s="58" t="s">
        <v>636</v>
      </c>
      <c r="B53" s="59">
        <f ca="1">OFFSET(tblCountries!$U$5,0,C53)</f>
        <v>0</v>
      </c>
      <c r="C53" s="27">
        <v>18</v>
      </c>
    </row>
    <row r="54" spans="1:3">
      <c r="A54" s="58" t="s">
        <v>637</v>
      </c>
      <c r="B54" s="59">
        <f ca="1">OFFSET(tblCountries!$U$5,0,C54)</f>
        <v>0</v>
      </c>
      <c r="C54" s="27">
        <v>19</v>
      </c>
    </row>
    <row r="56" spans="1:3">
      <c r="A56" s="57" t="s">
        <v>674</v>
      </c>
    </row>
    <row r="57" spans="1:3">
      <c r="A57" s="57" t="s">
        <v>568</v>
      </c>
    </row>
    <row r="58" spans="1:3">
      <c r="A58" s="57" t="s">
        <v>679</v>
      </c>
    </row>
    <row r="59" spans="1:3">
      <c r="A59" s="57" t="s">
        <v>680</v>
      </c>
    </row>
    <row r="60" spans="1:3">
      <c r="A60" s="57" t="s">
        <v>591</v>
      </c>
    </row>
    <row r="61" spans="1:3">
      <c r="A61" s="57" t="s">
        <v>671</v>
      </c>
    </row>
    <row r="62" spans="1:3">
      <c r="A62" s="57" t="s">
        <v>675</v>
      </c>
    </row>
    <row r="64" spans="1:3">
      <c r="A64" s="57" t="s">
        <v>230</v>
      </c>
    </row>
    <row r="65" spans="1:2">
      <c r="A65" s="57" t="s">
        <v>231</v>
      </c>
    </row>
    <row r="66" spans="1:2">
      <c r="A66" s="57" t="s">
        <v>232</v>
      </c>
    </row>
    <row r="67" spans="1:2">
      <c r="A67" s="57" t="s">
        <v>233</v>
      </c>
    </row>
    <row r="71" spans="1:2">
      <c r="A71" t="s">
        <v>682</v>
      </c>
      <c r="B71" t="str">
        <f>CONCATENATE("Lower than ",B22)</f>
        <v>Lower than Mexico</v>
      </c>
    </row>
    <row r="72" spans="1:2">
      <c r="A72" t="s">
        <v>683</v>
      </c>
      <c r="B72" t="str">
        <f>CONCATENATE("Higher than ",B22)</f>
        <v>Higher than Mexico</v>
      </c>
    </row>
    <row r="75" spans="1:2">
      <c r="A75" s="68" t="s">
        <v>234</v>
      </c>
    </row>
    <row r="76" spans="1:2">
      <c r="A76" s="57" t="s">
        <v>235</v>
      </c>
      <c r="B76" t="b">
        <v>1</v>
      </c>
    </row>
    <row r="80" spans="1:2">
      <c r="A80" t="s">
        <v>239</v>
      </c>
      <c r="B80" t="e">
        <f ca="1">#REF!</f>
        <v>#REF!</v>
      </c>
    </row>
  </sheetData>
  <phoneticPr fontId="26" type="noConversion"/>
  <pageMargins left="0.7" right="0.7" top="0.75" bottom="0.75" header="0.3" footer="0.3"/>
</worksheet>
</file>

<file path=xl/worksheets/sheet27.xml><?xml version="1.0" encoding="utf-8"?>
<worksheet xmlns="http://schemas.openxmlformats.org/spreadsheetml/2006/main" xmlns:r="http://schemas.openxmlformats.org/officeDocument/2006/relationships">
  <sheetPr codeName="Sheet6"/>
  <dimension ref="A1:J18"/>
  <sheetViews>
    <sheetView showGridLines="0" showRowColHeaders="0" workbookViewId="0">
      <pane ySplit="1" topLeftCell="A2" activePane="bottomLeft" state="frozen"/>
      <selection pane="bottomLeft" activeCell="A2" sqref="A2"/>
    </sheetView>
  </sheetViews>
  <sheetFormatPr defaultRowHeight="12.75"/>
  <cols>
    <col min="1" max="1" width="2" customWidth="1"/>
    <col min="2" max="2" width="3.7109375" customWidth="1"/>
    <col min="3" max="3" width="33.42578125" bestFit="1" customWidth="1"/>
    <col min="4" max="4" width="11.7109375" bestFit="1" customWidth="1"/>
    <col min="5" max="5" width="12.5703125" customWidth="1"/>
    <col min="6" max="6" width="11.28515625" bestFit="1" customWidth="1"/>
    <col min="7" max="7" width="11.85546875" customWidth="1"/>
    <col min="8" max="8" width="11.42578125" customWidth="1"/>
    <col min="9" max="9" width="10.42578125" customWidth="1"/>
    <col min="10" max="10" width="10.5703125" bestFit="1" customWidth="1"/>
    <col min="11" max="12" width="9.5703125" bestFit="1" customWidth="1"/>
  </cols>
  <sheetData>
    <row r="1" spans="1:10" s="74" customFormat="1" ht="21" customHeight="1">
      <c r="A1" s="74" t="s">
        <v>312</v>
      </c>
    </row>
    <row r="2" spans="1:10" s="79" customFormat="1" ht="1.5" customHeight="1">
      <c r="A2" s="87"/>
      <c r="B2" s="87"/>
    </row>
    <row r="3" spans="1:10" ht="23.25">
      <c r="C3" s="77" t="str">
        <f ca="1">uxb_works!B22</f>
        <v>Mexico</v>
      </c>
    </row>
    <row r="5" spans="1:10" ht="15.75">
      <c r="D5" s="114" t="s">
        <v>240</v>
      </c>
      <c r="E5" s="114" t="s">
        <v>243</v>
      </c>
      <c r="F5" s="114" t="s">
        <v>244</v>
      </c>
      <c r="G5" s="114" t="s">
        <v>245</v>
      </c>
    </row>
    <row r="6" spans="1:10" ht="15.75">
      <c r="C6" s="104" t="s">
        <v>681</v>
      </c>
      <c r="D6" s="113" t="e">
        <f ca="1">uxb_profile2!D164</f>
        <v>#N/A</v>
      </c>
      <c r="E6" s="113" t="e">
        <f ca="1">uxb_profile2!E164</f>
        <v>#N/A</v>
      </c>
      <c r="F6" s="113" t="e">
        <f ca="1">uxb_profile2!F164</f>
        <v>#N/A</v>
      </c>
      <c r="G6" s="113" t="e">
        <f ca="1">uxb_profile2!G164</f>
        <v>#N/A</v>
      </c>
    </row>
    <row r="7" spans="1:10" ht="15.75">
      <c r="C7" s="104" t="s">
        <v>591</v>
      </c>
      <c r="D7" s="112" t="e">
        <f ca="1">uxb_profile2!D165</f>
        <v>#N/A</v>
      </c>
      <c r="E7" s="112" t="e">
        <f ca="1">uxb_profile2!E165</f>
        <v>#N/A</v>
      </c>
      <c r="F7" s="112" t="e">
        <f ca="1">uxb_profile2!F165</f>
        <v>#N/A</v>
      </c>
      <c r="G7" s="112" t="e">
        <f ca="1">uxb_profile2!G165</f>
        <v>#N/A</v>
      </c>
    </row>
    <row r="8" spans="1:10" ht="15.75">
      <c r="C8" s="104" t="s">
        <v>222</v>
      </c>
      <c r="D8" s="111" t="e">
        <f ca="1">uxb_profile2!D166</f>
        <v>#N/A</v>
      </c>
      <c r="E8" s="111" t="e">
        <f ca="1">uxb_profile2!E166</f>
        <v>#N/A</v>
      </c>
      <c r="F8" s="111" t="e">
        <f ca="1">uxb_profile2!F166</f>
        <v>#N/A</v>
      </c>
      <c r="G8" s="111" t="e">
        <f ca="1">uxb_profile2!G166</f>
        <v>#N/A</v>
      </c>
    </row>
    <row r="9" spans="1:10" ht="15.75">
      <c r="C9" s="104" t="s">
        <v>246</v>
      </c>
      <c r="D9" s="112" t="e">
        <f ca="1">uxb_profile2!D167</f>
        <v>#N/A</v>
      </c>
      <c r="E9" s="112" t="e">
        <f ca="1">uxb_profile2!E167</f>
        <v>#N/A</v>
      </c>
      <c r="F9" s="112" t="e">
        <f ca="1">uxb_profile2!F167</f>
        <v>#N/A</v>
      </c>
      <c r="G9" s="112" t="e">
        <f ca="1">uxb_profile2!G167</f>
        <v>#N/A</v>
      </c>
    </row>
    <row r="10" spans="1:10" ht="15.75">
      <c r="C10" s="104"/>
    </row>
    <row r="12" spans="1:10">
      <c r="C12" s="76"/>
    </row>
    <row r="15" spans="1:10">
      <c r="J15" s="78"/>
    </row>
    <row r="16" spans="1:10">
      <c r="J16" s="78"/>
    </row>
    <row r="17" spans="10:10">
      <c r="J17" s="78"/>
    </row>
    <row r="18" spans="10:10">
      <c r="J18" s="78"/>
    </row>
  </sheetData>
  <phoneticPr fontId="33" type="noConversion"/>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sheetPr codeName="Sheet18"/>
  <dimension ref="A1:M24"/>
  <sheetViews>
    <sheetView showGridLines="0" showRowColHeaders="0" workbookViewId="0">
      <pane ySplit="1" topLeftCell="A2" activePane="bottomLeft" state="frozen"/>
      <selection pane="bottomLeft"/>
    </sheetView>
  </sheetViews>
  <sheetFormatPr defaultRowHeight="12.75"/>
  <cols>
    <col min="1" max="1" width="3.85546875" customWidth="1"/>
    <col min="2" max="2" width="24.5703125" customWidth="1"/>
    <col min="3" max="3" width="2.7109375" customWidth="1"/>
    <col min="4" max="4" width="3.7109375" customWidth="1"/>
    <col min="5" max="5" width="3.28515625" hidden="1" customWidth="1"/>
    <col min="6" max="6" width="5" customWidth="1"/>
    <col min="7" max="7" width="18.140625" customWidth="1"/>
    <col min="8" max="8" width="11.42578125" customWidth="1"/>
    <col min="9" max="9" width="12.85546875" customWidth="1"/>
    <col min="10" max="10" width="12.28515625" customWidth="1"/>
    <col min="11" max="11" width="12.85546875" customWidth="1"/>
    <col min="12" max="12" width="13.5703125" customWidth="1"/>
    <col min="15" max="15" width="11.42578125" bestFit="1" customWidth="1"/>
  </cols>
  <sheetData>
    <row r="1" spans="1:13" s="74" customFormat="1" ht="21" customHeight="1">
      <c r="A1" s="74" t="s">
        <v>344</v>
      </c>
    </row>
    <row r="2" spans="1:13" s="79" customFormat="1" ht="1.5" customHeight="1">
      <c r="A2" s="87"/>
      <c r="B2" s="87"/>
      <c r="C2" s="87"/>
    </row>
    <row r="3" spans="1:13">
      <c r="A3" s="85"/>
      <c r="B3" s="85"/>
      <c r="C3" s="85"/>
    </row>
    <row r="4" spans="1:13" ht="27" customHeight="1">
      <c r="A4" s="85"/>
      <c r="B4" s="85"/>
      <c r="C4" s="85"/>
      <c r="F4" s="90"/>
      <c r="G4" s="90"/>
      <c r="H4" s="135" t="s">
        <v>343</v>
      </c>
      <c r="I4" s="135" t="str">
        <f ca="1">tblSections!B3</f>
        <v>Legal and regulatory framework</v>
      </c>
      <c r="J4" s="135" t="str">
        <f ca="1">tblSections!B4</f>
        <v>Institutional framework</v>
      </c>
      <c r="K4" s="135" t="str">
        <f ca="1">tblSections!B5</f>
        <v>Operational maturity</v>
      </c>
      <c r="L4" s="135" t="str">
        <f ca="1">tblSections!B6</f>
        <v>Investment climate</v>
      </c>
      <c r="M4" s="57"/>
    </row>
    <row r="5" spans="1:13" ht="5.25" customHeight="1">
      <c r="A5" s="85"/>
      <c r="B5" s="85"/>
      <c r="C5" s="85"/>
      <c r="F5" s="90"/>
      <c r="G5" s="90"/>
      <c r="H5" s="91"/>
      <c r="I5" s="91"/>
      <c r="J5" s="91"/>
      <c r="K5" s="106"/>
      <c r="L5" s="91"/>
    </row>
    <row r="6" spans="1:13">
      <c r="A6" s="85"/>
      <c r="B6" s="85"/>
      <c r="C6" s="85"/>
      <c r="E6">
        <f ca="1">uxb_summary_rank!BA13</f>
        <v>0</v>
      </c>
      <c r="F6" s="92">
        <f ca="1">uxb_summary_rank!BC13</f>
        <v>1</v>
      </c>
      <c r="G6" s="93" t="e">
        <f ca="1">uxb_summary_rank!AT13</f>
        <v>#N/A</v>
      </c>
      <c r="H6" s="94" t="e">
        <f ca="1">uxb_summary_rank!AU13</f>
        <v>#N/A</v>
      </c>
      <c r="I6" s="94" t="e">
        <f ca="1">uxb_summary_rank!AV13</f>
        <v>#N/A</v>
      </c>
      <c r="J6" s="94" t="e">
        <f ca="1">uxb_summary_rank!AW13</f>
        <v>#N/A</v>
      </c>
      <c r="K6" s="94" t="e">
        <f ca="1">uxb_summary_rank!AX13</f>
        <v>#N/A</v>
      </c>
      <c r="L6" s="94" t="e">
        <f ca="1">uxb_summary_rank!AY13</f>
        <v>#N/A</v>
      </c>
    </row>
    <row r="7" spans="1:13">
      <c r="A7" s="85"/>
      <c r="B7" s="85"/>
      <c r="C7" s="85"/>
      <c r="E7">
        <f ca="1">uxb_summary_rank!BA14</f>
        <v>0</v>
      </c>
      <c r="F7" s="92" t="str">
        <f ca="1">uxb_summary_rank!BC14</f>
        <v>=</v>
      </c>
      <c r="G7" s="93" t="e">
        <f ca="1">uxb_summary_rank!AT14</f>
        <v>#N/A</v>
      </c>
      <c r="H7" s="94" t="e">
        <f ca="1">uxb_summary_rank!AU14</f>
        <v>#N/A</v>
      </c>
      <c r="I7" s="94" t="e">
        <f ca="1">uxb_summary_rank!AV14</f>
        <v>#N/A</v>
      </c>
      <c r="J7" s="94" t="e">
        <f ca="1">uxb_summary_rank!AW14</f>
        <v>#N/A</v>
      </c>
      <c r="K7" s="94" t="e">
        <f ca="1">uxb_summary_rank!AX14</f>
        <v>#N/A</v>
      </c>
      <c r="L7" s="94" t="e">
        <f ca="1">uxb_summary_rank!AY14</f>
        <v>#N/A</v>
      </c>
    </row>
    <row r="8" spans="1:13">
      <c r="A8" s="85"/>
      <c r="B8" s="85"/>
      <c r="C8" s="85"/>
      <c r="E8">
        <f ca="1">uxb_summary_rank!BA15</f>
        <v>0</v>
      </c>
      <c r="F8" s="92" t="str">
        <f ca="1">uxb_summary_rank!BC15</f>
        <v>=</v>
      </c>
      <c r="G8" s="93" t="e">
        <f ca="1">uxb_summary_rank!AT15</f>
        <v>#N/A</v>
      </c>
      <c r="H8" s="94" t="e">
        <f ca="1">uxb_summary_rank!AU15</f>
        <v>#N/A</v>
      </c>
      <c r="I8" s="94" t="e">
        <f ca="1">uxb_summary_rank!AV15</f>
        <v>#N/A</v>
      </c>
      <c r="J8" s="94" t="e">
        <f ca="1">uxb_summary_rank!AW15</f>
        <v>#N/A</v>
      </c>
      <c r="K8" s="94" t="e">
        <f ca="1">uxb_summary_rank!AX15</f>
        <v>#N/A</v>
      </c>
      <c r="L8" s="94" t="e">
        <f ca="1">uxb_summary_rank!AY15</f>
        <v>#N/A</v>
      </c>
    </row>
    <row r="9" spans="1:13">
      <c r="A9" s="85"/>
      <c r="B9" s="85"/>
      <c r="C9" s="85"/>
      <c r="E9">
        <f ca="1">uxb_summary_rank!BA16</f>
        <v>0</v>
      </c>
      <c r="F9" s="92" t="str">
        <f ca="1">uxb_summary_rank!BC16</f>
        <v>=</v>
      </c>
      <c r="G9" s="93" t="e">
        <f ca="1">uxb_summary_rank!AT16</f>
        <v>#N/A</v>
      </c>
      <c r="H9" s="94" t="e">
        <f ca="1">uxb_summary_rank!AU16</f>
        <v>#N/A</v>
      </c>
      <c r="I9" s="94" t="e">
        <f ca="1">uxb_summary_rank!AV16</f>
        <v>#N/A</v>
      </c>
      <c r="J9" s="94" t="e">
        <f ca="1">uxb_summary_rank!AW16</f>
        <v>#N/A</v>
      </c>
      <c r="K9" s="94" t="e">
        <f ca="1">uxb_summary_rank!AX16</f>
        <v>#N/A</v>
      </c>
      <c r="L9" s="94" t="e">
        <f ca="1">uxb_summary_rank!AY16</f>
        <v>#N/A</v>
      </c>
    </row>
    <row r="10" spans="1:13">
      <c r="A10" s="85"/>
      <c r="B10" s="85"/>
      <c r="C10" s="85"/>
      <c r="E10">
        <f ca="1">uxb_summary_rank!BA17</f>
        <v>0</v>
      </c>
      <c r="F10" s="92" t="str">
        <f ca="1">uxb_summary_rank!BC17</f>
        <v>=</v>
      </c>
      <c r="G10" s="93" t="e">
        <f ca="1">uxb_summary_rank!AT17</f>
        <v>#N/A</v>
      </c>
      <c r="H10" s="94" t="e">
        <f ca="1">uxb_summary_rank!AU17</f>
        <v>#N/A</v>
      </c>
      <c r="I10" s="94" t="e">
        <f ca="1">uxb_summary_rank!AV17</f>
        <v>#N/A</v>
      </c>
      <c r="J10" s="94" t="e">
        <f ca="1">uxb_summary_rank!AW17</f>
        <v>#N/A</v>
      </c>
      <c r="K10" s="94" t="e">
        <f ca="1">uxb_summary_rank!AX17</f>
        <v>#N/A</v>
      </c>
      <c r="L10" s="94" t="e">
        <f ca="1">uxb_summary_rank!AY17</f>
        <v>#N/A</v>
      </c>
    </row>
    <row r="11" spans="1:13">
      <c r="A11" s="85"/>
      <c r="B11" s="115"/>
      <c r="C11" s="85"/>
      <c r="E11">
        <f ca="1">uxb_summary_rank!BA18</f>
        <v>0</v>
      </c>
      <c r="F11" s="92" t="str">
        <f ca="1">uxb_summary_rank!BC18</f>
        <v>=</v>
      </c>
      <c r="G11" s="93" t="e">
        <f ca="1">uxb_summary_rank!AT18</f>
        <v>#N/A</v>
      </c>
      <c r="H11" s="94" t="e">
        <f ca="1">uxb_summary_rank!AU18</f>
        <v>#N/A</v>
      </c>
      <c r="I11" s="94" t="e">
        <f ca="1">uxb_summary_rank!AV18</f>
        <v>#N/A</v>
      </c>
      <c r="J11" s="94" t="e">
        <f ca="1">uxb_summary_rank!AW18</f>
        <v>#N/A</v>
      </c>
      <c r="K11" s="94" t="e">
        <f ca="1">uxb_summary_rank!AX18</f>
        <v>#N/A</v>
      </c>
      <c r="L11" s="94" t="e">
        <f ca="1">uxb_summary_rank!AY18</f>
        <v>#N/A</v>
      </c>
    </row>
    <row r="12" spans="1:13">
      <c r="A12" s="85"/>
      <c r="B12" s="116"/>
      <c r="C12" s="116"/>
      <c r="E12">
        <f ca="1">uxb_summary_rank!BA19</f>
        <v>0</v>
      </c>
      <c r="F12" s="92" t="str">
        <f ca="1">uxb_summary_rank!BC19</f>
        <v>=</v>
      </c>
      <c r="G12" s="93" t="e">
        <f ca="1">uxb_summary_rank!AT19</f>
        <v>#N/A</v>
      </c>
      <c r="H12" s="94" t="e">
        <f ca="1">uxb_summary_rank!AU19</f>
        <v>#N/A</v>
      </c>
      <c r="I12" s="94" t="e">
        <f ca="1">uxb_summary_rank!AV19</f>
        <v>#N/A</v>
      </c>
      <c r="J12" s="94" t="e">
        <f ca="1">uxb_summary_rank!AW19</f>
        <v>#N/A</v>
      </c>
      <c r="K12" s="94" t="e">
        <f ca="1">uxb_summary_rank!AX19</f>
        <v>#N/A</v>
      </c>
      <c r="L12" s="94" t="e">
        <f ca="1">uxb_summary_rank!AY19</f>
        <v>#N/A</v>
      </c>
    </row>
    <row r="13" spans="1:13">
      <c r="A13" s="85"/>
      <c r="B13" s="116"/>
      <c r="C13" s="116"/>
      <c r="D13" s="65"/>
      <c r="E13">
        <f ca="1">uxb_summary_rank!BA20</f>
        <v>0</v>
      </c>
      <c r="F13" s="92" t="str">
        <f ca="1">uxb_summary_rank!BC20</f>
        <v>=</v>
      </c>
      <c r="G13" s="93" t="e">
        <f ca="1">uxb_summary_rank!AT20</f>
        <v>#N/A</v>
      </c>
      <c r="H13" s="94" t="e">
        <f ca="1">uxb_summary_rank!AU20</f>
        <v>#N/A</v>
      </c>
      <c r="I13" s="94" t="e">
        <f ca="1">uxb_summary_rank!AV20</f>
        <v>#N/A</v>
      </c>
      <c r="J13" s="94" t="e">
        <f ca="1">uxb_summary_rank!AW20</f>
        <v>#N/A</v>
      </c>
      <c r="K13" s="94" t="e">
        <f ca="1">uxb_summary_rank!AX20</f>
        <v>#N/A</v>
      </c>
      <c r="L13" s="94" t="e">
        <f ca="1">uxb_summary_rank!AY20</f>
        <v>#N/A</v>
      </c>
    </row>
    <row r="14" spans="1:13">
      <c r="A14" s="85"/>
      <c r="B14" s="116"/>
      <c r="C14" s="116"/>
      <c r="E14">
        <f ca="1">uxb_summary_rank!BA21</f>
        <v>0</v>
      </c>
      <c r="F14" s="92" t="str">
        <f ca="1">uxb_summary_rank!BC21</f>
        <v>=</v>
      </c>
      <c r="G14" s="93" t="e">
        <f ca="1">uxb_summary_rank!AT21</f>
        <v>#N/A</v>
      </c>
      <c r="H14" s="94" t="e">
        <f ca="1">uxb_summary_rank!AU21</f>
        <v>#N/A</v>
      </c>
      <c r="I14" s="94" t="e">
        <f ca="1">uxb_summary_rank!AV21</f>
        <v>#N/A</v>
      </c>
      <c r="J14" s="94" t="e">
        <f ca="1">uxb_summary_rank!AW21</f>
        <v>#N/A</v>
      </c>
      <c r="K14" s="94" t="e">
        <f ca="1">uxb_summary_rank!AX21</f>
        <v>#N/A</v>
      </c>
      <c r="L14" s="94" t="e">
        <f ca="1">uxb_summary_rank!AY21</f>
        <v>#N/A</v>
      </c>
    </row>
    <row r="15" spans="1:13">
      <c r="A15" s="85"/>
      <c r="B15" s="116"/>
      <c r="C15" s="116"/>
      <c r="E15">
        <f ca="1">uxb_summary_rank!BA22</f>
        <v>0</v>
      </c>
      <c r="F15" s="92" t="str">
        <f ca="1">uxb_summary_rank!BC22</f>
        <v>=</v>
      </c>
      <c r="G15" s="93" t="e">
        <f ca="1">uxb_summary_rank!AT22</f>
        <v>#N/A</v>
      </c>
      <c r="H15" s="94" t="e">
        <f ca="1">uxb_summary_rank!AU22</f>
        <v>#N/A</v>
      </c>
      <c r="I15" s="94" t="e">
        <f ca="1">uxb_summary_rank!AV22</f>
        <v>#N/A</v>
      </c>
      <c r="J15" s="94" t="e">
        <f ca="1">uxb_summary_rank!AW22</f>
        <v>#N/A</v>
      </c>
      <c r="K15" s="94" t="e">
        <f ca="1">uxb_summary_rank!AX22</f>
        <v>#N/A</v>
      </c>
      <c r="L15" s="94" t="e">
        <f ca="1">uxb_summary_rank!AY22</f>
        <v>#N/A</v>
      </c>
    </row>
    <row r="16" spans="1:13">
      <c r="A16" s="85"/>
      <c r="B16" s="116"/>
      <c r="C16" s="118"/>
      <c r="E16">
        <f ca="1">uxb_summary_rank!BA23</f>
        <v>0</v>
      </c>
      <c r="F16" s="92" t="str">
        <f ca="1">uxb_summary_rank!BC23</f>
        <v>=</v>
      </c>
      <c r="G16" s="93" t="e">
        <f ca="1">uxb_summary_rank!AT23</f>
        <v>#N/A</v>
      </c>
      <c r="H16" s="94" t="e">
        <f ca="1">uxb_summary_rank!AU23</f>
        <v>#N/A</v>
      </c>
      <c r="I16" s="94" t="e">
        <f ca="1">uxb_summary_rank!AV23</f>
        <v>#N/A</v>
      </c>
      <c r="J16" s="94" t="e">
        <f ca="1">uxb_summary_rank!AW23</f>
        <v>#N/A</v>
      </c>
      <c r="K16" s="94" t="e">
        <f ca="1">uxb_summary_rank!AX23</f>
        <v>#N/A</v>
      </c>
      <c r="L16" s="94" t="e">
        <f ca="1">uxb_summary_rank!AY23</f>
        <v>#N/A</v>
      </c>
    </row>
    <row r="17" spans="1:12">
      <c r="A17" s="85"/>
      <c r="B17" s="85"/>
      <c r="C17" s="85"/>
      <c r="E17">
        <f ca="1">uxb_summary_rank!BA24</f>
        <v>0</v>
      </c>
      <c r="F17" s="92" t="str">
        <f ca="1">uxb_summary_rank!BC24</f>
        <v>=</v>
      </c>
      <c r="G17" s="93" t="e">
        <f ca="1">uxb_summary_rank!AT24</f>
        <v>#N/A</v>
      </c>
      <c r="H17" s="94" t="e">
        <f ca="1">uxb_summary_rank!AU24</f>
        <v>#N/A</v>
      </c>
      <c r="I17" s="94" t="e">
        <f ca="1">uxb_summary_rank!AV24</f>
        <v>#N/A</v>
      </c>
      <c r="J17" s="94" t="e">
        <f ca="1">uxb_summary_rank!AW24</f>
        <v>#N/A</v>
      </c>
      <c r="K17" s="94" t="e">
        <f ca="1">uxb_summary_rank!AX24</f>
        <v>#N/A</v>
      </c>
      <c r="L17" s="94" t="e">
        <f ca="1">uxb_summary_rank!AY24</f>
        <v>#N/A</v>
      </c>
    </row>
    <row r="18" spans="1:12">
      <c r="A18" s="85"/>
      <c r="B18" s="115"/>
      <c r="C18" s="115"/>
      <c r="E18">
        <f ca="1">uxb_summary_rank!BA25</f>
        <v>0</v>
      </c>
      <c r="F18" s="92" t="str">
        <f ca="1">uxb_summary_rank!BC25</f>
        <v>=</v>
      </c>
      <c r="G18" s="93" t="e">
        <f ca="1">uxb_summary_rank!AT25</f>
        <v>#N/A</v>
      </c>
      <c r="H18" s="94" t="e">
        <f ca="1">uxb_summary_rank!AU25</f>
        <v>#N/A</v>
      </c>
      <c r="I18" s="94" t="e">
        <f ca="1">uxb_summary_rank!AV25</f>
        <v>#N/A</v>
      </c>
      <c r="J18" s="94" t="e">
        <f ca="1">uxb_summary_rank!AW25</f>
        <v>#N/A</v>
      </c>
      <c r="K18" s="94" t="e">
        <f ca="1">uxb_summary_rank!AX25</f>
        <v>#N/A</v>
      </c>
      <c r="L18" s="94" t="e">
        <f ca="1">uxb_summary_rank!AY25</f>
        <v>#N/A</v>
      </c>
    </row>
    <row r="19" spans="1:12">
      <c r="A19" s="85"/>
      <c r="B19" s="116"/>
      <c r="C19" s="119"/>
      <c r="E19">
        <f ca="1">uxb_summary_rank!BA26</f>
        <v>0</v>
      </c>
      <c r="F19" s="92" t="str">
        <f ca="1">uxb_summary_rank!BC26</f>
        <v>=</v>
      </c>
      <c r="G19" s="93" t="e">
        <f ca="1">uxb_summary_rank!AT26</f>
        <v>#N/A</v>
      </c>
      <c r="H19" s="94" t="e">
        <f ca="1">uxb_summary_rank!AU26</f>
        <v>#N/A</v>
      </c>
      <c r="I19" s="94" t="e">
        <f ca="1">uxb_summary_rank!AV26</f>
        <v>#N/A</v>
      </c>
      <c r="J19" s="94" t="e">
        <f ca="1">uxb_summary_rank!AW26</f>
        <v>#N/A</v>
      </c>
      <c r="K19" s="94" t="e">
        <f ca="1">uxb_summary_rank!AX26</f>
        <v>#N/A</v>
      </c>
      <c r="L19" s="94" t="e">
        <f ca="1">uxb_summary_rank!AY26</f>
        <v>#N/A</v>
      </c>
    </row>
    <row r="20" spans="1:12">
      <c r="A20" s="85"/>
      <c r="B20" s="116"/>
      <c r="C20" s="117"/>
      <c r="E20">
        <f ca="1">uxb_summary_rank!BA27</f>
        <v>0</v>
      </c>
      <c r="F20" s="92" t="str">
        <f ca="1">uxb_summary_rank!BC27</f>
        <v>=</v>
      </c>
      <c r="G20" s="93" t="e">
        <f ca="1">uxb_summary_rank!AT27</f>
        <v>#N/A</v>
      </c>
      <c r="H20" s="94" t="e">
        <f ca="1">uxb_summary_rank!AU27</f>
        <v>#N/A</v>
      </c>
      <c r="I20" s="94" t="e">
        <f ca="1">uxb_summary_rank!AV27</f>
        <v>#N/A</v>
      </c>
      <c r="J20" s="94" t="e">
        <f ca="1">uxb_summary_rank!AW27</f>
        <v>#N/A</v>
      </c>
      <c r="K20" s="94" t="e">
        <f ca="1">uxb_summary_rank!AX27</f>
        <v>#N/A</v>
      </c>
      <c r="L20" s="94" t="e">
        <f ca="1">uxb_summary_rank!AY27</f>
        <v>#N/A</v>
      </c>
    </row>
    <row r="21" spans="1:12">
      <c r="A21" s="85"/>
      <c r="B21" s="116"/>
      <c r="C21" s="120"/>
      <c r="E21">
        <f ca="1">uxb_summary_rank!BA28</f>
        <v>0</v>
      </c>
      <c r="F21" s="92" t="str">
        <f ca="1">uxb_summary_rank!BC28</f>
        <v>=</v>
      </c>
      <c r="G21" s="93" t="e">
        <f ca="1">uxb_summary_rank!AT28</f>
        <v>#N/A</v>
      </c>
      <c r="H21" s="94" t="e">
        <f ca="1">uxb_summary_rank!AU28</f>
        <v>#N/A</v>
      </c>
      <c r="I21" s="94" t="e">
        <f ca="1">uxb_summary_rank!AV28</f>
        <v>#N/A</v>
      </c>
      <c r="J21" s="94" t="e">
        <f ca="1">uxb_summary_rank!AW28</f>
        <v>#N/A</v>
      </c>
      <c r="K21" s="94" t="e">
        <f ca="1">uxb_summary_rank!AX28</f>
        <v>#N/A</v>
      </c>
      <c r="L21" s="94" t="e">
        <f ca="1">uxb_summary_rank!AY28</f>
        <v>#N/A</v>
      </c>
    </row>
    <row r="22" spans="1:12">
      <c r="A22" s="85"/>
      <c r="B22" s="85"/>
      <c r="C22" s="85"/>
      <c r="E22">
        <f ca="1">uxb_summary_rank!BA29</f>
        <v>0</v>
      </c>
      <c r="F22" s="92" t="str">
        <f ca="1">uxb_summary_rank!BC29</f>
        <v>=</v>
      </c>
      <c r="G22" s="93" t="e">
        <f ca="1">uxb_summary_rank!AT29</f>
        <v>#N/A</v>
      </c>
      <c r="H22" s="94" t="e">
        <f ca="1">uxb_summary_rank!AU29</f>
        <v>#N/A</v>
      </c>
      <c r="I22" s="94" t="e">
        <f ca="1">uxb_summary_rank!AV29</f>
        <v>#N/A</v>
      </c>
      <c r="J22" s="94" t="e">
        <f ca="1">uxb_summary_rank!AW29</f>
        <v>#N/A</v>
      </c>
      <c r="K22" s="94" t="e">
        <f ca="1">uxb_summary_rank!AX29</f>
        <v>#N/A</v>
      </c>
      <c r="L22" s="94" t="e">
        <f ca="1">uxb_summary_rank!AY29</f>
        <v>#N/A</v>
      </c>
    </row>
    <row r="23" spans="1:12">
      <c r="A23" s="85"/>
      <c r="B23" s="115"/>
      <c r="C23" s="85"/>
      <c r="E23">
        <f ca="1">uxb_summary_rank!BA30</f>
        <v>0</v>
      </c>
      <c r="F23" s="92" t="str">
        <f ca="1">uxb_summary_rank!BC30</f>
        <v>=</v>
      </c>
      <c r="G23" s="93" t="e">
        <f ca="1">uxb_summary_rank!AT30</f>
        <v>#N/A</v>
      </c>
      <c r="H23" s="94" t="e">
        <f ca="1">uxb_summary_rank!AU30</f>
        <v>#N/A</v>
      </c>
      <c r="I23" s="94" t="e">
        <f ca="1">uxb_summary_rank!AV30</f>
        <v>#N/A</v>
      </c>
      <c r="J23" s="94" t="e">
        <f ca="1">uxb_summary_rank!AW30</f>
        <v>#N/A</v>
      </c>
      <c r="K23" s="94" t="e">
        <f ca="1">uxb_summary_rank!AX30</f>
        <v>#N/A</v>
      </c>
      <c r="L23" s="94" t="e">
        <f ca="1">uxb_summary_rank!AY30</f>
        <v>#N/A</v>
      </c>
    </row>
    <row r="24" spans="1:12">
      <c r="A24" s="85"/>
      <c r="B24" s="116"/>
      <c r="C24" s="117"/>
      <c r="E24">
        <f ca="1">uxb_summary_rank!BA31</f>
        <v>0</v>
      </c>
      <c r="F24" s="92" t="str">
        <f ca="1">uxb_summary_rank!BC31</f>
        <v>=</v>
      </c>
      <c r="G24" s="93" t="e">
        <f ca="1">uxb_summary_rank!AT31</f>
        <v>#N/A</v>
      </c>
      <c r="H24" s="94" t="e">
        <f ca="1">uxb_summary_rank!AU31</f>
        <v>#N/A</v>
      </c>
      <c r="I24" s="94" t="e">
        <f ca="1">uxb_summary_rank!AV31</f>
        <v>#N/A</v>
      </c>
      <c r="J24" s="94" t="e">
        <f ca="1">uxb_summary_rank!AW31</f>
        <v>#N/A</v>
      </c>
      <c r="K24" s="94" t="e">
        <f ca="1">uxb_summary_rank!AX31</f>
        <v>#N/A</v>
      </c>
      <c r="L24" s="94" t="e">
        <f ca="1">uxb_summary_rank!AY31</f>
        <v>#N/A</v>
      </c>
    </row>
  </sheetData>
  <phoneticPr fontId="44" type="noConversion"/>
  <conditionalFormatting sqref="F6:L24">
    <cfRule type="expression" dxfId="29" priority="1" stopIfTrue="1">
      <formula>$E6=0</formula>
    </cfRule>
    <cfRule type="expression" dxfId="28" priority="2" stopIfTrue="1">
      <formula>$E6=3</formula>
    </cfRule>
    <cfRule type="expression" dxfId="27" priority="3" stopIfTrue="1">
      <formula>$E6=2</formula>
    </cfRule>
  </conditionalFormatting>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sheetPr codeName="Sheet19"/>
  <dimension ref="A1:BM22"/>
  <sheetViews>
    <sheetView showGridLines="0" showRowColHeaders="0" zoomScale="95" zoomScaleNormal="80" workbookViewId="0">
      <selection activeCell="F35" sqref="F35"/>
    </sheetView>
  </sheetViews>
  <sheetFormatPr defaultRowHeight="12.75"/>
  <cols>
    <col min="1" max="1" width="2.28515625" customWidth="1"/>
    <col min="2" max="2" width="1.140625" customWidth="1"/>
    <col min="3" max="3" width="0.5703125" customWidth="1"/>
    <col min="4" max="4" width="3.85546875" bestFit="1" customWidth="1"/>
    <col min="5" max="5" width="16.5703125" bestFit="1" customWidth="1"/>
    <col min="6" max="6" width="6" customWidth="1"/>
    <col min="7" max="12" width="0.5703125" customWidth="1"/>
    <col min="13" max="13" width="3.5703125" hidden="1" customWidth="1"/>
    <col min="14" max="14" width="3.85546875" bestFit="1" customWidth="1"/>
    <col min="15" max="15" width="16.5703125" bestFit="1" customWidth="1"/>
    <col min="16" max="16" width="8.85546875" customWidth="1"/>
    <col min="17" max="22" width="0.5703125" customWidth="1"/>
    <col min="23" max="23" width="3.5703125" hidden="1" customWidth="1"/>
    <col min="24" max="24" width="3.85546875" bestFit="1" customWidth="1"/>
    <col min="25" max="25" width="16.5703125" bestFit="1" customWidth="1"/>
    <col min="26" max="26" width="6" customWidth="1"/>
    <col min="27" max="32" width="0.5703125" customWidth="1"/>
    <col min="33" max="33" width="3.5703125" hidden="1" customWidth="1"/>
    <col min="34" max="34" width="3.85546875" bestFit="1" customWidth="1"/>
    <col min="35" max="35" width="16.5703125" bestFit="1" customWidth="1"/>
    <col min="36" max="36" width="6" customWidth="1"/>
    <col min="37" max="42" width="0.5703125" customWidth="1"/>
    <col min="43" max="43" width="3.5703125" hidden="1" customWidth="1"/>
    <col min="44" max="44" width="3.85546875" bestFit="1" customWidth="1"/>
    <col min="45" max="45" width="16.5703125" bestFit="1" customWidth="1"/>
    <col min="46" max="46" width="6" customWidth="1"/>
    <col min="47" max="52" width="0.5703125" customWidth="1"/>
    <col min="53" max="53" width="3.5703125" hidden="1" customWidth="1"/>
    <col min="54" max="54" width="3.85546875" bestFit="1" customWidth="1"/>
    <col min="55" max="55" width="16.5703125" bestFit="1" customWidth="1"/>
    <col min="56" max="56" width="6" customWidth="1"/>
  </cols>
  <sheetData>
    <row r="1" spans="1:65" s="74" customFormat="1" ht="21" customHeight="1">
      <c r="A1" s="150" t="s">
        <v>344</v>
      </c>
      <c r="B1" s="149"/>
      <c r="C1" s="149"/>
      <c r="D1" s="149"/>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49"/>
      <c r="AJ1" s="149"/>
      <c r="AK1" s="149"/>
      <c r="AL1" s="149"/>
      <c r="AM1" s="149"/>
      <c r="AN1" s="149"/>
      <c r="AO1" s="149"/>
      <c r="AP1" s="149"/>
      <c r="AQ1" s="149"/>
      <c r="AR1" s="149"/>
      <c r="AS1" s="149"/>
      <c r="AT1" s="149"/>
      <c r="AU1" s="149"/>
      <c r="AV1" s="149"/>
      <c r="AW1" s="149"/>
      <c r="AX1" s="149"/>
      <c r="AY1" s="149"/>
      <c r="AZ1" s="149"/>
      <c r="BA1" s="149"/>
      <c r="BB1" s="149"/>
      <c r="BC1" s="149"/>
      <c r="BD1" s="149"/>
      <c r="BE1" s="149"/>
      <c r="BF1" s="149"/>
      <c r="BG1" s="149"/>
      <c r="BH1" s="149"/>
      <c r="BI1" s="149"/>
      <c r="BJ1" s="149"/>
      <c r="BK1" s="149"/>
      <c r="BL1" s="149"/>
      <c r="BM1" s="149"/>
    </row>
    <row r="3" spans="1:65" s="141" customFormat="1" ht="16.5" customHeight="1">
      <c r="D3" s="156" t="str">
        <f ca="1">tblSections!B2</f>
        <v>OVERALL SCORE</v>
      </c>
      <c r="E3" s="142"/>
      <c r="F3" s="142"/>
      <c r="N3" s="155" t="str">
        <f ca="1">tblSections!B3</f>
        <v>Legal and regulatory framework</v>
      </c>
      <c r="O3" s="143"/>
      <c r="P3" s="143"/>
      <c r="X3" s="155" t="str">
        <f ca="1">tblSections!B4</f>
        <v>Institutional framework</v>
      </c>
      <c r="Y3" s="143"/>
      <c r="Z3" s="143"/>
      <c r="AH3" s="155" t="str">
        <f ca="1">tblSections!B5</f>
        <v>Operational maturity</v>
      </c>
      <c r="AI3" s="143"/>
      <c r="AJ3" s="143"/>
      <c r="AR3" s="155" t="str">
        <f ca="1">tblSections!B6</f>
        <v>Investment climate</v>
      </c>
      <c r="AS3" s="143"/>
      <c r="AT3" s="143"/>
      <c r="BB3" s="155" t="str">
        <f ca="1">tblSections!B7</f>
        <v>Financial facilities</v>
      </c>
      <c r="BC3" s="143"/>
      <c r="BD3" s="143"/>
    </row>
    <row r="4" spans="1:65" ht="14.25">
      <c r="C4">
        <f ca="1">uxb_rank!AS13</f>
        <v>1</v>
      </c>
      <c r="D4" s="151">
        <f ca="1">uxb_rank!AU13</f>
        <v>1</v>
      </c>
      <c r="E4" s="152" t="str">
        <f ca="1">uxb_rank!AQ13</f>
        <v xml:space="preserve">Chile </v>
      </c>
      <c r="F4" s="153">
        <f ca="1">uxb_rank!AR13</f>
        <v>65.290000000000006</v>
      </c>
      <c r="G4" s="154"/>
      <c r="H4" s="154"/>
      <c r="I4" s="154"/>
      <c r="J4" s="154"/>
      <c r="K4" s="154"/>
      <c r="L4" s="154"/>
      <c r="M4" s="154">
        <f ca="1">uxb_rank!BC13</f>
        <v>1</v>
      </c>
      <c r="N4" s="151">
        <f ca="1">uxb_rank!BE13</f>
        <v>1</v>
      </c>
      <c r="O4" s="152" t="str">
        <f ca="1">uxb_rank!BA13</f>
        <v xml:space="preserve">Chile </v>
      </c>
      <c r="P4" s="153">
        <f ca="1">uxb_rank!BB13</f>
        <v>61.11</v>
      </c>
      <c r="Q4" s="154"/>
      <c r="R4" s="154"/>
      <c r="S4" s="154"/>
      <c r="T4" s="154"/>
      <c r="U4" s="154"/>
      <c r="V4" s="154"/>
      <c r="W4" s="154">
        <f ca="1">uxb_rank!BM13</f>
        <v>1</v>
      </c>
      <c r="X4" s="151">
        <f ca="1">uxb_rank!BO13</f>
        <v>1</v>
      </c>
      <c r="Y4" s="152" t="str">
        <f ca="1">uxb_rank!BK13</f>
        <v>Brazil</v>
      </c>
      <c r="Z4" s="153">
        <f ca="1">uxb_rank!BL13</f>
        <v>62.5</v>
      </c>
      <c r="AA4" s="154"/>
      <c r="AB4" s="154"/>
      <c r="AC4" s="154"/>
      <c r="AD4" s="154"/>
      <c r="AE4" s="154"/>
      <c r="AF4" s="154"/>
      <c r="AG4" s="154">
        <f ca="1">uxb_rank!BW13</f>
        <v>1</v>
      </c>
      <c r="AH4" s="151">
        <f ca="1">uxb_rank!BY13</f>
        <v>1</v>
      </c>
      <c r="AI4" s="152" t="str">
        <f ca="1">uxb_rank!BU13</f>
        <v xml:space="preserve">Chile </v>
      </c>
      <c r="AJ4" s="153">
        <f ca="1">uxb_rank!BV13</f>
        <v>77.819999999999993</v>
      </c>
      <c r="AK4" s="154"/>
      <c r="AL4" s="154"/>
      <c r="AM4" s="154"/>
      <c r="AN4" s="154"/>
      <c r="AO4" s="154"/>
      <c r="AP4" s="154"/>
      <c r="AQ4" s="154">
        <f ca="1">uxb_rank!CG13</f>
        <v>1</v>
      </c>
      <c r="AR4" s="151">
        <f ca="1">uxb_rank!CI13</f>
        <v>1</v>
      </c>
      <c r="AS4" s="152" t="str">
        <f ca="1">uxb_rank!CE13</f>
        <v xml:space="preserve">Chile </v>
      </c>
      <c r="AT4" s="153">
        <f ca="1">uxb_rank!CF13</f>
        <v>93.03</v>
      </c>
      <c r="AU4" s="154"/>
      <c r="AV4" s="154"/>
      <c r="AW4" s="154"/>
      <c r="AX4" s="154"/>
      <c r="AY4" s="154"/>
      <c r="AZ4" s="154"/>
      <c r="BA4" s="154">
        <f ca="1">uxb_rank!CQ13</f>
        <v>1</v>
      </c>
      <c r="BB4" s="151">
        <f ca="1">uxb_rank!CS13</f>
        <v>1</v>
      </c>
      <c r="BC4" s="152" t="str">
        <f ca="1">uxb_rank!CO13</f>
        <v xml:space="preserve">Chile </v>
      </c>
      <c r="BD4" s="153">
        <f ca="1">uxb_rank!CP13</f>
        <v>95.83</v>
      </c>
    </row>
    <row r="5" spans="1:65" ht="14.25">
      <c r="C5">
        <f ca="1">uxb_rank!AS14</f>
        <v>1</v>
      </c>
      <c r="D5" s="151">
        <f ca="1">uxb_rank!AU14</f>
        <v>2</v>
      </c>
      <c r="E5" s="152" t="str">
        <f ca="1">uxb_rank!AQ14</f>
        <v>Brazil</v>
      </c>
      <c r="F5" s="153">
        <f ca="1">uxb_rank!AR14</f>
        <v>60.71</v>
      </c>
      <c r="G5" s="154"/>
      <c r="H5" s="154"/>
      <c r="I5" s="154"/>
      <c r="J5" s="154"/>
      <c r="K5" s="154"/>
      <c r="L5" s="154"/>
      <c r="M5" s="154">
        <f ca="1">uxb_rank!BC14</f>
        <v>1</v>
      </c>
      <c r="N5" s="151">
        <f ca="1">uxb_rank!BE14</f>
        <v>2</v>
      </c>
      <c r="O5" s="152" t="str">
        <f ca="1">uxb_rank!BA14</f>
        <v>Peru</v>
      </c>
      <c r="P5" s="153">
        <f ca="1">uxb_rank!BB14</f>
        <v>52.78</v>
      </c>
      <c r="Q5" s="154"/>
      <c r="R5" s="154"/>
      <c r="S5" s="154"/>
      <c r="T5" s="154"/>
      <c r="U5" s="154"/>
      <c r="V5" s="154"/>
      <c r="W5" s="154">
        <f ca="1">uxb_rank!BM14</f>
        <v>1</v>
      </c>
      <c r="X5" s="151" t="str">
        <f ca="1">uxb_rank!BO14</f>
        <v>=2</v>
      </c>
      <c r="Y5" s="152" t="str">
        <f ca="1">uxb_rank!BK14</f>
        <v xml:space="preserve">Chile </v>
      </c>
      <c r="Z5" s="153">
        <f ca="1">uxb_rank!BL14</f>
        <v>50</v>
      </c>
      <c r="AA5" s="154"/>
      <c r="AB5" s="154"/>
      <c r="AC5" s="154"/>
      <c r="AD5" s="154"/>
      <c r="AE5" s="154"/>
      <c r="AF5" s="154"/>
      <c r="AG5" s="154">
        <f ca="1">uxb_rank!BW14</f>
        <v>1</v>
      </c>
      <c r="AH5" s="151">
        <f ca="1">uxb_rank!BY14</f>
        <v>2</v>
      </c>
      <c r="AI5" s="152" t="str">
        <f ca="1">uxb_rank!BU14</f>
        <v>Brazil</v>
      </c>
      <c r="AJ5" s="153">
        <f ca="1">uxb_rank!BV14</f>
        <v>73.73</v>
      </c>
      <c r="AK5" s="154"/>
      <c r="AL5" s="154"/>
      <c r="AM5" s="154"/>
      <c r="AN5" s="154"/>
      <c r="AO5" s="154"/>
      <c r="AP5" s="154"/>
      <c r="AQ5" s="154">
        <f ca="1">uxb_rank!CG14</f>
        <v>1</v>
      </c>
      <c r="AR5" s="151">
        <f ca="1">uxb_rank!CI14</f>
        <v>2</v>
      </c>
      <c r="AS5" s="152" t="str">
        <f ca="1">uxb_rank!CE14</f>
        <v>Brazil</v>
      </c>
      <c r="AT5" s="153">
        <f ca="1">uxb_rank!CF14</f>
        <v>77.2</v>
      </c>
      <c r="AU5" s="154"/>
      <c r="AV5" s="154"/>
      <c r="AW5" s="154"/>
      <c r="AX5" s="154"/>
      <c r="AY5" s="154"/>
      <c r="AZ5" s="154"/>
      <c r="BA5" s="154">
        <f ca="1">uxb_rank!CQ14</f>
        <v>3</v>
      </c>
      <c r="BB5" s="151">
        <f ca="1">uxb_rank!CS14</f>
        <v>2</v>
      </c>
      <c r="BC5" s="152" t="str">
        <f ca="1">uxb_rank!CO14</f>
        <v>Mexico</v>
      </c>
      <c r="BD5" s="153">
        <f ca="1">uxb_rank!CP14</f>
        <v>66.67</v>
      </c>
    </row>
    <row r="6" spans="1:65" ht="14.25">
      <c r="C6">
        <f ca="1">uxb_rank!AS15</f>
        <v>1</v>
      </c>
      <c r="D6" s="151">
        <f ca="1">uxb_rank!AU15</f>
        <v>3</v>
      </c>
      <c r="E6" s="152" t="str">
        <f ca="1">uxb_rank!AQ15</f>
        <v>Peru</v>
      </c>
      <c r="F6" s="153">
        <f ca="1">uxb_rank!AR15</f>
        <v>53.76</v>
      </c>
      <c r="G6" s="154"/>
      <c r="H6" s="154"/>
      <c r="I6" s="154"/>
      <c r="J6" s="154"/>
      <c r="K6" s="154"/>
      <c r="L6" s="154"/>
      <c r="M6" s="154">
        <f ca="1">uxb_rank!BC15</f>
        <v>1</v>
      </c>
      <c r="N6" s="151">
        <f ca="1">uxb_rank!BE15</f>
        <v>3</v>
      </c>
      <c r="O6" s="152" t="str">
        <f ca="1">uxb_rank!BA15</f>
        <v>Brazil</v>
      </c>
      <c r="P6" s="153">
        <f ca="1">uxb_rank!BB15</f>
        <v>50</v>
      </c>
      <c r="Q6" s="154"/>
      <c r="R6" s="154"/>
      <c r="S6" s="154"/>
      <c r="T6" s="154"/>
      <c r="U6" s="154"/>
      <c r="V6" s="154"/>
      <c r="W6" s="154">
        <f ca="1">uxb_rank!BM15</f>
        <v>1</v>
      </c>
      <c r="X6" s="151" t="str">
        <f ca="1">uxb_rank!BO15</f>
        <v>=2</v>
      </c>
      <c r="Y6" s="152" t="str">
        <f ca="1">uxb_rank!BK15</f>
        <v>Peru</v>
      </c>
      <c r="Z6" s="153">
        <f ca="1">uxb_rank!BL15</f>
        <v>50</v>
      </c>
      <c r="AA6" s="154"/>
      <c r="AB6" s="154"/>
      <c r="AC6" s="154"/>
      <c r="AD6" s="154"/>
      <c r="AE6" s="154"/>
      <c r="AF6" s="154"/>
      <c r="AG6" s="154">
        <f ca="1">uxb_rank!BW15</f>
        <v>1</v>
      </c>
      <c r="AH6" s="151">
        <f ca="1">uxb_rank!BY15</f>
        <v>3</v>
      </c>
      <c r="AI6" s="152" t="str">
        <f ca="1">uxb_rank!BU15</f>
        <v>Colombia</v>
      </c>
      <c r="AJ6" s="153">
        <f ca="1">uxb_rank!BV15</f>
        <v>58.35</v>
      </c>
      <c r="AK6" s="154"/>
      <c r="AL6" s="154"/>
      <c r="AM6" s="154"/>
      <c r="AN6" s="154"/>
      <c r="AO6" s="154"/>
      <c r="AP6" s="154"/>
      <c r="AQ6" s="154">
        <f ca="1">uxb_rank!CG15</f>
        <v>1</v>
      </c>
      <c r="AR6" s="151">
        <f ca="1">uxb_rank!CI15</f>
        <v>3</v>
      </c>
      <c r="AS6" s="152" t="str">
        <f ca="1">uxb_rank!CE15</f>
        <v>Uruguay</v>
      </c>
      <c r="AT6" s="153">
        <f ca="1">uxb_rank!CF15</f>
        <v>76.22</v>
      </c>
      <c r="AU6" s="154"/>
      <c r="AV6" s="154"/>
      <c r="AW6" s="154"/>
      <c r="AX6" s="154"/>
      <c r="AY6" s="154"/>
      <c r="AZ6" s="154"/>
      <c r="BA6" s="154">
        <f ca="1">uxb_rank!CQ15</f>
        <v>1</v>
      </c>
      <c r="BB6" s="151">
        <f ca="1">uxb_rank!CS15</f>
        <v>3</v>
      </c>
      <c r="BC6" s="152" t="str">
        <f ca="1">uxb_rank!CO15</f>
        <v>Brazil</v>
      </c>
      <c r="BD6" s="153">
        <f ca="1">uxb_rank!CP15</f>
        <v>62.5</v>
      </c>
    </row>
    <row r="7" spans="1:65" ht="14.25">
      <c r="C7">
        <f ca="1">uxb_rank!AS16</f>
        <v>3</v>
      </c>
      <c r="D7" s="151">
        <f ca="1">uxb_rank!AU16</f>
        <v>4</v>
      </c>
      <c r="E7" s="152" t="str">
        <f ca="1">uxb_rank!AQ16</f>
        <v>Mexico</v>
      </c>
      <c r="F7" s="153">
        <f ca="1">uxb_rank!AR16</f>
        <v>44.59</v>
      </c>
      <c r="G7" s="154"/>
      <c r="H7" s="154"/>
      <c r="I7" s="154"/>
      <c r="J7" s="154"/>
      <c r="K7" s="154"/>
      <c r="L7" s="154"/>
      <c r="M7" s="154">
        <f ca="1">uxb_rank!BC16</f>
        <v>1</v>
      </c>
      <c r="N7" s="151">
        <f ca="1">uxb_rank!BE16</f>
        <v>4</v>
      </c>
      <c r="O7" s="152" t="str">
        <f ca="1">uxb_rank!BA16</f>
        <v>Costa Rica</v>
      </c>
      <c r="P7" s="153">
        <f ca="1">uxb_rank!BB16</f>
        <v>41.67</v>
      </c>
      <c r="Q7" s="154"/>
      <c r="R7" s="154"/>
      <c r="S7" s="154"/>
      <c r="T7" s="154"/>
      <c r="U7" s="154"/>
      <c r="V7" s="154"/>
      <c r="W7" s="154">
        <f ca="1">uxb_rank!BM16</f>
        <v>1</v>
      </c>
      <c r="X7" s="151" t="str">
        <f ca="1">uxb_rank!BO16</f>
        <v>=4</v>
      </c>
      <c r="Y7" s="152" t="str">
        <f ca="1">uxb_rank!BK16</f>
        <v>Colombia</v>
      </c>
      <c r="Z7" s="153">
        <f ca="1">uxb_rank!BL16</f>
        <v>37.5</v>
      </c>
      <c r="AA7" s="154"/>
      <c r="AB7" s="154"/>
      <c r="AC7" s="154"/>
      <c r="AD7" s="154"/>
      <c r="AE7" s="154"/>
      <c r="AF7" s="154"/>
      <c r="AG7" s="154">
        <f ca="1">uxb_rank!BW16</f>
        <v>1</v>
      </c>
      <c r="AH7" s="151">
        <f ca="1">uxb_rank!BY16</f>
        <v>4</v>
      </c>
      <c r="AI7" s="152" t="str">
        <f ca="1">uxb_rank!BU16</f>
        <v>Peru</v>
      </c>
      <c r="AJ7" s="153">
        <f ca="1">uxb_rank!BV16</f>
        <v>55.67</v>
      </c>
      <c r="AK7" s="154"/>
      <c r="AL7" s="154"/>
      <c r="AM7" s="154"/>
      <c r="AN7" s="154"/>
      <c r="AO7" s="154"/>
      <c r="AP7" s="154"/>
      <c r="AQ7" s="154">
        <f ca="1">uxb_rank!CG16</f>
        <v>1</v>
      </c>
      <c r="AR7" s="151">
        <f ca="1">uxb_rank!CI16</f>
        <v>4</v>
      </c>
      <c r="AS7" s="152" t="str">
        <f ca="1">uxb_rank!CE16</f>
        <v>Peru</v>
      </c>
      <c r="AT7" s="153">
        <f ca="1">uxb_rank!CF16</f>
        <v>70.040000000000006</v>
      </c>
      <c r="AU7" s="154"/>
      <c r="AV7" s="154"/>
      <c r="AW7" s="154"/>
      <c r="AX7" s="154"/>
      <c r="AY7" s="154"/>
      <c r="AZ7" s="154"/>
      <c r="BA7" s="154">
        <f ca="1">uxb_rank!CQ16</f>
        <v>1</v>
      </c>
      <c r="BB7" s="151" t="str">
        <f ca="1">uxb_rank!CS16</f>
        <v>=4</v>
      </c>
      <c r="BC7" s="152" t="str">
        <f ca="1">uxb_rank!CO16</f>
        <v>Panama</v>
      </c>
      <c r="BD7" s="153">
        <f ca="1">uxb_rank!CP16</f>
        <v>58.33</v>
      </c>
    </row>
    <row r="8" spans="1:65" ht="14.25">
      <c r="C8">
        <f ca="1">uxb_rank!AS17</f>
        <v>1</v>
      </c>
      <c r="D8" s="151">
        <f ca="1">uxb_rank!AU17</f>
        <v>5</v>
      </c>
      <c r="E8" s="152" t="str">
        <f ca="1">uxb_rank!AQ17</f>
        <v>Colombia</v>
      </c>
      <c r="F8" s="153">
        <f ca="1">uxb_rank!AR17</f>
        <v>42.37</v>
      </c>
      <c r="G8" s="154"/>
      <c r="H8" s="154"/>
      <c r="I8" s="154"/>
      <c r="J8" s="154"/>
      <c r="K8" s="154"/>
      <c r="L8" s="154"/>
      <c r="M8" s="154">
        <f ca="1">uxb_rank!BC17</f>
        <v>3</v>
      </c>
      <c r="N8" s="151">
        <f ca="1">uxb_rank!BE17</f>
        <v>5</v>
      </c>
      <c r="O8" s="152" t="str">
        <f ca="1">uxb_rank!BA17</f>
        <v>Mexico</v>
      </c>
      <c r="P8" s="153">
        <f ca="1">uxb_rank!BB17</f>
        <v>38.89</v>
      </c>
      <c r="Q8" s="154"/>
      <c r="R8" s="154"/>
      <c r="S8" s="154"/>
      <c r="T8" s="154"/>
      <c r="U8" s="154"/>
      <c r="V8" s="154"/>
      <c r="W8" s="154">
        <f ca="1">uxb_rank!BM17</f>
        <v>1</v>
      </c>
      <c r="X8" s="151" t="str">
        <f ca="1">uxb_rank!BO17</f>
        <v>=4</v>
      </c>
      <c r="Y8" s="152" t="str">
        <f ca="1">uxb_rank!BK17</f>
        <v>Honduras</v>
      </c>
      <c r="Z8" s="153">
        <f ca="1">uxb_rank!BL17</f>
        <v>37.5</v>
      </c>
      <c r="AA8" s="154"/>
      <c r="AB8" s="154"/>
      <c r="AC8" s="154"/>
      <c r="AD8" s="154"/>
      <c r="AE8" s="154"/>
      <c r="AF8" s="154"/>
      <c r="AG8" s="154">
        <f ca="1">uxb_rank!BW17</f>
        <v>1</v>
      </c>
      <c r="AH8" s="151">
        <f ca="1">uxb_rank!BY17</f>
        <v>5</v>
      </c>
      <c r="AI8" s="152" t="str">
        <f ca="1">uxb_rank!BU17</f>
        <v>Costa Rica</v>
      </c>
      <c r="AJ8" s="153">
        <f ca="1">uxb_rank!BV17</f>
        <v>54.63</v>
      </c>
      <c r="AK8" s="154"/>
      <c r="AL8" s="154"/>
      <c r="AM8" s="154"/>
      <c r="AN8" s="154"/>
      <c r="AO8" s="154"/>
      <c r="AP8" s="154"/>
      <c r="AQ8" s="154">
        <f ca="1">uxb_rank!CG17</f>
        <v>3</v>
      </c>
      <c r="AR8" s="151">
        <f ca="1">uxb_rank!CI17</f>
        <v>5</v>
      </c>
      <c r="AS8" s="152" t="str">
        <f ca="1">uxb_rank!CE17</f>
        <v>Mexico</v>
      </c>
      <c r="AT8" s="153">
        <f ca="1">uxb_rank!CF17</f>
        <v>65.14</v>
      </c>
      <c r="AU8" s="154"/>
      <c r="AV8" s="154"/>
      <c r="AW8" s="154"/>
      <c r="AX8" s="154"/>
      <c r="AY8" s="154"/>
      <c r="AZ8" s="154"/>
      <c r="BA8" s="154">
        <f ca="1">uxb_rank!CQ17</f>
        <v>1</v>
      </c>
      <c r="BB8" s="151" t="str">
        <f ca="1">uxb_rank!CS17</f>
        <v>=4</v>
      </c>
      <c r="BC8" s="152" t="str">
        <f ca="1">uxb_rank!CO17</f>
        <v>Peru</v>
      </c>
      <c r="BD8" s="153">
        <f ca="1">uxb_rank!CP17</f>
        <v>58.33</v>
      </c>
    </row>
    <row r="9" spans="1:65" ht="14.25">
      <c r="C9">
        <f ca="1">uxb_rank!AS18</f>
        <v>1</v>
      </c>
      <c r="D9" s="151">
        <f ca="1">uxb_rank!AU18</f>
        <v>6</v>
      </c>
      <c r="E9" s="152" t="str">
        <f ca="1">uxb_rank!AQ18</f>
        <v>Costa Rica</v>
      </c>
      <c r="F9" s="153">
        <f ca="1">uxb_rank!AR18</f>
        <v>41.91</v>
      </c>
      <c r="G9" s="154"/>
      <c r="H9" s="154"/>
      <c r="I9" s="154"/>
      <c r="J9" s="154"/>
      <c r="K9" s="154"/>
      <c r="L9" s="154"/>
      <c r="M9" s="154">
        <f ca="1">uxb_rank!BC18</f>
        <v>1</v>
      </c>
      <c r="N9" s="151" t="str">
        <f ca="1">uxb_rank!BE18</f>
        <v>=6</v>
      </c>
      <c r="O9" s="152" t="str">
        <f ca="1">uxb_rank!BA18</f>
        <v>Colombia</v>
      </c>
      <c r="P9" s="153">
        <f ca="1">uxb_rank!BB18</f>
        <v>33.33</v>
      </c>
      <c r="Q9" s="154"/>
      <c r="R9" s="154"/>
      <c r="S9" s="154"/>
      <c r="T9" s="154"/>
      <c r="U9" s="154"/>
      <c r="V9" s="154"/>
      <c r="W9" s="154">
        <f ca="1">uxb_rank!BM18</f>
        <v>1</v>
      </c>
      <c r="X9" s="151" t="str">
        <f ca="1">uxb_rank!BO18</f>
        <v>=4</v>
      </c>
      <c r="Y9" s="152" t="str">
        <f ca="1">uxb_rank!BK18</f>
        <v>Jamaica</v>
      </c>
      <c r="Z9" s="153">
        <f ca="1">uxb_rank!BL18</f>
        <v>37.5</v>
      </c>
      <c r="AA9" s="154"/>
      <c r="AB9" s="154"/>
      <c r="AC9" s="154"/>
      <c r="AD9" s="154"/>
      <c r="AE9" s="154"/>
      <c r="AF9" s="154"/>
      <c r="AG9" s="154">
        <f ca="1">uxb_rank!BW18</f>
        <v>3</v>
      </c>
      <c r="AH9" s="151">
        <f ca="1">uxb_rank!BY18</f>
        <v>6</v>
      </c>
      <c r="AI9" s="152" t="str">
        <f ca="1">uxb_rank!BU18</f>
        <v>Mexico</v>
      </c>
      <c r="AJ9" s="153">
        <f ca="1">uxb_rank!BV18</f>
        <v>54.06</v>
      </c>
      <c r="AK9" s="154"/>
      <c r="AL9" s="154"/>
      <c r="AM9" s="154"/>
      <c r="AN9" s="154"/>
      <c r="AO9" s="154"/>
      <c r="AP9" s="154"/>
      <c r="AQ9" s="154">
        <f ca="1">uxb_rank!CG18</f>
        <v>1</v>
      </c>
      <c r="AR9" s="151">
        <f ca="1">uxb_rank!CI18</f>
        <v>6</v>
      </c>
      <c r="AS9" s="152" t="str">
        <f ca="1">uxb_rank!CE18</f>
        <v>Trinidad &amp; Tobago</v>
      </c>
      <c r="AT9" s="153">
        <f ca="1">uxb_rank!CF18</f>
        <v>64.260000000000005</v>
      </c>
      <c r="AU9" s="154"/>
      <c r="AV9" s="154"/>
      <c r="AW9" s="154"/>
      <c r="AX9" s="154"/>
      <c r="AY9" s="154"/>
      <c r="AZ9" s="154"/>
      <c r="BA9" s="154">
        <f ca="1">uxb_rank!CQ18</f>
        <v>1</v>
      </c>
      <c r="BB9" s="151" t="str">
        <f ca="1">uxb_rank!CS18</f>
        <v>=4</v>
      </c>
      <c r="BC9" s="152" t="str">
        <f ca="1">uxb_rank!CO18</f>
        <v>Trinidad &amp; Tobago</v>
      </c>
      <c r="BD9" s="153">
        <f ca="1">uxb_rank!CP18</f>
        <v>58.33</v>
      </c>
    </row>
    <row r="10" spans="1:65" ht="14.25">
      <c r="C10">
        <f ca="1">uxb_rank!AS19</f>
        <v>1</v>
      </c>
      <c r="D10" s="151">
        <f ca="1">uxb_rank!AU19</f>
        <v>7</v>
      </c>
      <c r="E10" s="152" t="str">
        <f ca="1">uxb_rank!AQ19</f>
        <v>Uruguay</v>
      </c>
      <c r="F10" s="153">
        <f ca="1">uxb_rank!AR19</f>
        <v>35.630000000000003</v>
      </c>
      <c r="G10" s="154"/>
      <c r="H10" s="154"/>
      <c r="I10" s="154"/>
      <c r="J10" s="154"/>
      <c r="K10" s="154"/>
      <c r="L10" s="154"/>
      <c r="M10" s="154">
        <f ca="1">uxb_rank!BC19</f>
        <v>1</v>
      </c>
      <c r="N10" s="151" t="str">
        <f ca="1">uxb_rank!BE19</f>
        <v>=6</v>
      </c>
      <c r="O10" s="152" t="str">
        <f ca="1">uxb_rank!BA19</f>
        <v>Uruguay</v>
      </c>
      <c r="P10" s="153">
        <f ca="1">uxb_rank!BB19</f>
        <v>33.33</v>
      </c>
      <c r="Q10" s="154"/>
      <c r="R10" s="154"/>
      <c r="S10" s="154"/>
      <c r="T10" s="154"/>
      <c r="U10" s="154"/>
      <c r="V10" s="154"/>
      <c r="W10" s="154">
        <f ca="1">uxb_rank!BM19</f>
        <v>3</v>
      </c>
      <c r="X10" s="151" t="str">
        <f ca="1">uxb_rank!BO19</f>
        <v>=4</v>
      </c>
      <c r="Y10" s="152" t="str">
        <f ca="1">uxb_rank!BK19</f>
        <v>Mexico</v>
      </c>
      <c r="Z10" s="153">
        <f ca="1">uxb_rank!BL19</f>
        <v>37.5</v>
      </c>
      <c r="AA10" s="154"/>
      <c r="AB10" s="154"/>
      <c r="AC10" s="154"/>
      <c r="AD10" s="154"/>
      <c r="AE10" s="154"/>
      <c r="AF10" s="154"/>
      <c r="AG10" s="154">
        <f ca="1">uxb_rank!BW19</f>
        <v>1</v>
      </c>
      <c r="AH10" s="151">
        <f ca="1">uxb_rank!BY19</f>
        <v>7</v>
      </c>
      <c r="AI10" s="152" t="str">
        <f ca="1">uxb_rank!BU19</f>
        <v>Honduras</v>
      </c>
      <c r="AJ10" s="153">
        <f ca="1">uxb_rank!BV19</f>
        <v>45.98</v>
      </c>
      <c r="AK10" s="154"/>
      <c r="AL10" s="154"/>
      <c r="AM10" s="154"/>
      <c r="AN10" s="154"/>
      <c r="AO10" s="154"/>
      <c r="AP10" s="154"/>
      <c r="AQ10" s="154">
        <f ca="1">uxb_rank!CG19</f>
        <v>1</v>
      </c>
      <c r="AR10" s="151">
        <f ca="1">uxb_rank!CI19</f>
        <v>7</v>
      </c>
      <c r="AS10" s="152" t="str">
        <f ca="1">uxb_rank!CE19</f>
        <v>Panama</v>
      </c>
      <c r="AT10" s="153">
        <f ca="1">uxb_rank!CF19</f>
        <v>62.83</v>
      </c>
      <c r="AU10" s="154"/>
      <c r="AV10" s="154"/>
      <c r="AW10" s="154"/>
      <c r="AX10" s="154"/>
      <c r="AY10" s="154"/>
      <c r="AZ10" s="154"/>
      <c r="BA10" s="154">
        <f ca="1">uxb_rank!CQ19</f>
        <v>1</v>
      </c>
      <c r="BB10" s="151" t="str">
        <f ca="1">uxb_rank!CS19</f>
        <v>=7</v>
      </c>
      <c r="BC10" s="152" t="str">
        <f ca="1">uxb_rank!CO19</f>
        <v>Colombia</v>
      </c>
      <c r="BD10" s="153">
        <f ca="1">uxb_rank!CP19</f>
        <v>50</v>
      </c>
    </row>
    <row r="11" spans="1:65" ht="14.25">
      <c r="C11">
        <f ca="1">uxb_rank!AS20</f>
        <v>1</v>
      </c>
      <c r="D11" s="151">
        <f ca="1">uxb_rank!AU20</f>
        <v>8</v>
      </c>
      <c r="E11" s="152" t="str">
        <f ca="1">uxb_rank!AQ20</f>
        <v>Honduras</v>
      </c>
      <c r="F11" s="153">
        <f ca="1">uxb_rank!AR20</f>
        <v>33.29</v>
      </c>
      <c r="G11" s="154"/>
      <c r="H11" s="154"/>
      <c r="I11" s="154"/>
      <c r="J11" s="154"/>
      <c r="K11" s="154"/>
      <c r="L11" s="154"/>
      <c r="M11" s="154">
        <f ca="1">uxb_rank!BC20</f>
        <v>1</v>
      </c>
      <c r="N11" s="151" t="str">
        <f ca="1">uxb_rank!BE20</f>
        <v>=8</v>
      </c>
      <c r="O11" s="152" t="str">
        <f ca="1">uxb_rank!BA20</f>
        <v>Honduras</v>
      </c>
      <c r="P11" s="153">
        <f ca="1">uxb_rank!BB20</f>
        <v>25</v>
      </c>
      <c r="Q11" s="154"/>
      <c r="R11" s="154"/>
      <c r="S11" s="154"/>
      <c r="T11" s="154"/>
      <c r="U11" s="154"/>
      <c r="V11" s="154"/>
      <c r="W11" s="154">
        <f ca="1">uxb_rank!BM20</f>
        <v>1</v>
      </c>
      <c r="X11" s="151" t="str">
        <f ca="1">uxb_rank!BO20</f>
        <v>=4</v>
      </c>
      <c r="Y11" s="152" t="str">
        <f ca="1">uxb_rank!BK20</f>
        <v>Uruguay</v>
      </c>
      <c r="Z11" s="153">
        <f ca="1">uxb_rank!BL20</f>
        <v>37.5</v>
      </c>
      <c r="AA11" s="154"/>
      <c r="AB11" s="154"/>
      <c r="AC11" s="154"/>
      <c r="AD11" s="154"/>
      <c r="AE11" s="154"/>
      <c r="AF11" s="154"/>
      <c r="AG11" s="154">
        <f ca="1">uxb_rank!BW20</f>
        <v>1</v>
      </c>
      <c r="AH11" s="151">
        <f ca="1">uxb_rank!BY20</f>
        <v>8</v>
      </c>
      <c r="AI11" s="152" t="str">
        <f ca="1">uxb_rank!BU20</f>
        <v>Jamaica</v>
      </c>
      <c r="AJ11" s="153">
        <f ca="1">uxb_rank!BV20</f>
        <v>41.65</v>
      </c>
      <c r="AK11" s="154"/>
      <c r="AL11" s="154"/>
      <c r="AM11" s="154"/>
      <c r="AN11" s="154"/>
      <c r="AO11" s="154"/>
      <c r="AP11" s="154"/>
      <c r="AQ11" s="154">
        <f ca="1">uxb_rank!CG20</f>
        <v>1</v>
      </c>
      <c r="AR11" s="151">
        <f ca="1">uxb_rank!CI20</f>
        <v>8</v>
      </c>
      <c r="AS11" s="152" t="str">
        <f ca="1">uxb_rank!CE20</f>
        <v>Costa Rica</v>
      </c>
      <c r="AT11" s="153">
        <f ca="1">uxb_rank!CF20</f>
        <v>61.34</v>
      </c>
      <c r="AU11" s="154"/>
      <c r="AV11" s="154"/>
      <c r="AW11" s="154"/>
      <c r="AX11" s="154"/>
      <c r="AY11" s="154"/>
      <c r="AZ11" s="154"/>
      <c r="BA11" s="154">
        <f ca="1">uxb_rank!CQ20</f>
        <v>1</v>
      </c>
      <c r="BB11" s="151" t="str">
        <f ca="1">uxb_rank!CS20</f>
        <v>=7</v>
      </c>
      <c r="BC11" s="152" t="str">
        <f ca="1">uxb_rank!CO20</f>
        <v>Costa Rica</v>
      </c>
      <c r="BD11" s="153">
        <f ca="1">uxb_rank!CP20</f>
        <v>50</v>
      </c>
    </row>
    <row r="12" spans="1:65" ht="14.25">
      <c r="C12">
        <f ca="1">uxb_rank!AS21</f>
        <v>1</v>
      </c>
      <c r="D12" s="151">
        <f ca="1">uxb_rank!AU21</f>
        <v>9</v>
      </c>
      <c r="E12" s="152" t="str">
        <f ca="1">uxb_rank!AQ21</f>
        <v>Jamaica</v>
      </c>
      <c r="F12" s="153">
        <f ca="1">uxb_rank!AR21</f>
        <v>31.63</v>
      </c>
      <c r="G12" s="154"/>
      <c r="H12" s="154"/>
      <c r="I12" s="154"/>
      <c r="J12" s="154"/>
      <c r="K12" s="154"/>
      <c r="L12" s="154"/>
      <c r="M12" s="154">
        <f ca="1">uxb_rank!BC21</f>
        <v>1</v>
      </c>
      <c r="N12" s="151" t="str">
        <f ca="1">uxb_rank!BE21</f>
        <v>=8</v>
      </c>
      <c r="O12" s="152" t="str">
        <f ca="1">uxb_rank!BA21</f>
        <v>Jamaica</v>
      </c>
      <c r="P12" s="153">
        <f ca="1">uxb_rank!BB21</f>
        <v>25</v>
      </c>
      <c r="Q12" s="154"/>
      <c r="R12" s="154"/>
      <c r="S12" s="154"/>
      <c r="T12" s="154"/>
      <c r="U12" s="154"/>
      <c r="V12" s="154"/>
      <c r="W12" s="154">
        <f ca="1">uxb_rank!BM21</f>
        <v>1</v>
      </c>
      <c r="X12" s="151" t="str">
        <f ca="1">uxb_rank!BO21</f>
        <v>=9</v>
      </c>
      <c r="Y12" s="152" t="str">
        <f ca="1">uxb_rank!BK21</f>
        <v>Costa Rica</v>
      </c>
      <c r="Z12" s="153">
        <f ca="1">uxb_rank!BL21</f>
        <v>25</v>
      </c>
      <c r="AA12" s="154"/>
      <c r="AB12" s="154"/>
      <c r="AC12" s="154"/>
      <c r="AD12" s="154"/>
      <c r="AE12" s="154"/>
      <c r="AF12" s="154"/>
      <c r="AG12" s="154">
        <f ca="1">uxb_rank!BW21</f>
        <v>1</v>
      </c>
      <c r="AH12" s="151">
        <f ca="1">uxb_rank!BY21</f>
        <v>9</v>
      </c>
      <c r="AI12" s="152" t="str">
        <f ca="1">uxb_rank!BU21</f>
        <v>Argentina</v>
      </c>
      <c r="AJ12" s="153">
        <f ca="1">uxb_rank!BV21</f>
        <v>41.48</v>
      </c>
      <c r="AK12" s="154"/>
      <c r="AL12" s="154"/>
      <c r="AM12" s="154"/>
      <c r="AN12" s="154"/>
      <c r="AO12" s="154"/>
      <c r="AP12" s="154"/>
      <c r="AQ12" s="154">
        <f ca="1">uxb_rank!CG21</f>
        <v>1</v>
      </c>
      <c r="AR12" s="151">
        <f ca="1">uxb_rank!CI21</f>
        <v>9</v>
      </c>
      <c r="AS12" s="152" t="str">
        <f ca="1">uxb_rank!CE21</f>
        <v>Paraguay</v>
      </c>
      <c r="AT12" s="153">
        <f ca="1">uxb_rank!CF21</f>
        <v>59.39</v>
      </c>
      <c r="AU12" s="154"/>
      <c r="AV12" s="154"/>
      <c r="AW12" s="154"/>
      <c r="AX12" s="154"/>
      <c r="AY12" s="154"/>
      <c r="AZ12" s="154"/>
      <c r="BA12" s="154">
        <f ca="1">uxb_rank!CQ21</f>
        <v>1</v>
      </c>
      <c r="BB12" s="151">
        <f ca="1">uxb_rank!CS21</f>
        <v>9</v>
      </c>
      <c r="BC12" s="152" t="str">
        <f ca="1">uxb_rank!CO21</f>
        <v>El Salvador</v>
      </c>
      <c r="BD12" s="153">
        <f ca="1">uxb_rank!CP21</f>
        <v>45.83</v>
      </c>
    </row>
    <row r="13" spans="1:65" ht="14.25">
      <c r="C13">
        <f ca="1">uxb_rank!AS22</f>
        <v>1</v>
      </c>
      <c r="D13" s="151">
        <f ca="1">uxb_rank!AU22</f>
        <v>10</v>
      </c>
      <c r="E13" s="152" t="str">
        <f ca="1">uxb_rank!AQ22</f>
        <v>Paraguay</v>
      </c>
      <c r="F13" s="153">
        <f ca="1">uxb_rank!AR22</f>
        <v>27.84</v>
      </c>
      <c r="G13" s="154"/>
      <c r="H13" s="154"/>
      <c r="I13" s="154"/>
      <c r="J13" s="154"/>
      <c r="K13" s="154"/>
      <c r="L13" s="154"/>
      <c r="M13" s="154">
        <f ca="1">uxb_rank!BC22</f>
        <v>1</v>
      </c>
      <c r="N13" s="151" t="str">
        <f ca="1">uxb_rank!BE22</f>
        <v>=8</v>
      </c>
      <c r="O13" s="152" t="str">
        <f ca="1">uxb_rank!BA22</f>
        <v>Panama</v>
      </c>
      <c r="P13" s="153">
        <f ca="1">uxb_rank!BB22</f>
        <v>25</v>
      </c>
      <c r="Q13" s="154"/>
      <c r="R13" s="154"/>
      <c r="S13" s="154"/>
      <c r="T13" s="154"/>
      <c r="U13" s="154"/>
      <c r="V13" s="154"/>
      <c r="W13" s="154">
        <f ca="1">uxb_rank!BM22</f>
        <v>1</v>
      </c>
      <c r="X13" s="151" t="str">
        <f ca="1">uxb_rank!BO22</f>
        <v>=9</v>
      </c>
      <c r="Y13" s="152" t="str">
        <f ca="1">uxb_rank!BK22</f>
        <v>Dominican Rep.</v>
      </c>
      <c r="Z13" s="153">
        <f ca="1">uxb_rank!BL22</f>
        <v>25</v>
      </c>
      <c r="AA13" s="154"/>
      <c r="AB13" s="154"/>
      <c r="AC13" s="154"/>
      <c r="AD13" s="154"/>
      <c r="AE13" s="154"/>
      <c r="AF13" s="154"/>
      <c r="AG13" s="154">
        <f ca="1">uxb_rank!BW22</f>
        <v>1</v>
      </c>
      <c r="AH13" s="151">
        <f ca="1">uxb_rank!BY22</f>
        <v>10</v>
      </c>
      <c r="AI13" s="152" t="str">
        <f ca="1">uxb_rank!BU22</f>
        <v>Ecuador</v>
      </c>
      <c r="AJ13" s="153">
        <f ca="1">uxb_rank!BV22</f>
        <v>39.07</v>
      </c>
      <c r="AK13" s="154"/>
      <c r="AL13" s="154"/>
      <c r="AM13" s="154"/>
      <c r="AN13" s="154"/>
      <c r="AO13" s="154"/>
      <c r="AP13" s="154"/>
      <c r="AQ13" s="154">
        <f ca="1">uxb_rank!CG22</f>
        <v>1</v>
      </c>
      <c r="AR13" s="151">
        <f ca="1">uxb_rank!CI22</f>
        <v>10</v>
      </c>
      <c r="AS13" s="152" t="str">
        <f ca="1">uxb_rank!CE22</f>
        <v>Colombia</v>
      </c>
      <c r="AT13" s="153">
        <f ca="1">uxb_rank!CF22</f>
        <v>58.57</v>
      </c>
      <c r="AU13" s="154"/>
      <c r="AV13" s="154"/>
      <c r="AW13" s="154"/>
      <c r="AX13" s="154"/>
      <c r="AY13" s="154"/>
      <c r="AZ13" s="154"/>
      <c r="BA13" s="154">
        <f ca="1">uxb_rank!CQ22</f>
        <v>1</v>
      </c>
      <c r="BB13" s="151">
        <f ca="1">uxb_rank!CS22</f>
        <v>10</v>
      </c>
      <c r="BC13" s="152" t="str">
        <f ca="1">uxb_rank!CO22</f>
        <v>Paraguay</v>
      </c>
      <c r="BD13" s="153">
        <f ca="1">uxb_rank!CP22</f>
        <v>37.5</v>
      </c>
    </row>
    <row r="14" spans="1:65" ht="14.25">
      <c r="C14">
        <f ca="1">uxb_rank!AS23</f>
        <v>1</v>
      </c>
      <c r="D14" s="151">
        <f ca="1">uxb_rank!AU23</f>
        <v>11</v>
      </c>
      <c r="E14" s="152" t="str">
        <f ca="1">uxb_rank!AQ23</f>
        <v>Panama</v>
      </c>
      <c r="F14" s="153">
        <f ca="1">uxb_rank!AR23</f>
        <v>26.96</v>
      </c>
      <c r="G14" s="154"/>
      <c r="H14" s="154"/>
      <c r="I14" s="154"/>
      <c r="J14" s="154"/>
      <c r="K14" s="154"/>
      <c r="L14" s="154"/>
      <c r="M14" s="154">
        <f ca="1">uxb_rank!BC23</f>
        <v>1</v>
      </c>
      <c r="N14" s="151">
        <f ca="1">uxb_rank!BE23</f>
        <v>11</v>
      </c>
      <c r="O14" s="152" t="str">
        <f ca="1">uxb_rank!BA23</f>
        <v>Paraguay</v>
      </c>
      <c r="P14" s="153">
        <f ca="1">uxb_rank!BB23</f>
        <v>22.22</v>
      </c>
      <c r="Q14" s="154"/>
      <c r="R14" s="154"/>
      <c r="S14" s="154"/>
      <c r="T14" s="154"/>
      <c r="U14" s="154"/>
      <c r="V14" s="154"/>
      <c r="W14" s="154">
        <f ca="1">uxb_rank!BM23</f>
        <v>1</v>
      </c>
      <c r="X14" s="151" t="str">
        <f ca="1">uxb_rank!BO23</f>
        <v>=9</v>
      </c>
      <c r="Y14" s="152" t="str">
        <f ca="1">uxb_rank!BK23</f>
        <v>El Salvador</v>
      </c>
      <c r="Z14" s="153">
        <f ca="1">uxb_rank!BL23</f>
        <v>25</v>
      </c>
      <c r="AA14" s="154"/>
      <c r="AB14" s="154"/>
      <c r="AC14" s="154"/>
      <c r="AD14" s="154"/>
      <c r="AE14" s="154"/>
      <c r="AF14" s="154"/>
      <c r="AG14" s="154">
        <f ca="1">uxb_rank!BW23</f>
        <v>1</v>
      </c>
      <c r="AH14" s="151">
        <f ca="1">uxb_rank!BY23</f>
        <v>11</v>
      </c>
      <c r="AI14" s="152" t="str">
        <f ca="1">uxb_rank!BU23</f>
        <v>Dominican Rep.</v>
      </c>
      <c r="AJ14" s="153">
        <f ca="1">uxb_rank!BV23</f>
        <v>38.28</v>
      </c>
      <c r="AK14" s="154"/>
      <c r="AL14" s="154"/>
      <c r="AM14" s="154"/>
      <c r="AN14" s="154"/>
      <c r="AO14" s="154"/>
      <c r="AP14" s="154"/>
      <c r="AQ14" s="154">
        <f ca="1">uxb_rank!CG23</f>
        <v>1</v>
      </c>
      <c r="AR14" s="151">
        <f ca="1">uxb_rank!CI23</f>
        <v>11</v>
      </c>
      <c r="AS14" s="152" t="str">
        <f ca="1">uxb_rank!CE23</f>
        <v>El Salvador</v>
      </c>
      <c r="AT14" s="153">
        <f ca="1">uxb_rank!CF23</f>
        <v>58.36</v>
      </c>
      <c r="AU14" s="154"/>
      <c r="AV14" s="154"/>
      <c r="AW14" s="154"/>
      <c r="AX14" s="154"/>
      <c r="AY14" s="154"/>
      <c r="AZ14" s="154"/>
      <c r="BA14" s="154">
        <f ca="1">uxb_rank!CQ23</f>
        <v>1</v>
      </c>
      <c r="BB14" s="151">
        <f ca="1">uxb_rank!CS23</f>
        <v>11</v>
      </c>
      <c r="BC14" s="152" t="str">
        <f ca="1">uxb_rank!CO23</f>
        <v>Venezuela</v>
      </c>
      <c r="BD14" s="153">
        <f ca="1">uxb_rank!CP23</f>
        <v>29.17</v>
      </c>
    </row>
    <row r="15" spans="1:65" ht="14.25">
      <c r="C15">
        <f ca="1">uxb_rank!AS24</f>
        <v>1</v>
      </c>
      <c r="D15" s="151">
        <f ca="1">uxb_rank!AU24</f>
        <v>12</v>
      </c>
      <c r="E15" s="152" t="str">
        <f ca="1">uxb_rank!AQ24</f>
        <v>Dominican Rep.</v>
      </c>
      <c r="F15" s="153">
        <f ca="1">uxb_rank!AR24</f>
        <v>23.62</v>
      </c>
      <c r="G15" s="154"/>
      <c r="H15" s="154"/>
      <c r="I15" s="154"/>
      <c r="J15" s="154"/>
      <c r="K15" s="154"/>
      <c r="L15" s="154"/>
      <c r="M15" s="154">
        <f ca="1">uxb_rank!BC24</f>
        <v>1</v>
      </c>
      <c r="N15" s="151">
        <f ca="1">uxb_rank!BE24</f>
        <v>12</v>
      </c>
      <c r="O15" s="152" t="str">
        <f ca="1">uxb_rank!BA24</f>
        <v>El Salvador</v>
      </c>
      <c r="P15" s="153">
        <f ca="1">uxb_rank!BB24</f>
        <v>19.440000000000001</v>
      </c>
      <c r="Q15" s="154"/>
      <c r="R15" s="154"/>
      <c r="S15" s="154"/>
      <c r="T15" s="154"/>
      <c r="U15" s="154"/>
      <c r="V15" s="154"/>
      <c r="W15" s="154">
        <f ca="1">uxb_rank!BM24</f>
        <v>1</v>
      </c>
      <c r="X15" s="151" t="str">
        <f ca="1">uxb_rank!BO24</f>
        <v>=9</v>
      </c>
      <c r="Y15" s="152" t="str">
        <f ca="1">uxb_rank!BK24</f>
        <v>Guatemala</v>
      </c>
      <c r="Z15" s="153">
        <f ca="1">uxb_rank!BL24</f>
        <v>25</v>
      </c>
      <c r="AA15" s="154"/>
      <c r="AB15" s="154"/>
      <c r="AC15" s="154"/>
      <c r="AD15" s="154"/>
      <c r="AE15" s="154"/>
      <c r="AF15" s="154"/>
      <c r="AG15" s="154">
        <f ca="1">uxb_rank!BW24</f>
        <v>1</v>
      </c>
      <c r="AH15" s="151">
        <f ca="1">uxb_rank!BY24</f>
        <v>12</v>
      </c>
      <c r="AI15" s="152" t="str">
        <f ca="1">uxb_rank!BU24</f>
        <v>Panama</v>
      </c>
      <c r="AJ15" s="153">
        <f ca="1">uxb_rank!BV24</f>
        <v>33.479999999999997</v>
      </c>
      <c r="AK15" s="154"/>
      <c r="AL15" s="154"/>
      <c r="AM15" s="154"/>
      <c r="AN15" s="154"/>
      <c r="AO15" s="154"/>
      <c r="AP15" s="154"/>
      <c r="AQ15" s="154">
        <f ca="1">uxb_rank!CG24</f>
        <v>1</v>
      </c>
      <c r="AR15" s="151">
        <f ca="1">uxb_rank!CI24</f>
        <v>12</v>
      </c>
      <c r="AS15" s="152" t="str">
        <f ca="1">uxb_rank!CE24</f>
        <v>Nicaragua</v>
      </c>
      <c r="AT15" s="153">
        <f ca="1">uxb_rank!CF24</f>
        <v>53.69</v>
      </c>
      <c r="AU15" s="154"/>
      <c r="AV15" s="154"/>
      <c r="AW15" s="154"/>
      <c r="AX15" s="154"/>
      <c r="AY15" s="154"/>
      <c r="AZ15" s="154"/>
      <c r="BA15" s="154">
        <f ca="1">uxb_rank!CQ24</f>
        <v>1</v>
      </c>
      <c r="BB15" s="151" t="str">
        <f ca="1">uxb_rank!CS24</f>
        <v>=12</v>
      </c>
      <c r="BC15" s="152" t="str">
        <f ca="1">uxb_rank!CO24</f>
        <v>Ecuador</v>
      </c>
      <c r="BD15" s="153">
        <f ca="1">uxb_rank!CP24</f>
        <v>25</v>
      </c>
    </row>
    <row r="16" spans="1:65" ht="14.25">
      <c r="C16">
        <f ca="1">uxb_rank!AS25</f>
        <v>1</v>
      </c>
      <c r="D16" s="151">
        <f ca="1">uxb_rank!AU25</f>
        <v>13</v>
      </c>
      <c r="E16" s="152" t="str">
        <f ca="1">uxb_rank!AQ25</f>
        <v>Argentina</v>
      </c>
      <c r="F16" s="153">
        <f ca="1">uxb_rank!AR25</f>
        <v>23.46</v>
      </c>
      <c r="G16" s="154"/>
      <c r="H16" s="154"/>
      <c r="I16" s="154"/>
      <c r="J16" s="154"/>
      <c r="K16" s="154"/>
      <c r="L16" s="154"/>
      <c r="M16" s="154">
        <f ca="1">uxb_rank!BC25</f>
        <v>1</v>
      </c>
      <c r="N16" s="151" t="str">
        <f ca="1">uxb_rank!BE25</f>
        <v>=13</v>
      </c>
      <c r="O16" s="152" t="str">
        <f ca="1">uxb_rank!BA25</f>
        <v>Argentina</v>
      </c>
      <c r="P16" s="153">
        <f ca="1">uxb_rank!BB25</f>
        <v>16.670000000000002</v>
      </c>
      <c r="Q16" s="154"/>
      <c r="R16" s="154"/>
      <c r="S16" s="154"/>
      <c r="T16" s="154"/>
      <c r="U16" s="154"/>
      <c r="V16" s="154"/>
      <c r="W16" s="154">
        <f ca="1">uxb_rank!BM25</f>
        <v>1</v>
      </c>
      <c r="X16" s="151" t="str">
        <f ca="1">uxb_rank!BO25</f>
        <v>=9</v>
      </c>
      <c r="Y16" s="152" t="str">
        <f ca="1">uxb_rank!BK25</f>
        <v>Paraguay</v>
      </c>
      <c r="Z16" s="153">
        <f ca="1">uxb_rank!BL25</f>
        <v>25</v>
      </c>
      <c r="AA16" s="154"/>
      <c r="AB16" s="154"/>
      <c r="AC16" s="154"/>
      <c r="AD16" s="154"/>
      <c r="AE16" s="154"/>
      <c r="AF16" s="154"/>
      <c r="AG16" s="154">
        <f ca="1">uxb_rank!BW25</f>
        <v>1</v>
      </c>
      <c r="AH16" s="151">
        <f ca="1">uxb_rank!BY25</f>
        <v>13</v>
      </c>
      <c r="AI16" s="152" t="str">
        <f ca="1">uxb_rank!BU25</f>
        <v>Uruguay</v>
      </c>
      <c r="AJ16" s="153">
        <f ca="1">uxb_rank!BV25</f>
        <v>33.29</v>
      </c>
      <c r="AK16" s="154"/>
      <c r="AL16" s="154"/>
      <c r="AM16" s="154"/>
      <c r="AN16" s="154"/>
      <c r="AO16" s="154"/>
      <c r="AP16" s="154"/>
      <c r="AQ16" s="154">
        <f ca="1">uxb_rank!CG25</f>
        <v>1</v>
      </c>
      <c r="AR16" s="151">
        <f ca="1">uxb_rank!CI25</f>
        <v>13</v>
      </c>
      <c r="AS16" s="152" t="str">
        <f ca="1">uxb_rank!CE25</f>
        <v>Argentina</v>
      </c>
      <c r="AT16" s="153">
        <f ca="1">uxb_rank!CF25</f>
        <v>51.56</v>
      </c>
      <c r="AU16" s="154"/>
      <c r="AV16" s="154"/>
      <c r="AW16" s="154"/>
      <c r="AX16" s="154"/>
      <c r="AY16" s="154"/>
      <c r="AZ16" s="154"/>
      <c r="BA16" s="154">
        <f ca="1">uxb_rank!CQ25</f>
        <v>1</v>
      </c>
      <c r="BB16" s="151" t="str">
        <f ca="1">uxb_rank!CS25</f>
        <v>=12</v>
      </c>
      <c r="BC16" s="152" t="str">
        <f ca="1">uxb_rank!CO25</f>
        <v>Guatemala</v>
      </c>
      <c r="BD16" s="153">
        <f ca="1">uxb_rank!CP25</f>
        <v>25</v>
      </c>
    </row>
    <row r="17" spans="3:56" ht="14.25">
      <c r="C17">
        <f ca="1">uxb_rank!AS26</f>
        <v>1</v>
      </c>
      <c r="D17" s="151">
        <f ca="1">uxb_rank!AU26</f>
        <v>14</v>
      </c>
      <c r="E17" s="152" t="str">
        <f ca="1">uxb_rank!AQ26</f>
        <v>Guatemala</v>
      </c>
      <c r="F17" s="153">
        <f ca="1">uxb_rank!AR26</f>
        <v>21.96</v>
      </c>
      <c r="G17" s="154"/>
      <c r="H17" s="154"/>
      <c r="I17" s="154"/>
      <c r="J17" s="154"/>
      <c r="K17" s="154"/>
      <c r="L17" s="154"/>
      <c r="M17" s="154">
        <f ca="1">uxb_rank!BC26</f>
        <v>1</v>
      </c>
      <c r="N17" s="151" t="str">
        <f ca="1">uxb_rank!BE26</f>
        <v>=13</v>
      </c>
      <c r="O17" s="152" t="str">
        <f ca="1">uxb_rank!BA26</f>
        <v>Guatemala</v>
      </c>
      <c r="P17" s="153">
        <f ca="1">uxb_rank!BB26</f>
        <v>16.670000000000002</v>
      </c>
      <c r="Q17" s="154"/>
      <c r="R17" s="154"/>
      <c r="S17" s="154"/>
      <c r="T17" s="154"/>
      <c r="U17" s="154"/>
      <c r="V17" s="154"/>
      <c r="W17" s="154">
        <f ca="1">uxb_rank!BM26</f>
        <v>1</v>
      </c>
      <c r="X17" s="151" t="str">
        <f ca="1">uxb_rank!BO26</f>
        <v>=9</v>
      </c>
      <c r="Y17" s="152" t="str">
        <f ca="1">uxb_rank!BK26</f>
        <v>Trinidad &amp; Tobago</v>
      </c>
      <c r="Z17" s="153">
        <f ca="1">uxb_rank!BL26</f>
        <v>25</v>
      </c>
      <c r="AA17" s="154"/>
      <c r="AB17" s="154"/>
      <c r="AC17" s="154"/>
      <c r="AD17" s="154"/>
      <c r="AE17" s="154"/>
      <c r="AF17" s="154"/>
      <c r="AG17" s="154">
        <f ca="1">uxb_rank!BW26</f>
        <v>1</v>
      </c>
      <c r="AH17" s="151" t="str">
        <f ca="1">uxb_rank!BY26</f>
        <v>=14</v>
      </c>
      <c r="AI17" s="152" t="str">
        <f ca="1">uxb_rank!BU26</f>
        <v>Nicaragua</v>
      </c>
      <c r="AJ17" s="153">
        <f ca="1">uxb_rank!BV26</f>
        <v>33.159999999999997</v>
      </c>
      <c r="AK17" s="154"/>
      <c r="AL17" s="154"/>
      <c r="AM17" s="154"/>
      <c r="AN17" s="154"/>
      <c r="AO17" s="154"/>
      <c r="AP17" s="154"/>
      <c r="AQ17" s="154">
        <f ca="1">uxb_rank!CG26</f>
        <v>1</v>
      </c>
      <c r="AR17" s="151">
        <f ca="1">uxb_rank!CI26</f>
        <v>14</v>
      </c>
      <c r="AS17" s="152" t="str">
        <f ca="1">uxb_rank!CE26</f>
        <v>Honduras</v>
      </c>
      <c r="AT17" s="153">
        <f ca="1">uxb_rank!CF26</f>
        <v>39.770000000000003</v>
      </c>
      <c r="AU17" s="154"/>
      <c r="AV17" s="154"/>
      <c r="AW17" s="154"/>
      <c r="AX17" s="154"/>
      <c r="AY17" s="154"/>
      <c r="AZ17" s="154"/>
      <c r="BA17" s="154">
        <f ca="1">uxb_rank!CQ26</f>
        <v>1</v>
      </c>
      <c r="BB17" s="151" t="str">
        <f ca="1">uxb_rank!CS26</f>
        <v>=14</v>
      </c>
      <c r="BC17" s="152" t="str">
        <f ca="1">uxb_rank!CO26</f>
        <v>Argentina</v>
      </c>
      <c r="BD17" s="153">
        <f ca="1">uxb_rank!CP26</f>
        <v>20.83</v>
      </c>
    </row>
    <row r="18" spans="3:56" ht="14.25">
      <c r="C18">
        <f ca="1">uxb_rank!AS27</f>
        <v>1</v>
      </c>
      <c r="D18" s="151">
        <f ca="1">uxb_rank!AU27</f>
        <v>15</v>
      </c>
      <c r="E18" s="152" t="str">
        <f ca="1">uxb_rank!AQ27</f>
        <v>El Salvador</v>
      </c>
      <c r="F18" s="153">
        <f ca="1">uxb_rank!AR27</f>
        <v>21.82</v>
      </c>
      <c r="G18" s="154"/>
      <c r="H18" s="154"/>
      <c r="I18" s="154"/>
      <c r="J18" s="154"/>
      <c r="K18" s="154"/>
      <c r="L18" s="154"/>
      <c r="M18" s="154">
        <f ca="1">uxb_rank!BC27</f>
        <v>1</v>
      </c>
      <c r="N18" s="151" t="str">
        <f ca="1">uxb_rank!BE27</f>
        <v>=13</v>
      </c>
      <c r="O18" s="152" t="str">
        <f ca="1">uxb_rank!BA27</f>
        <v>Trinidad &amp; Tobago</v>
      </c>
      <c r="P18" s="153">
        <f ca="1">uxb_rank!BB27</f>
        <v>16.670000000000002</v>
      </c>
      <c r="Q18" s="154"/>
      <c r="R18" s="154"/>
      <c r="S18" s="154"/>
      <c r="T18" s="154"/>
      <c r="U18" s="154"/>
      <c r="V18" s="154"/>
      <c r="W18" s="154">
        <f ca="1">uxb_rank!BM27</f>
        <v>1</v>
      </c>
      <c r="X18" s="151" t="str">
        <f ca="1">uxb_rank!BO27</f>
        <v>=15</v>
      </c>
      <c r="Y18" s="152" t="str">
        <f ca="1">uxb_rank!BK27</f>
        <v>Argentina</v>
      </c>
      <c r="Z18" s="153">
        <f ca="1">uxb_rank!BL27</f>
        <v>12.5</v>
      </c>
      <c r="AA18" s="154"/>
      <c r="AB18" s="154"/>
      <c r="AC18" s="154"/>
      <c r="AD18" s="154"/>
      <c r="AE18" s="154"/>
      <c r="AF18" s="154"/>
      <c r="AG18" s="154">
        <f ca="1">uxb_rank!BW27</f>
        <v>1</v>
      </c>
      <c r="AH18" s="151" t="str">
        <f ca="1">uxb_rank!BY27</f>
        <v>=14</v>
      </c>
      <c r="AI18" s="152" t="str">
        <f ca="1">uxb_rank!BU27</f>
        <v>Paraguay</v>
      </c>
      <c r="AJ18" s="153">
        <f ca="1">uxb_rank!BV27</f>
        <v>33.159999999999997</v>
      </c>
      <c r="AK18" s="154"/>
      <c r="AL18" s="154"/>
      <c r="AM18" s="154"/>
      <c r="AN18" s="154"/>
      <c r="AO18" s="154"/>
      <c r="AP18" s="154"/>
      <c r="AQ18" s="154">
        <f ca="1">uxb_rank!CG27</f>
        <v>1</v>
      </c>
      <c r="AR18" s="151">
        <f ca="1">uxb_rank!CI27</f>
        <v>15</v>
      </c>
      <c r="AS18" s="152" t="str">
        <f ca="1">uxb_rank!CE27</f>
        <v>Ecuador</v>
      </c>
      <c r="AT18" s="153">
        <f ca="1">uxb_rank!CF27</f>
        <v>38.36</v>
      </c>
      <c r="AU18" s="154"/>
      <c r="AV18" s="154"/>
      <c r="AW18" s="154"/>
      <c r="AX18" s="154"/>
      <c r="AY18" s="154"/>
      <c r="AZ18" s="154"/>
      <c r="BA18" s="154">
        <f ca="1">uxb_rank!CQ27</f>
        <v>1</v>
      </c>
      <c r="BB18" s="151" t="str">
        <f ca="1">uxb_rank!CS27</f>
        <v>=14</v>
      </c>
      <c r="BC18" s="152" t="str">
        <f ca="1">uxb_rank!CO27</f>
        <v>Jamaica</v>
      </c>
      <c r="BD18" s="153">
        <f ca="1">uxb_rank!CP27</f>
        <v>20.83</v>
      </c>
    </row>
    <row r="19" spans="3:56" ht="14.25">
      <c r="C19">
        <f ca="1">uxb_rank!AS28</f>
        <v>1</v>
      </c>
      <c r="D19" s="151">
        <f ca="1">uxb_rank!AU28</f>
        <v>16</v>
      </c>
      <c r="E19" s="152" t="str">
        <f ca="1">uxb_rank!AQ28</f>
        <v>Trinidad &amp; Tobago</v>
      </c>
      <c r="F19" s="153">
        <f ca="1">uxb_rank!AR28</f>
        <v>19.38</v>
      </c>
      <c r="G19" s="154"/>
      <c r="H19" s="154"/>
      <c r="I19" s="154"/>
      <c r="J19" s="154"/>
      <c r="K19" s="154"/>
      <c r="L19" s="154"/>
      <c r="M19" s="154">
        <f ca="1">uxb_rank!BC28</f>
        <v>1</v>
      </c>
      <c r="N19" s="151">
        <f ca="1">uxb_rank!BE28</f>
        <v>16</v>
      </c>
      <c r="O19" s="152" t="str">
        <f ca="1">uxb_rank!BA28</f>
        <v>Dominican Rep.</v>
      </c>
      <c r="P19" s="153">
        <f ca="1">uxb_rank!BB28</f>
        <v>13.89</v>
      </c>
      <c r="Q19" s="154"/>
      <c r="R19" s="154"/>
      <c r="S19" s="154"/>
      <c r="T19" s="154"/>
      <c r="U19" s="154"/>
      <c r="V19" s="154"/>
      <c r="W19" s="154">
        <f ca="1">uxb_rank!BM28</f>
        <v>1</v>
      </c>
      <c r="X19" s="151" t="str">
        <f ca="1">uxb_rank!BO28</f>
        <v>=15</v>
      </c>
      <c r="Y19" s="152" t="str">
        <f ca="1">uxb_rank!BK28</f>
        <v>Nicaragua</v>
      </c>
      <c r="Z19" s="153">
        <f ca="1">uxb_rank!BL28</f>
        <v>12.5</v>
      </c>
      <c r="AA19" s="154"/>
      <c r="AB19" s="154"/>
      <c r="AC19" s="154"/>
      <c r="AD19" s="154"/>
      <c r="AE19" s="154"/>
      <c r="AF19" s="154"/>
      <c r="AG19" s="154">
        <f ca="1">uxb_rank!BW28</f>
        <v>1</v>
      </c>
      <c r="AH19" s="151">
        <f ca="1">uxb_rank!BY28</f>
        <v>16</v>
      </c>
      <c r="AI19" s="152" t="str">
        <f ca="1">uxb_rank!BU28</f>
        <v>Venezuela</v>
      </c>
      <c r="AJ19" s="153">
        <f ca="1">uxb_rank!BV28</f>
        <v>29.8</v>
      </c>
      <c r="AK19" s="154"/>
      <c r="AL19" s="154"/>
      <c r="AM19" s="154"/>
      <c r="AN19" s="154"/>
      <c r="AO19" s="154"/>
      <c r="AP19" s="154"/>
      <c r="AQ19" s="154">
        <f ca="1">uxb_rank!CG28</f>
        <v>1</v>
      </c>
      <c r="AR19" s="151">
        <f ca="1">uxb_rank!CI28</f>
        <v>16</v>
      </c>
      <c r="AS19" s="152" t="str">
        <f ca="1">uxb_rank!CE28</f>
        <v>Venezuela</v>
      </c>
      <c r="AT19" s="153">
        <f ca="1">uxb_rank!CF28</f>
        <v>37.08</v>
      </c>
      <c r="AU19" s="154"/>
      <c r="AV19" s="154"/>
      <c r="AW19" s="154"/>
      <c r="AX19" s="154"/>
      <c r="AY19" s="154"/>
      <c r="AZ19" s="154"/>
      <c r="BA19" s="154">
        <f ca="1">uxb_rank!CQ28</f>
        <v>1</v>
      </c>
      <c r="BB19" s="151" t="str">
        <f ca="1">uxb_rank!CS28</f>
        <v>=14</v>
      </c>
      <c r="BC19" s="152" t="str">
        <f ca="1">uxb_rank!CO28</f>
        <v>Uruguay</v>
      </c>
      <c r="BD19" s="153">
        <f ca="1">uxb_rank!CP28</f>
        <v>20.83</v>
      </c>
    </row>
    <row r="20" spans="3:56" ht="14.25">
      <c r="C20">
        <f ca="1">uxb_rank!AS29</f>
        <v>1</v>
      </c>
      <c r="D20" s="151">
        <f ca="1">uxb_rank!AU29</f>
        <v>17</v>
      </c>
      <c r="E20" s="152" t="str">
        <f ca="1">uxb_rank!AQ29</f>
        <v>Nicaragua</v>
      </c>
      <c r="F20" s="153">
        <f ca="1">uxb_rank!AR29</f>
        <v>16.489999999999998</v>
      </c>
      <c r="G20" s="154"/>
      <c r="H20" s="154"/>
      <c r="I20" s="154"/>
      <c r="J20" s="154"/>
      <c r="K20" s="154"/>
      <c r="L20" s="154"/>
      <c r="M20" s="154">
        <f ca="1">uxb_rank!BC29</f>
        <v>1</v>
      </c>
      <c r="N20" s="151">
        <f ca="1">uxb_rank!BE29</f>
        <v>17</v>
      </c>
      <c r="O20" s="152" t="str">
        <f ca="1">uxb_rank!BA29</f>
        <v>Venezuela</v>
      </c>
      <c r="P20" s="153">
        <f ca="1">uxb_rank!BB29</f>
        <v>8.33</v>
      </c>
      <c r="Q20" s="154"/>
      <c r="R20" s="154"/>
      <c r="S20" s="154"/>
      <c r="T20" s="154"/>
      <c r="U20" s="154"/>
      <c r="V20" s="154"/>
      <c r="W20" s="154">
        <f ca="1">uxb_rank!BM29</f>
        <v>1</v>
      </c>
      <c r="X20" s="151" t="str">
        <f ca="1">uxb_rank!BO29</f>
        <v>=15</v>
      </c>
      <c r="Y20" s="152" t="str">
        <f ca="1">uxb_rank!BK29</f>
        <v>Panama</v>
      </c>
      <c r="Z20" s="153">
        <f ca="1">uxb_rank!BL29</f>
        <v>12.5</v>
      </c>
      <c r="AA20" s="154"/>
      <c r="AB20" s="154"/>
      <c r="AC20" s="154"/>
      <c r="AD20" s="154"/>
      <c r="AE20" s="154"/>
      <c r="AF20" s="154"/>
      <c r="AG20" s="154">
        <f ca="1">uxb_rank!BW29</f>
        <v>1</v>
      </c>
      <c r="AH20" s="151">
        <f ca="1">uxb_rank!BY29</f>
        <v>17</v>
      </c>
      <c r="AI20" s="152" t="str">
        <f ca="1">uxb_rank!BU29</f>
        <v>Guatemala</v>
      </c>
      <c r="AJ20" s="153">
        <f ca="1">uxb_rank!BV29</f>
        <v>25.32</v>
      </c>
      <c r="AK20" s="154"/>
      <c r="AL20" s="154"/>
      <c r="AM20" s="154"/>
      <c r="AN20" s="154"/>
      <c r="AO20" s="154"/>
      <c r="AP20" s="154"/>
      <c r="AQ20" s="154">
        <f ca="1">uxb_rank!CG29</f>
        <v>1</v>
      </c>
      <c r="AR20" s="151">
        <f ca="1">uxb_rank!CI29</f>
        <v>17</v>
      </c>
      <c r="AS20" s="152" t="str">
        <f ca="1">uxb_rank!CE29</f>
        <v>Dominican Rep.</v>
      </c>
      <c r="AT20" s="153">
        <f ca="1">uxb_rank!CF29</f>
        <v>35.76</v>
      </c>
      <c r="AU20" s="154"/>
      <c r="AV20" s="154"/>
      <c r="AW20" s="154"/>
      <c r="AX20" s="154"/>
      <c r="AY20" s="154"/>
      <c r="AZ20" s="154"/>
      <c r="BA20" s="154">
        <f ca="1">uxb_rank!CQ29</f>
        <v>1</v>
      </c>
      <c r="BB20" s="151" t="str">
        <f ca="1">uxb_rank!CS29</f>
        <v>=17</v>
      </c>
      <c r="BC20" s="152" t="str">
        <f ca="1">uxb_rank!CO29</f>
        <v>Dominican Rep.</v>
      </c>
      <c r="BD20" s="153">
        <f ca="1">uxb_rank!CP29</f>
        <v>12.5</v>
      </c>
    </row>
    <row r="21" spans="3:56" ht="14.25">
      <c r="C21">
        <f ca="1">uxb_rank!AS30</f>
        <v>1</v>
      </c>
      <c r="D21" s="151">
        <f ca="1">uxb_rank!AU30</f>
        <v>18</v>
      </c>
      <c r="E21" s="152" t="str">
        <f ca="1">uxb_rank!AQ30</f>
        <v>Ecuador</v>
      </c>
      <c r="F21" s="153">
        <f ca="1">uxb_rank!AR30</f>
        <v>14.72</v>
      </c>
      <c r="G21" s="154"/>
      <c r="H21" s="154"/>
      <c r="I21" s="154"/>
      <c r="J21" s="154"/>
      <c r="K21" s="154"/>
      <c r="L21" s="154"/>
      <c r="M21" s="154">
        <f ca="1">uxb_rank!BC30</f>
        <v>1</v>
      </c>
      <c r="N21" s="151" t="str">
        <f ca="1">uxb_rank!BE30</f>
        <v>=18</v>
      </c>
      <c r="O21" s="152" t="str">
        <f ca="1">uxb_rank!BA30</f>
        <v>Ecuador</v>
      </c>
      <c r="P21" s="153">
        <f ca="1">uxb_rank!BB30</f>
        <v>5.56</v>
      </c>
      <c r="Q21" s="154"/>
      <c r="R21" s="154"/>
      <c r="S21" s="154"/>
      <c r="T21" s="154"/>
      <c r="U21" s="154"/>
      <c r="V21" s="154"/>
      <c r="W21" s="154">
        <f ca="1">uxb_rank!BM30</f>
        <v>1</v>
      </c>
      <c r="X21" s="151" t="str">
        <f ca="1">uxb_rank!BO30</f>
        <v>=18</v>
      </c>
      <c r="Y21" s="152" t="str">
        <f ca="1">uxb_rank!BK30</f>
        <v>Ecuador</v>
      </c>
      <c r="Z21" s="153">
        <f ca="1">uxb_rank!BL30</f>
        <v>0</v>
      </c>
      <c r="AA21" s="154"/>
      <c r="AB21" s="154"/>
      <c r="AC21" s="154"/>
      <c r="AD21" s="154"/>
      <c r="AE21" s="154"/>
      <c r="AF21" s="154"/>
      <c r="AG21" s="154">
        <f ca="1">uxb_rank!BW30</f>
        <v>1</v>
      </c>
      <c r="AH21" s="151">
        <f ca="1">uxb_rank!BY30</f>
        <v>18</v>
      </c>
      <c r="AI21" s="152" t="str">
        <f ca="1">uxb_rank!BU30</f>
        <v>El Salvador</v>
      </c>
      <c r="AJ21" s="153">
        <f ca="1">uxb_rank!BV30</f>
        <v>12.5</v>
      </c>
      <c r="AK21" s="154"/>
      <c r="AL21" s="154"/>
      <c r="AM21" s="154"/>
      <c r="AN21" s="154"/>
      <c r="AO21" s="154"/>
      <c r="AP21" s="154"/>
      <c r="AQ21" s="154">
        <f ca="1">uxb_rank!CG30</f>
        <v>1</v>
      </c>
      <c r="AR21" s="151">
        <f ca="1">uxb_rank!CI30</f>
        <v>18</v>
      </c>
      <c r="AS21" s="152" t="str">
        <f ca="1">uxb_rank!CE30</f>
        <v>Guatemala</v>
      </c>
      <c r="AT21" s="153">
        <f ca="1">uxb_rank!CF30</f>
        <v>33.369999999999997</v>
      </c>
      <c r="AU21" s="154"/>
      <c r="AV21" s="154"/>
      <c r="AW21" s="154"/>
      <c r="AX21" s="154"/>
      <c r="AY21" s="154"/>
      <c r="AZ21" s="154"/>
      <c r="BA21" s="154">
        <f ca="1">uxb_rank!CQ30</f>
        <v>1</v>
      </c>
      <c r="BB21" s="151" t="str">
        <f ca="1">uxb_rank!CS30</f>
        <v>=17</v>
      </c>
      <c r="BC21" s="152" t="str">
        <f ca="1">uxb_rank!CO30</f>
        <v>Nicaragua</v>
      </c>
      <c r="BD21" s="153">
        <f ca="1">uxb_rank!CP30</f>
        <v>12.5</v>
      </c>
    </row>
    <row r="22" spans="3:56" ht="14.25">
      <c r="C22">
        <f ca="1">uxb_rank!AS31</f>
        <v>1</v>
      </c>
      <c r="D22" s="151">
        <f ca="1">uxb_rank!AU31</f>
        <v>19</v>
      </c>
      <c r="E22" s="152" t="str">
        <f ca="1">uxb_rank!AQ31</f>
        <v>Venezuela</v>
      </c>
      <c r="F22" s="153">
        <f ca="1">uxb_rank!AR31</f>
        <v>13.68</v>
      </c>
      <c r="G22" s="154"/>
      <c r="H22" s="154"/>
      <c r="I22" s="154"/>
      <c r="J22" s="154"/>
      <c r="K22" s="154"/>
      <c r="L22" s="154"/>
      <c r="M22" s="154">
        <f ca="1">uxb_rank!BC31</f>
        <v>1</v>
      </c>
      <c r="N22" s="151" t="str">
        <f ca="1">uxb_rank!BE31</f>
        <v>=18</v>
      </c>
      <c r="O22" s="152" t="str">
        <f ca="1">uxb_rank!BA31</f>
        <v>Nicaragua</v>
      </c>
      <c r="P22" s="153">
        <f ca="1">uxb_rank!BB31</f>
        <v>5.56</v>
      </c>
      <c r="Q22" s="154"/>
      <c r="R22" s="154"/>
      <c r="S22" s="154"/>
      <c r="T22" s="154"/>
      <c r="U22" s="154"/>
      <c r="V22" s="154"/>
      <c r="W22" s="154">
        <f ca="1">uxb_rank!BM31</f>
        <v>1</v>
      </c>
      <c r="X22" s="151" t="str">
        <f ca="1">uxb_rank!BO31</f>
        <v>=18</v>
      </c>
      <c r="Y22" s="152" t="str">
        <f ca="1">uxb_rank!BK31</f>
        <v>Venezuela</v>
      </c>
      <c r="Z22" s="153">
        <f ca="1">uxb_rank!BL31</f>
        <v>0</v>
      </c>
      <c r="AA22" s="154"/>
      <c r="AB22" s="154"/>
      <c r="AC22" s="154"/>
      <c r="AD22" s="154"/>
      <c r="AE22" s="154"/>
      <c r="AF22" s="154"/>
      <c r="AG22" s="154">
        <f ca="1">uxb_rank!BW31</f>
        <v>1</v>
      </c>
      <c r="AH22" s="151">
        <f ca="1">uxb_rank!BY31</f>
        <v>19</v>
      </c>
      <c r="AI22" s="152" t="str">
        <f ca="1">uxb_rank!BU31</f>
        <v>Trinidad &amp; Tobago</v>
      </c>
      <c r="AJ22" s="153">
        <f ca="1">uxb_rank!BV31</f>
        <v>4.33</v>
      </c>
      <c r="AK22" s="154"/>
      <c r="AL22" s="154"/>
      <c r="AM22" s="154"/>
      <c r="AN22" s="154"/>
      <c r="AO22" s="154"/>
      <c r="AP22" s="154"/>
      <c r="AQ22" s="154">
        <f ca="1">uxb_rank!CG31</f>
        <v>1</v>
      </c>
      <c r="AR22" s="151">
        <f ca="1">uxb_rank!CI31</f>
        <v>19</v>
      </c>
      <c r="AS22" s="152" t="str">
        <f ca="1">uxb_rank!CE31</f>
        <v>Jamaica</v>
      </c>
      <c r="AT22" s="153">
        <f ca="1">uxb_rank!CF31</f>
        <v>13.32</v>
      </c>
      <c r="AU22" s="154"/>
      <c r="AV22" s="154"/>
      <c r="AW22" s="154"/>
      <c r="AX22" s="154"/>
      <c r="AY22" s="154"/>
      <c r="AZ22" s="154"/>
      <c r="BA22" s="154">
        <f ca="1">uxb_rank!CQ31</f>
        <v>1</v>
      </c>
      <c r="BB22" s="151">
        <f ca="1">uxb_rank!CS31</f>
        <v>19</v>
      </c>
      <c r="BC22" s="152" t="str">
        <f ca="1">uxb_rank!CO31</f>
        <v>Honduras</v>
      </c>
      <c r="BD22" s="153">
        <f ca="1">uxb_rank!CP31</f>
        <v>8.33</v>
      </c>
    </row>
  </sheetData>
  <phoneticPr fontId="44" type="noConversion"/>
  <conditionalFormatting sqref="D4:D22 AR4:AR22 X4:X22 AH4:AH22 N4:N22">
    <cfRule type="expression" dxfId="26" priority="70" stopIfTrue="1">
      <formula>C4=0</formula>
    </cfRule>
    <cfRule type="expression" dxfId="25" priority="71" stopIfTrue="1">
      <formula>C4=3</formula>
    </cfRule>
    <cfRule type="expression" dxfId="24" priority="72" stopIfTrue="1">
      <formula>C4=2</formula>
    </cfRule>
  </conditionalFormatting>
  <conditionalFormatting sqref="E4:E22 O4:O22 Y4:Y22 AI4:AI22 AS4:AS22">
    <cfRule type="expression" dxfId="23" priority="76" stopIfTrue="1">
      <formula>C4=0</formula>
    </cfRule>
    <cfRule type="expression" dxfId="22" priority="77" stopIfTrue="1">
      <formula>C4=3</formula>
    </cfRule>
    <cfRule type="expression" dxfId="21" priority="78" stopIfTrue="1">
      <formula>C4=2</formula>
    </cfRule>
  </conditionalFormatting>
  <conditionalFormatting sqref="F4:F22 P4:P22 Z4:Z22 AJ4:AJ22 AT4:AT22">
    <cfRule type="expression" dxfId="20" priority="79" stopIfTrue="1">
      <formula>C4=0</formula>
    </cfRule>
    <cfRule type="expression" dxfId="19" priority="80" stopIfTrue="1">
      <formula>C4=3</formula>
    </cfRule>
    <cfRule type="expression" dxfId="18" priority="81" stopIfTrue="1">
      <formula>C4=2</formula>
    </cfRule>
  </conditionalFormatting>
  <conditionalFormatting sqref="BB4:BB22">
    <cfRule type="expression" dxfId="17" priority="7" stopIfTrue="1">
      <formula>BA4=0</formula>
    </cfRule>
    <cfRule type="expression" dxfId="16" priority="8" stopIfTrue="1">
      <formula>BA4=3</formula>
    </cfRule>
    <cfRule type="expression" dxfId="15" priority="9" stopIfTrue="1">
      <formula>BA4=2</formula>
    </cfRule>
  </conditionalFormatting>
  <conditionalFormatting sqref="BC4:BC22">
    <cfRule type="expression" dxfId="14" priority="4" stopIfTrue="1">
      <formula>BA4=0</formula>
    </cfRule>
    <cfRule type="expression" dxfId="13" priority="5" stopIfTrue="1">
      <formula>BA4=3</formula>
    </cfRule>
    <cfRule type="expression" dxfId="12" priority="6" stopIfTrue="1">
      <formula>BA4=2</formula>
    </cfRule>
  </conditionalFormatting>
  <conditionalFormatting sqref="BD4:BD22">
    <cfRule type="expression" dxfId="11" priority="1" stopIfTrue="1">
      <formula>BA4=0</formula>
    </cfRule>
    <cfRule type="expression" dxfId="10" priority="2" stopIfTrue="1">
      <formula>BA4=3</formula>
    </cfRule>
    <cfRule type="expression" dxfId="9" priority="3" stopIfTrue="1">
      <formula>BA4=2</formula>
    </cfRule>
  </conditionalFormatting>
  <pageMargins left="0.7" right="0.7" top="0.75" bottom="0.75" header="0.3" footer="0.3"/>
  <pageSetup orientation="portrait" r:id="rId1"/>
  <ignoredErrors>
    <ignoredError sqref="D4 AS22" unlockedFormula="1"/>
  </ignoredErrors>
  <drawing r:id="rId2"/>
  <legacyDrawing r:id="rId3"/>
</worksheet>
</file>

<file path=xl/worksheets/sheet5.xml><?xml version="1.0" encoding="utf-8"?>
<worksheet xmlns="http://schemas.openxmlformats.org/spreadsheetml/2006/main" xmlns:r="http://schemas.openxmlformats.org/officeDocument/2006/relationships">
  <sheetPr codeName="Sheet13"/>
  <dimension ref="A1:AD45"/>
  <sheetViews>
    <sheetView showGridLines="0" showRowColHeaders="0" workbookViewId="0">
      <pane ySplit="1" topLeftCell="A2" activePane="bottomLeft" state="frozen"/>
      <selection pane="bottomLeft" activeCell="G35" sqref="G35"/>
    </sheetView>
  </sheetViews>
  <sheetFormatPr defaultRowHeight="12.75"/>
  <cols>
    <col min="1" max="1" width="1.140625" style="49" customWidth="1"/>
    <col min="2" max="2" width="17.140625" style="49" customWidth="1"/>
    <col min="3" max="3" width="16.7109375" style="49" customWidth="1"/>
    <col min="4" max="4" width="2.5703125" style="49" customWidth="1"/>
    <col min="5" max="5" width="1.28515625" style="49" customWidth="1"/>
    <col min="6" max="6" width="10.140625" style="49" customWidth="1"/>
    <col min="7" max="7" width="87.7109375" style="49" customWidth="1"/>
    <col min="8" max="16384" width="9.140625" style="49"/>
  </cols>
  <sheetData>
    <row r="1" spans="1:30" s="74" customFormat="1" ht="21" customHeight="1">
      <c r="A1" s="149" t="s">
        <v>685</v>
      </c>
      <c r="B1" s="149"/>
      <c r="C1" s="149"/>
      <c r="D1" s="149"/>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row>
    <row r="2" spans="1:30" s="79" customFormat="1" ht="1.5" customHeight="1">
      <c r="A2" s="87"/>
      <c r="B2" s="87"/>
    </row>
    <row r="3" spans="1:30">
      <c r="A3" s="53"/>
      <c r="B3" s="53"/>
      <c r="C3" s="53"/>
      <c r="D3" s="53"/>
    </row>
    <row r="4" spans="1:30">
      <c r="A4" s="53"/>
      <c r="B4" s="53"/>
      <c r="C4" s="53"/>
      <c r="D4" s="53"/>
      <c r="G4" s="51"/>
    </row>
    <row r="5" spans="1:30">
      <c r="A5" s="53"/>
      <c r="B5" s="53"/>
      <c r="C5" s="53"/>
      <c r="D5" s="53"/>
      <c r="G5" s="54"/>
    </row>
    <row r="6" spans="1:30">
      <c r="A6" s="53"/>
      <c r="B6" s="53"/>
      <c r="C6" s="53"/>
      <c r="D6" s="53"/>
      <c r="F6" s="51"/>
    </row>
    <row r="7" spans="1:30">
      <c r="A7" s="53"/>
      <c r="B7" s="53"/>
      <c r="C7" s="53"/>
      <c r="D7" s="53"/>
    </row>
    <row r="8" spans="1:30">
      <c r="A8" s="53"/>
      <c r="B8" s="53"/>
      <c r="C8" s="53"/>
      <c r="D8" s="53"/>
    </row>
    <row r="9" spans="1:30">
      <c r="A9" s="53"/>
      <c r="B9" s="53"/>
      <c r="C9" s="53"/>
      <c r="D9" s="53"/>
    </row>
    <row r="10" spans="1:30">
      <c r="A10" s="53"/>
      <c r="B10" s="53"/>
      <c r="C10" s="53"/>
      <c r="D10" s="53"/>
    </row>
    <row r="11" spans="1:30">
      <c r="A11" s="53"/>
      <c r="B11" s="53"/>
      <c r="C11" s="53"/>
      <c r="D11" s="53"/>
    </row>
    <row r="12" spans="1:30">
      <c r="A12" s="53"/>
      <c r="B12" s="53"/>
      <c r="C12" s="53"/>
      <c r="D12" s="53"/>
    </row>
    <row r="13" spans="1:30">
      <c r="A13" s="53"/>
      <c r="B13" s="53"/>
      <c r="C13" s="53"/>
      <c r="D13" s="53"/>
    </row>
    <row r="14" spans="1:30">
      <c r="A14" s="53"/>
      <c r="B14" s="53"/>
      <c r="C14" s="53"/>
      <c r="D14" s="53"/>
    </row>
    <row r="15" spans="1:30">
      <c r="A15" s="53"/>
      <c r="B15" s="53"/>
      <c r="C15" s="53"/>
      <c r="D15" s="53"/>
    </row>
    <row r="16" spans="1:30">
      <c r="A16" s="53"/>
      <c r="B16" s="53"/>
      <c r="C16" s="53"/>
      <c r="D16" s="53"/>
    </row>
    <row r="17" spans="1:4">
      <c r="A17" s="53"/>
      <c r="B17" s="53"/>
      <c r="C17" s="53"/>
      <c r="D17" s="53"/>
    </row>
    <row r="18" spans="1:4">
      <c r="A18" s="53"/>
      <c r="B18" s="53"/>
      <c r="C18" s="53"/>
      <c r="D18" s="53"/>
    </row>
    <row r="19" spans="1:4">
      <c r="A19" s="53"/>
      <c r="B19" s="53"/>
      <c r="C19" s="53"/>
      <c r="D19" s="53"/>
    </row>
    <row r="20" spans="1:4">
      <c r="A20" s="53"/>
      <c r="B20" s="53"/>
      <c r="C20" s="53"/>
      <c r="D20" s="53"/>
    </row>
    <row r="21" spans="1:4">
      <c r="A21" s="53"/>
      <c r="B21" s="53"/>
      <c r="C21" s="53"/>
      <c r="D21" s="53"/>
    </row>
    <row r="22" spans="1:4">
      <c r="A22" s="53"/>
      <c r="B22" s="53"/>
      <c r="C22" s="53"/>
      <c r="D22" s="53"/>
    </row>
    <row r="23" spans="1:4">
      <c r="A23" s="53"/>
      <c r="B23" s="53"/>
      <c r="C23" s="53"/>
      <c r="D23" s="53"/>
    </row>
    <row r="24" spans="1:4">
      <c r="A24" s="53"/>
      <c r="B24" s="53"/>
      <c r="C24" s="53"/>
      <c r="D24" s="53"/>
    </row>
    <row r="25" spans="1:4">
      <c r="A25" s="53"/>
      <c r="B25" s="53"/>
      <c r="C25" s="53"/>
      <c r="D25" s="53"/>
    </row>
    <row r="26" spans="1:4">
      <c r="A26" s="53"/>
      <c r="B26" s="53"/>
      <c r="C26" s="53"/>
      <c r="D26" s="53"/>
    </row>
    <row r="27" spans="1:4">
      <c r="A27" s="53"/>
      <c r="B27" s="53"/>
      <c r="C27" s="53"/>
      <c r="D27" s="53"/>
    </row>
    <row r="28" spans="1:4">
      <c r="A28" s="53"/>
      <c r="B28" s="53"/>
      <c r="C28" s="53"/>
      <c r="D28" s="53"/>
    </row>
    <row r="29" spans="1:4">
      <c r="A29" s="55"/>
      <c r="B29" s="55" t="s">
        <v>618</v>
      </c>
      <c r="C29" s="56">
        <f ca="1">uxb_scatter!C20</f>
        <v>0.69887406451710832</v>
      </c>
      <c r="D29" s="53"/>
    </row>
    <row r="30" spans="1:4">
      <c r="A30" s="55"/>
      <c r="B30" s="55"/>
      <c r="C30" s="55"/>
      <c r="D30" s="53"/>
    </row>
    <row r="31" spans="1:4">
      <c r="A31" s="53"/>
      <c r="B31" s="55"/>
      <c r="C31" s="55"/>
      <c r="D31" s="53"/>
    </row>
    <row r="32" spans="1:4">
      <c r="A32" s="55"/>
      <c r="B32" s="55"/>
      <c r="C32" s="55"/>
      <c r="D32" s="55"/>
    </row>
    <row r="33" spans="1:4">
      <c r="A33" s="55"/>
      <c r="B33" s="55"/>
      <c r="C33" s="55"/>
      <c r="D33" s="55"/>
    </row>
    <row r="34" spans="1:4">
      <c r="A34" s="55"/>
      <c r="B34" s="55"/>
      <c r="C34" s="55"/>
      <c r="D34" s="55"/>
    </row>
    <row r="35" spans="1:4">
      <c r="A35" s="55"/>
      <c r="B35" s="55"/>
      <c r="C35" s="55"/>
      <c r="D35" s="55"/>
    </row>
    <row r="40" spans="1:4">
      <c r="B40" s="50"/>
    </row>
    <row r="43" spans="1:4">
      <c r="B43" s="50"/>
    </row>
    <row r="45" spans="1:4">
      <c r="B45" s="50"/>
    </row>
  </sheetData>
  <phoneticPr fontId="33" type="noConversion"/>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sheetPr codeName="Sheet3"/>
  <dimension ref="A1:AV34"/>
  <sheetViews>
    <sheetView showGridLines="0" showRowColHeaders="0" workbookViewId="0">
      <pane ySplit="1" topLeftCell="A2" activePane="bottomLeft" state="frozen"/>
      <selection pane="bottomLeft" activeCell="H31" sqref="H31"/>
    </sheetView>
  </sheetViews>
  <sheetFormatPr defaultRowHeight="12.75"/>
  <cols>
    <col min="1" max="1" width="3.140625" customWidth="1"/>
    <col min="2" max="2" width="39.28515625" customWidth="1"/>
    <col min="3" max="3" width="5.28515625" customWidth="1"/>
    <col min="4" max="4" width="2" hidden="1" customWidth="1"/>
    <col min="5" max="5" width="5" customWidth="1"/>
    <col min="6" max="6" width="17.5703125" bestFit="1" customWidth="1"/>
    <col min="7" max="7" width="11.140625" customWidth="1"/>
    <col min="8" max="8" width="1.5703125" customWidth="1"/>
    <col min="9" max="9" width="15.42578125" customWidth="1"/>
    <col min="10" max="10" width="1.7109375" customWidth="1"/>
    <col min="11" max="11" width="6.5703125" customWidth="1"/>
  </cols>
  <sheetData>
    <row r="1" spans="1:48" s="74" customFormat="1" ht="21" customHeight="1">
      <c r="A1" s="149" t="s">
        <v>645</v>
      </c>
      <c r="B1" s="149"/>
      <c r="C1" s="149"/>
      <c r="D1" s="149"/>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49"/>
      <c r="AJ1" s="149"/>
      <c r="AK1" s="149"/>
      <c r="AL1" s="149"/>
      <c r="AM1" s="149"/>
      <c r="AN1" s="149"/>
      <c r="AO1" s="149"/>
      <c r="AP1" s="149"/>
      <c r="AQ1" s="149"/>
      <c r="AR1" s="149"/>
      <c r="AS1" s="149"/>
      <c r="AT1" s="149"/>
      <c r="AU1" s="149"/>
      <c r="AV1" s="149"/>
    </row>
    <row r="2" spans="1:48" s="79" customFormat="1" ht="1.5" customHeight="1">
      <c r="A2" s="87"/>
      <c r="B2" s="87"/>
    </row>
    <row r="3" spans="1:48" ht="19.5" customHeight="1">
      <c r="A3" s="85"/>
      <c r="B3" s="85"/>
      <c r="E3" s="100" t="str">
        <f ca="1">uxb_works!B14</f>
        <v>Capital market: private infrastructure finance</v>
      </c>
    </row>
    <row r="4" spans="1:48" ht="27" customHeight="1">
      <c r="A4" s="85"/>
      <c r="B4" s="85"/>
      <c r="E4" s="234" t="str">
        <f ca="1">IF(uxb_works!B15=0,"",uxb_works!B15)</f>
        <v>0-4, where 4=best and 0=worst</v>
      </c>
      <c r="F4" s="235"/>
      <c r="G4" s="235"/>
      <c r="H4" s="235"/>
      <c r="I4" s="235"/>
      <c r="J4" s="235"/>
      <c r="K4" s="235"/>
      <c r="L4" s="235"/>
      <c r="M4" s="235"/>
      <c r="N4" s="236"/>
    </row>
    <row r="5" spans="1:48" ht="15" customHeight="1">
      <c r="A5" s="85"/>
      <c r="B5" s="85"/>
      <c r="E5" s="101"/>
    </row>
    <row r="6" spans="1:48">
      <c r="A6" s="85"/>
      <c r="B6" s="85"/>
    </row>
    <row r="7" spans="1:48">
      <c r="A7" s="85"/>
      <c r="B7" s="86"/>
      <c r="E7" s="90"/>
      <c r="F7" s="90"/>
      <c r="G7" s="91" t="s">
        <v>589</v>
      </c>
      <c r="H7" s="91"/>
      <c r="I7" s="91"/>
      <c r="J7" s="91"/>
      <c r="K7" s="91" t="s">
        <v>219</v>
      </c>
    </row>
    <row r="8" spans="1:48">
      <c r="A8" s="85"/>
      <c r="B8" s="85"/>
      <c r="C8" s="60"/>
      <c r="D8">
        <f ca="1">uxb_rank!V13</f>
        <v>1</v>
      </c>
      <c r="E8" s="92">
        <f ca="1">uxb_rank!X13</f>
        <v>1</v>
      </c>
      <c r="F8" s="93" t="str">
        <f ca="1">uxb_rank!S13</f>
        <v xml:space="preserve">Chile </v>
      </c>
      <c r="G8" s="94" t="str">
        <f ca="1">uxb_rank!U13</f>
        <v>4</v>
      </c>
      <c r="H8" s="94"/>
      <c r="I8" s="102" t="str">
        <f ca="1">IF(ISNUMBER(K8),REPT("|",K8/2),REPT("|",((VALUE(G8)/G$8)*50)))</f>
        <v>||||||||||||||||||||||||||||||||||||||||||||||||||</v>
      </c>
      <c r="J8" s="94"/>
      <c r="K8" s="94">
        <f ca="1">IF(uxb_rank!$B$2=3,"-",uxb_rank!T13)</f>
        <v>100</v>
      </c>
    </row>
    <row r="9" spans="1:48">
      <c r="A9" s="85"/>
      <c r="B9" s="85"/>
      <c r="C9" s="60"/>
      <c r="D9">
        <f ca="1">uxb_rank!V14</f>
        <v>1</v>
      </c>
      <c r="E9" s="92" t="str">
        <f ca="1">uxb_rank!X14</f>
        <v>=2</v>
      </c>
      <c r="F9" s="93" t="str">
        <f ca="1">uxb_rank!S14</f>
        <v>Brazil</v>
      </c>
      <c r="G9" s="94" t="str">
        <f ca="1">uxb_rank!U14</f>
        <v>3</v>
      </c>
      <c r="H9" s="94"/>
      <c r="I9" s="102" t="str">
        <f t="shared" ref="I9:I26" ca="1" si="0">IF(ISNUMBER(K9),REPT("|",K9/2),REPT("|",((VALUE(G9)/G$8)*50)))</f>
        <v>|||||||||||||||||||||||||||||||||||||</v>
      </c>
      <c r="J9" s="94"/>
      <c r="K9" s="94">
        <f ca="1">IF(uxb_rank!$B$2=3,"-",uxb_rank!T14)</f>
        <v>75</v>
      </c>
    </row>
    <row r="10" spans="1:48">
      <c r="A10" s="85"/>
      <c r="B10" s="85"/>
      <c r="C10" s="60"/>
      <c r="D10">
        <f ca="1">uxb_rank!V15</f>
        <v>3</v>
      </c>
      <c r="E10" s="92" t="str">
        <f ca="1">uxb_rank!X15</f>
        <v>=2</v>
      </c>
      <c r="F10" s="93" t="str">
        <f ca="1">uxb_rank!S15</f>
        <v>Mexico</v>
      </c>
      <c r="G10" s="94" t="str">
        <f ca="1">uxb_rank!U15</f>
        <v>3</v>
      </c>
      <c r="H10" s="94"/>
      <c r="I10" s="102" t="str">
        <f t="shared" ca="1" si="0"/>
        <v>|||||||||||||||||||||||||||||||||||||</v>
      </c>
      <c r="J10" s="94"/>
      <c r="K10" s="94">
        <f ca="1">IF(uxb_rank!$B$2=3,"-",uxb_rank!T15)</f>
        <v>75</v>
      </c>
    </row>
    <row r="11" spans="1:48">
      <c r="A11" s="85"/>
      <c r="B11" s="85"/>
      <c r="C11" s="60"/>
      <c r="D11">
        <f ca="1">uxb_rank!V16</f>
        <v>1</v>
      </c>
      <c r="E11" s="92" t="str">
        <f ca="1">uxb_rank!X16</f>
        <v>=4</v>
      </c>
      <c r="F11" s="93" t="str">
        <f ca="1">uxb_rank!S16</f>
        <v>Colombia</v>
      </c>
      <c r="G11" s="94" t="str">
        <f ca="1">uxb_rank!U16</f>
        <v>2</v>
      </c>
      <c r="H11" s="94"/>
      <c r="I11" s="102" t="str">
        <f t="shared" ca="1" si="0"/>
        <v>|||||||||||||||||||||||||</v>
      </c>
      <c r="J11" s="94"/>
      <c r="K11" s="94">
        <f ca="1">IF(uxb_rank!$B$2=3,"-",uxb_rank!T16)</f>
        <v>50</v>
      </c>
    </row>
    <row r="12" spans="1:48">
      <c r="A12" s="85"/>
      <c r="B12" s="85"/>
      <c r="C12" s="60"/>
      <c r="D12">
        <f ca="1">uxb_rank!V17</f>
        <v>1</v>
      </c>
      <c r="E12" s="92" t="str">
        <f ca="1">uxb_rank!X17</f>
        <v>=4</v>
      </c>
      <c r="F12" s="93" t="str">
        <f ca="1">uxb_rank!S17</f>
        <v>Costa Rica</v>
      </c>
      <c r="G12" s="94" t="str">
        <f ca="1">uxb_rank!U17</f>
        <v>2</v>
      </c>
      <c r="H12" s="94"/>
      <c r="I12" s="102" t="str">
        <f t="shared" ca="1" si="0"/>
        <v>|||||||||||||||||||||||||</v>
      </c>
      <c r="J12" s="94"/>
      <c r="K12" s="94">
        <f ca="1">IF(uxb_rank!$B$2=3,"-",uxb_rank!T17)</f>
        <v>50</v>
      </c>
    </row>
    <row r="13" spans="1:48">
      <c r="A13" s="85"/>
      <c r="B13" s="85"/>
      <c r="C13" s="60"/>
      <c r="D13">
        <f ca="1">uxb_rank!V18</f>
        <v>1</v>
      </c>
      <c r="E13" s="92" t="str">
        <f ca="1">uxb_rank!X18</f>
        <v>=4</v>
      </c>
      <c r="F13" s="93" t="str">
        <f ca="1">uxb_rank!S18</f>
        <v>El Salvador</v>
      </c>
      <c r="G13" s="94" t="str">
        <f ca="1">uxb_rank!U18</f>
        <v>2</v>
      </c>
      <c r="H13" s="94"/>
      <c r="I13" s="102" t="str">
        <f t="shared" ca="1" si="0"/>
        <v>|||||||||||||||||||||||||</v>
      </c>
      <c r="J13" s="94"/>
      <c r="K13" s="94">
        <f ca="1">IF(uxb_rank!$B$2=3,"-",uxb_rank!T18)</f>
        <v>50</v>
      </c>
    </row>
    <row r="14" spans="1:48">
      <c r="A14" s="85"/>
      <c r="B14" s="85"/>
      <c r="C14" s="60"/>
      <c r="D14">
        <f ca="1">uxb_rank!V19</f>
        <v>1</v>
      </c>
      <c r="E14" s="92" t="str">
        <f ca="1">uxb_rank!X19</f>
        <v>=4</v>
      </c>
      <c r="F14" s="93" t="str">
        <f ca="1">uxb_rank!S19</f>
        <v>Panama</v>
      </c>
      <c r="G14" s="94" t="str">
        <f ca="1">uxb_rank!U19</f>
        <v>2</v>
      </c>
      <c r="H14" s="94"/>
      <c r="I14" s="102" t="str">
        <f t="shared" ca="1" si="0"/>
        <v>|||||||||||||||||||||||||</v>
      </c>
      <c r="J14" s="94"/>
      <c r="K14" s="94">
        <f ca="1">IF(uxb_rank!$B$2=3,"-",uxb_rank!T19)</f>
        <v>50</v>
      </c>
    </row>
    <row r="15" spans="1:48">
      <c r="A15" s="85"/>
      <c r="B15" s="85"/>
      <c r="C15" s="60"/>
      <c r="D15">
        <f ca="1">uxb_rank!V20</f>
        <v>1</v>
      </c>
      <c r="E15" s="92" t="str">
        <f ca="1">uxb_rank!X20</f>
        <v>=4</v>
      </c>
      <c r="F15" s="93" t="str">
        <f ca="1">uxb_rank!S20</f>
        <v>Peru</v>
      </c>
      <c r="G15" s="94" t="str">
        <f ca="1">uxb_rank!U20</f>
        <v>2</v>
      </c>
      <c r="H15" s="94"/>
      <c r="I15" s="102" t="str">
        <f t="shared" ca="1" si="0"/>
        <v>|||||||||||||||||||||||||</v>
      </c>
      <c r="J15" s="94"/>
      <c r="K15" s="94">
        <f ca="1">IF(uxb_rank!$B$2=3,"-",uxb_rank!T20)</f>
        <v>50</v>
      </c>
    </row>
    <row r="16" spans="1:48">
      <c r="A16" s="85"/>
      <c r="B16" s="85"/>
      <c r="C16" s="60"/>
      <c r="D16">
        <f ca="1">uxb_rank!V21</f>
        <v>1</v>
      </c>
      <c r="E16" s="92" t="str">
        <f ca="1">uxb_rank!X21</f>
        <v>=4</v>
      </c>
      <c r="F16" s="93" t="str">
        <f ca="1">uxb_rank!S21</f>
        <v>Trinidad &amp; Tobago</v>
      </c>
      <c r="G16" s="94" t="str">
        <f ca="1">uxb_rank!U21</f>
        <v>2</v>
      </c>
      <c r="H16" s="94"/>
      <c r="I16" s="102" t="str">
        <f t="shared" ca="1" si="0"/>
        <v>|||||||||||||||||||||||||</v>
      </c>
      <c r="J16" s="94"/>
      <c r="K16" s="94">
        <f ca="1">IF(uxb_rank!$B$2=3,"-",uxb_rank!T21)</f>
        <v>50</v>
      </c>
    </row>
    <row r="17" spans="1:14">
      <c r="A17" s="85"/>
      <c r="B17" s="85"/>
      <c r="C17" s="60"/>
      <c r="D17">
        <f ca="1">uxb_rank!V22</f>
        <v>1</v>
      </c>
      <c r="E17" s="92" t="str">
        <f ca="1">uxb_rank!X22</f>
        <v>=10</v>
      </c>
      <c r="F17" s="93" t="str">
        <f ca="1">uxb_rank!S22</f>
        <v>Argentina</v>
      </c>
      <c r="G17" s="94" t="str">
        <f ca="1">uxb_rank!U22</f>
        <v>1</v>
      </c>
      <c r="H17" s="94"/>
      <c r="I17" s="102" t="str">
        <f t="shared" ca="1" si="0"/>
        <v>||||||||||||</v>
      </c>
      <c r="J17" s="94"/>
      <c r="K17" s="94">
        <f ca="1">IF(uxb_rank!$B$2=3,"-",uxb_rank!T22)</f>
        <v>25</v>
      </c>
    </row>
    <row r="18" spans="1:14">
      <c r="A18" s="85"/>
      <c r="B18" s="85"/>
      <c r="C18" s="60"/>
      <c r="D18">
        <f ca="1">uxb_rank!V23</f>
        <v>1</v>
      </c>
      <c r="E18" s="92" t="str">
        <f ca="1">uxb_rank!X23</f>
        <v>=10</v>
      </c>
      <c r="F18" s="93" t="str">
        <f ca="1">uxb_rank!S23</f>
        <v>Dominican Rep.</v>
      </c>
      <c r="G18" s="94" t="str">
        <f ca="1">uxb_rank!U23</f>
        <v>1</v>
      </c>
      <c r="H18" s="94"/>
      <c r="I18" s="102" t="str">
        <f t="shared" ca="1" si="0"/>
        <v>||||||||||||</v>
      </c>
      <c r="J18" s="94"/>
      <c r="K18" s="94">
        <f ca="1">IF(uxb_rank!$B$2=3,"-",uxb_rank!T23)</f>
        <v>25</v>
      </c>
    </row>
    <row r="19" spans="1:14">
      <c r="A19" s="85"/>
      <c r="B19" s="85"/>
      <c r="C19" s="60"/>
      <c r="D19">
        <f ca="1">uxb_rank!V24</f>
        <v>1</v>
      </c>
      <c r="E19" s="92" t="str">
        <f ca="1">uxb_rank!X24</f>
        <v>=10</v>
      </c>
      <c r="F19" s="93" t="str">
        <f ca="1">uxb_rank!S24</f>
        <v>Ecuador</v>
      </c>
      <c r="G19" s="94" t="str">
        <f ca="1">uxb_rank!U24</f>
        <v>1</v>
      </c>
      <c r="H19" s="94"/>
      <c r="I19" s="102" t="str">
        <f t="shared" ca="1" si="0"/>
        <v>||||||||||||</v>
      </c>
      <c r="J19" s="94"/>
      <c r="K19" s="94">
        <f ca="1">IF(uxb_rank!$B$2=3,"-",uxb_rank!T24)</f>
        <v>25</v>
      </c>
    </row>
    <row r="20" spans="1:14">
      <c r="A20" s="85"/>
      <c r="B20" s="85"/>
      <c r="C20" s="60"/>
      <c r="D20">
        <f ca="1">uxb_rank!V25</f>
        <v>1</v>
      </c>
      <c r="E20" s="92" t="str">
        <f ca="1">uxb_rank!X25</f>
        <v>=10</v>
      </c>
      <c r="F20" s="93" t="str">
        <f ca="1">uxb_rank!S25</f>
        <v>Paraguay</v>
      </c>
      <c r="G20" s="94" t="str">
        <f ca="1">uxb_rank!U25</f>
        <v>1</v>
      </c>
      <c r="H20" s="94"/>
      <c r="I20" s="102" t="str">
        <f t="shared" ca="1" si="0"/>
        <v>||||||||||||</v>
      </c>
      <c r="J20" s="94"/>
      <c r="K20" s="94">
        <f ca="1">IF(uxb_rank!$B$2=3,"-",uxb_rank!T25)</f>
        <v>25</v>
      </c>
    </row>
    <row r="21" spans="1:14">
      <c r="A21" s="85"/>
      <c r="B21" s="85"/>
      <c r="C21" s="60"/>
      <c r="D21">
        <f ca="1">uxb_rank!V26</f>
        <v>1</v>
      </c>
      <c r="E21" s="92" t="str">
        <f ca="1">uxb_rank!X26</f>
        <v>=10</v>
      </c>
      <c r="F21" s="93" t="str">
        <f ca="1">uxb_rank!S26</f>
        <v>Uruguay</v>
      </c>
      <c r="G21" s="94" t="str">
        <f ca="1">uxb_rank!U26</f>
        <v>1</v>
      </c>
      <c r="H21" s="94"/>
      <c r="I21" s="102" t="str">
        <f t="shared" ca="1" si="0"/>
        <v>||||||||||||</v>
      </c>
      <c r="J21" s="94"/>
      <c r="K21" s="94">
        <f ca="1">IF(uxb_rank!$B$2=3,"-",uxb_rank!T26)</f>
        <v>25</v>
      </c>
    </row>
    <row r="22" spans="1:14">
      <c r="A22" s="85"/>
      <c r="B22" s="85"/>
      <c r="C22" s="60"/>
      <c r="D22">
        <f ca="1">uxb_rank!V27</f>
        <v>1</v>
      </c>
      <c r="E22" s="92" t="str">
        <f ca="1">uxb_rank!X27</f>
        <v>=10</v>
      </c>
      <c r="F22" s="93" t="str">
        <f ca="1">uxb_rank!S27</f>
        <v>Venezuela</v>
      </c>
      <c r="G22" s="94" t="str">
        <f ca="1">uxb_rank!U27</f>
        <v>1</v>
      </c>
      <c r="H22" s="94"/>
      <c r="I22" s="102" t="str">
        <f t="shared" ca="1" si="0"/>
        <v>||||||||||||</v>
      </c>
      <c r="J22" s="94"/>
      <c r="K22" s="94">
        <f ca="1">IF(uxb_rank!$B$2=3,"-",uxb_rank!T27)</f>
        <v>25</v>
      </c>
    </row>
    <row r="23" spans="1:14">
      <c r="A23" s="85"/>
      <c r="B23" s="85"/>
      <c r="C23" s="60"/>
      <c r="D23">
        <f ca="1">uxb_rank!V28</f>
        <v>1</v>
      </c>
      <c r="E23" s="92" t="str">
        <f ca="1">uxb_rank!X28</f>
        <v>=16</v>
      </c>
      <c r="F23" s="93" t="str">
        <f ca="1">uxb_rank!S28</f>
        <v>Guatemala</v>
      </c>
      <c r="G23" s="94" t="str">
        <f ca="1">uxb_rank!U28</f>
        <v>0</v>
      </c>
      <c r="H23" s="94"/>
      <c r="I23" s="102" t="str">
        <f t="shared" ca="1" si="0"/>
        <v/>
      </c>
      <c r="J23" s="94"/>
      <c r="K23" s="94">
        <f ca="1">IF(uxb_rank!$B$2=3,"-",uxb_rank!T28)</f>
        <v>0</v>
      </c>
    </row>
    <row r="24" spans="1:14">
      <c r="A24" s="85"/>
      <c r="B24" s="85"/>
      <c r="C24" s="60"/>
      <c r="D24">
        <f ca="1">uxb_rank!V29</f>
        <v>1</v>
      </c>
      <c r="E24" s="92" t="str">
        <f ca="1">uxb_rank!X29</f>
        <v>=16</v>
      </c>
      <c r="F24" s="93" t="str">
        <f ca="1">uxb_rank!S29</f>
        <v>Honduras</v>
      </c>
      <c r="G24" s="94" t="str">
        <f ca="1">uxb_rank!U29</f>
        <v>0</v>
      </c>
      <c r="H24" s="94"/>
      <c r="I24" s="102" t="str">
        <f t="shared" ca="1" si="0"/>
        <v/>
      </c>
      <c r="J24" s="94"/>
      <c r="K24" s="94">
        <f ca="1">IF(uxb_rank!$B$2=3,"-",uxb_rank!T29)</f>
        <v>0</v>
      </c>
    </row>
    <row r="25" spans="1:14">
      <c r="A25" s="85"/>
      <c r="B25" s="85"/>
      <c r="C25" s="60"/>
      <c r="D25">
        <f ca="1">uxb_rank!V30</f>
        <v>1</v>
      </c>
      <c r="E25" s="92" t="str">
        <f ca="1">uxb_rank!X30</f>
        <v>=16</v>
      </c>
      <c r="F25" s="93" t="str">
        <f ca="1">uxb_rank!S30</f>
        <v>Jamaica</v>
      </c>
      <c r="G25" s="94" t="str">
        <f ca="1">uxb_rank!U30</f>
        <v>0</v>
      </c>
      <c r="H25" s="94"/>
      <c r="I25" s="102" t="str">
        <f t="shared" ca="1" si="0"/>
        <v/>
      </c>
      <c r="J25" s="94"/>
      <c r="K25" s="94">
        <f ca="1">IF(uxb_rank!$B$2=3,"-",uxb_rank!T30)</f>
        <v>0</v>
      </c>
    </row>
    <row r="26" spans="1:14">
      <c r="A26" s="85"/>
      <c r="B26" s="85"/>
      <c r="C26" s="60"/>
      <c r="D26">
        <f ca="1">uxb_rank!V31</f>
        <v>1</v>
      </c>
      <c r="E26" s="92" t="str">
        <f ca="1">uxb_rank!X31</f>
        <v>=16</v>
      </c>
      <c r="F26" s="93" t="str">
        <f ca="1">uxb_rank!S31</f>
        <v>Nicaragua</v>
      </c>
      <c r="G26" s="94" t="str">
        <f ca="1">uxb_rank!U31</f>
        <v>0</v>
      </c>
      <c r="H26" s="94"/>
      <c r="I26" s="102" t="str">
        <f t="shared" ca="1" si="0"/>
        <v/>
      </c>
      <c r="J26" s="94"/>
      <c r="K26" s="94">
        <f ca="1">IF(uxb_rank!$B$2=3,"-",uxb_rank!T31)</f>
        <v>0</v>
      </c>
    </row>
    <row r="27" spans="1:14" ht="7.5" customHeight="1">
      <c r="A27" s="85"/>
      <c r="B27" s="85"/>
    </row>
    <row r="28" spans="1:14" ht="3" hidden="1" customHeight="1">
      <c r="A28" s="85"/>
      <c r="B28" s="85"/>
    </row>
    <row r="29" spans="1:14" ht="12" customHeight="1">
      <c r="A29" s="85"/>
      <c r="B29" s="85"/>
      <c r="E29" s="68" t="s">
        <v>505</v>
      </c>
    </row>
    <row r="30" spans="1:14" ht="68.25" customHeight="1">
      <c r="A30" s="85"/>
      <c r="B30" s="85"/>
      <c r="E30" s="237" t="str">
        <f ca="1">IF(uxb_works!B16=0,"",uxb_works!B16)</f>
        <v>How available and reliable are long-term debt  instruments for infrastructure financing? Is there a developed insurance and pension market with useful products for infrastructure risk reduction? Are interest rate, exchange rate hedging instruments available?</v>
      </c>
      <c r="F30" s="238"/>
      <c r="G30" s="238"/>
      <c r="H30" s="238"/>
      <c r="I30" s="238"/>
      <c r="J30" s="238"/>
      <c r="K30" s="238"/>
      <c r="L30" s="238"/>
      <c r="M30" s="238"/>
      <c r="N30" s="239"/>
    </row>
    <row r="31" spans="1:14" ht="12.75" customHeight="1">
      <c r="A31" s="85"/>
      <c r="B31" s="85"/>
    </row>
    <row r="32" spans="1:14">
      <c r="A32" s="85"/>
      <c r="B32" s="85"/>
      <c r="E32" s="68" t="s">
        <v>506</v>
      </c>
    </row>
    <row r="33" spans="1:14" ht="6.75" customHeight="1">
      <c r="A33" s="85"/>
      <c r="B33" s="85"/>
    </row>
    <row r="34" spans="1:14" ht="152.25" customHeight="1">
      <c r="A34" s="85"/>
      <c r="B34" s="85"/>
      <c r="E34" s="237" t="str">
        <f ca="1">IF(uxb_works!B19=0,"",uxb_works!B19)</f>
        <v>0=The markets for finance and risk instruments are underdeveloped or nonexistent, and only foreign sources provide project funding;
1=The market for local finance is slowly developing, though most finance comes from international sources and risk hedging instruments do not exist;
2=Some finance and risk instruments exist, though financing still mainly comes from foreign and multilateral organisations;
3=The domestic market presents a large, reliable financing market but risk instruments are still developing in size and complexity;
4=There is a deep, liquid finance market locally, as well as a reliable and large local market for hedging instruments</v>
      </c>
      <c r="F34" s="238"/>
      <c r="G34" s="238"/>
      <c r="H34" s="238"/>
      <c r="I34" s="238"/>
      <c r="J34" s="238"/>
      <c r="K34" s="238"/>
      <c r="L34" s="238"/>
      <c r="M34" s="238"/>
      <c r="N34" s="239"/>
    </row>
  </sheetData>
  <mergeCells count="3">
    <mergeCell ref="E4:N4"/>
    <mergeCell ref="E34:N34"/>
    <mergeCell ref="E30:N30"/>
  </mergeCells>
  <phoneticPr fontId="26" type="noConversion"/>
  <conditionalFormatting sqref="E8:K26">
    <cfRule type="expression" dxfId="8" priority="7" stopIfTrue="1">
      <formula>$D8=0</formula>
    </cfRule>
    <cfRule type="expression" dxfId="7" priority="8" stopIfTrue="1">
      <formula>$D8=3</formula>
    </cfRule>
    <cfRule type="expression" dxfId="6" priority="9" stopIfTrue="1">
      <formula>$D8=2</formula>
    </cfRule>
  </conditionalFormatting>
  <pageMargins left="0.7" right="0.7" top="0.75" bottom="0.75" header="0.3" footer="0.3"/>
  <pageSetup orientation="portrait" horizontalDpi="4294967293" r:id="rId1"/>
  <drawing r:id="rId2"/>
  <legacyDrawing r:id="rId3"/>
</worksheet>
</file>

<file path=xl/worksheets/sheet7.xml><?xml version="1.0" encoding="utf-8"?>
<worksheet xmlns="http://schemas.openxmlformats.org/spreadsheetml/2006/main" xmlns:r="http://schemas.openxmlformats.org/officeDocument/2006/relationships">
  <sheetPr codeName="Sheet17"/>
  <dimension ref="A1:DC31"/>
  <sheetViews>
    <sheetView topLeftCell="CB1" zoomScale="70" zoomScaleNormal="70" workbookViewId="0">
      <selection activeCell="CL9" sqref="CL9"/>
    </sheetView>
  </sheetViews>
  <sheetFormatPr defaultRowHeight="12.75"/>
  <cols>
    <col min="5" max="12" width="5.7109375" customWidth="1"/>
    <col min="14" max="14" width="6.42578125" customWidth="1"/>
    <col min="15" max="15" width="7" customWidth="1"/>
    <col min="16" max="16" width="6.85546875" customWidth="1"/>
    <col min="17" max="18" width="6" customWidth="1"/>
    <col min="20" max="20" width="8.140625" customWidth="1"/>
    <col min="21" max="21" width="7.28515625" customWidth="1"/>
    <col min="22" max="24" width="5.28515625" customWidth="1"/>
    <col min="25" max="28" width="3.7109375" customWidth="1"/>
    <col min="29" max="29" width="4.7109375" customWidth="1"/>
    <col min="30" max="38" width="3.7109375" customWidth="1"/>
    <col min="40" max="42" width="6" customWidth="1"/>
    <col min="43" max="43" width="10.7109375" customWidth="1"/>
    <col min="44" max="47" width="6" customWidth="1"/>
    <col min="50" max="52" width="6" customWidth="1"/>
    <col min="53" max="53" width="10.7109375" customWidth="1"/>
    <col min="54" max="57" width="6" customWidth="1"/>
    <col min="60" max="62" width="6" customWidth="1"/>
    <col min="63" max="63" width="10.7109375" customWidth="1"/>
    <col min="64" max="67" width="6" customWidth="1"/>
    <col min="70" max="72" width="6" customWidth="1"/>
    <col min="73" max="73" width="10.7109375" customWidth="1"/>
    <col min="74" max="77" width="6" customWidth="1"/>
    <col min="80" max="82" width="6" customWidth="1"/>
    <col min="83" max="83" width="10.7109375" customWidth="1"/>
    <col min="84" max="87" width="6" customWidth="1"/>
    <col min="90" max="92" width="6" customWidth="1"/>
    <col min="93" max="93" width="10.7109375" customWidth="1"/>
    <col min="94" max="97" width="6" customWidth="1"/>
    <col min="100" max="102" width="6" customWidth="1"/>
    <col min="103" max="103" width="10.7109375" customWidth="1"/>
    <col min="104" max="107" width="6" customWidth="1"/>
  </cols>
  <sheetData>
    <row r="1" spans="1:107">
      <c r="A1" s="27" t="s">
        <v>569</v>
      </c>
      <c r="B1" s="34" t="str">
        <f ca="1">uxb_works!B11</f>
        <v>FINC02</v>
      </c>
      <c r="O1" s="68" t="s">
        <v>325</v>
      </c>
      <c r="AB1" s="68" t="s">
        <v>313</v>
      </c>
      <c r="AN1" s="68" t="s">
        <v>324</v>
      </c>
    </row>
    <row r="2" spans="1:107">
      <c r="A2" s="28" t="s">
        <v>571</v>
      </c>
      <c r="B2" s="34">
        <f ca="1">uxb_works!B10</f>
        <v>2</v>
      </c>
    </row>
    <row r="3" spans="1:107">
      <c r="A3" s="28" t="s">
        <v>570</v>
      </c>
      <c r="B3" s="47" t="str">
        <f ca="1">uxb_works!B12</f>
        <v>0</v>
      </c>
    </row>
    <row r="5" spans="1:107">
      <c r="A5" s="2" t="s">
        <v>584</v>
      </c>
      <c r="B5">
        <f ca="1">uxb_works!B2</f>
        <v>1</v>
      </c>
    </row>
    <row r="6" spans="1:107">
      <c r="A6" s="2" t="s">
        <v>584</v>
      </c>
      <c r="B6" t="str">
        <f ca="1">uxb_works!B3</f>
        <v>TOTL</v>
      </c>
    </row>
    <row r="9" spans="1:107">
      <c r="L9" s="4"/>
      <c r="N9" s="2" t="s">
        <v>566</v>
      </c>
      <c r="O9" s="34" t="str">
        <f>B1</f>
        <v>FINC02</v>
      </c>
      <c r="AA9" s="2" t="s">
        <v>566</v>
      </c>
      <c r="AB9" s="2" t="str">
        <f>B6</f>
        <v>TOTL</v>
      </c>
      <c r="AM9" s="2" t="s">
        <v>566</v>
      </c>
      <c r="AN9" s="2" t="str">
        <f ca="1">tblSections!A2</f>
        <v>TOTL</v>
      </c>
      <c r="AW9" s="2" t="s">
        <v>566</v>
      </c>
      <c r="AX9" s="2" t="str">
        <f ca="1">tblSections!A3</f>
        <v>LEGF</v>
      </c>
      <c r="BG9" s="2" t="s">
        <v>566</v>
      </c>
      <c r="BH9" s="2" t="str">
        <f ca="1">tblSections!A4</f>
        <v>INST</v>
      </c>
      <c r="BQ9" s="2" t="s">
        <v>566</v>
      </c>
      <c r="BR9" s="2" t="str">
        <f ca="1">tblSections!A5</f>
        <v>OPER</v>
      </c>
      <c r="CA9" s="2" t="s">
        <v>566</v>
      </c>
      <c r="CB9" s="2" t="str">
        <f ca="1">tblSections!A6</f>
        <v>INVT</v>
      </c>
      <c r="CK9" s="2" t="s">
        <v>566</v>
      </c>
      <c r="CL9" s="2" t="str">
        <f ca="1">tblSections!A7</f>
        <v>FINC</v>
      </c>
      <c r="CU9" s="2" t="s">
        <v>566</v>
      </c>
      <c r="CV9" s="2">
        <f ca="1">tblSections!A8</f>
        <v>0</v>
      </c>
    </row>
    <row r="10" spans="1:107">
      <c r="L10" s="6"/>
      <c r="N10" s="2" t="s">
        <v>567</v>
      </c>
      <c r="O10">
        <f ca="1">MATCH(O9,score_indicode,0)</f>
        <v>22</v>
      </c>
      <c r="AA10" s="2" t="s">
        <v>567</v>
      </c>
      <c r="AB10">
        <f ca="1">MATCH(AB9,score_indicode,0)</f>
        <v>1</v>
      </c>
      <c r="AM10" s="2" t="s">
        <v>567</v>
      </c>
      <c r="AN10">
        <f ca="1">MATCH(AN9,score_indicode,0)</f>
        <v>1</v>
      </c>
      <c r="AW10" s="2" t="s">
        <v>567</v>
      </c>
      <c r="AX10">
        <f ca="1">MATCH(AX9,score_indicode,0)</f>
        <v>2</v>
      </c>
      <c r="BG10" s="2" t="s">
        <v>567</v>
      </c>
      <c r="BH10">
        <f ca="1">MATCH(BH9,score_indicode,0)</f>
        <v>7</v>
      </c>
      <c r="BQ10" s="2" t="s">
        <v>567</v>
      </c>
      <c r="BR10">
        <f ca="1">MATCH(BR9,score_indicode,0)</f>
        <v>10</v>
      </c>
      <c r="CA10" s="2" t="s">
        <v>567</v>
      </c>
      <c r="CB10">
        <f ca="1">MATCH(CB9,score_indicode,0)</f>
        <v>16</v>
      </c>
      <c r="CK10" s="2" t="s">
        <v>567</v>
      </c>
      <c r="CL10">
        <f ca="1">MATCH(CL9,score_indicode,0)</f>
        <v>20</v>
      </c>
      <c r="CU10" s="2" t="s">
        <v>567</v>
      </c>
      <c r="CV10" t="e">
        <f ca="1">MATCH(CV9,score_indicode,0)</f>
        <v>#N/A</v>
      </c>
    </row>
    <row r="11" spans="1:107">
      <c r="L11" s="6"/>
    </row>
    <row r="12" spans="1:107">
      <c r="A12" s="26" t="s">
        <v>563</v>
      </c>
      <c r="B12" s="26" t="s">
        <v>511</v>
      </c>
      <c r="C12" s="26" t="s">
        <v>564</v>
      </c>
      <c r="D12" s="26" t="s">
        <v>565</v>
      </c>
      <c r="E12" s="26" t="s">
        <v>532</v>
      </c>
      <c r="F12" s="46" t="s">
        <v>539</v>
      </c>
      <c r="G12" s="46" t="s">
        <v>538</v>
      </c>
      <c r="H12" s="46" t="s">
        <v>533</v>
      </c>
      <c r="I12" s="46" t="s">
        <v>534</v>
      </c>
      <c r="J12" s="46" t="s">
        <v>537</v>
      </c>
      <c r="K12" s="46" t="s">
        <v>535</v>
      </c>
      <c r="L12" s="46" t="s">
        <v>536</v>
      </c>
      <c r="O12" s="29" t="s">
        <v>568</v>
      </c>
      <c r="P12" s="29" t="s">
        <v>572</v>
      </c>
      <c r="Q12" s="29" t="s">
        <v>573</v>
      </c>
      <c r="R12" s="29" t="s">
        <v>574</v>
      </c>
      <c r="S12" s="29" t="s">
        <v>511</v>
      </c>
      <c r="T12" s="29" t="s">
        <v>568</v>
      </c>
      <c r="U12" s="29" t="s">
        <v>572</v>
      </c>
      <c r="V12" s="29" t="s">
        <v>575</v>
      </c>
      <c r="W12" s="29" t="s">
        <v>573</v>
      </c>
      <c r="X12" s="29" t="s">
        <v>576</v>
      </c>
    </row>
    <row r="13" spans="1:107">
      <c r="A13" s="25">
        <v>1</v>
      </c>
      <c r="B13" t="str">
        <f ca="1">tblCountries!E6</f>
        <v>Argentina</v>
      </c>
      <c r="C13">
        <f ca="1">tblCountries!A6</f>
        <v>1</v>
      </c>
      <c r="D13">
        <f ca="1">tblCountries!H6</f>
        <v>1</v>
      </c>
      <c r="L13" s="6"/>
      <c r="O13" s="14">
        <f t="shared" ref="O13:O31" ca="1" si="0">IF($D13=0,"",ROUND(INDEX(scores,O$10,$C13),3))</f>
        <v>25</v>
      </c>
      <c r="P13" s="14">
        <f t="shared" ref="P13:P31" ca="1" si="1">IF($D13=0,"",IF($B$2&lt;2,"-",ROUND(INDEX(data,O$10,$C13),3)))</f>
        <v>1</v>
      </c>
      <c r="Q13" s="30">
        <f ca="1">RANK(O13,O$13:O$31)+COUNTIF(O$13:O13,O13)-1</f>
        <v>10</v>
      </c>
      <c r="R13" s="27">
        <f t="shared" ref="R13:R31" ca="1" si="2">MATCH($A13,Q$13:Q$31,0)</f>
        <v>3</v>
      </c>
      <c r="S13" s="27" t="str">
        <f t="shared" ref="S13:S31" ca="1" si="3">INDEX($B$13:$B$31,R13,0)</f>
        <v xml:space="preserve">Chile </v>
      </c>
      <c r="T13" s="27">
        <f t="shared" ref="T13:T31" ca="1" si="4">INDEX(O$13:O$31,R13,0)</f>
        <v>100</v>
      </c>
      <c r="U13" s="13" t="str">
        <f t="shared" ref="U13:U31" ca="1" si="5">TEXT(INDEX(P$13:P$31,R13,0),$B$3)</f>
        <v>4</v>
      </c>
      <c r="V13" s="27">
        <f t="shared" ref="V13:V31" ca="1" si="6">IF(ISERROR(INDEX($D$13:$D$31,R13,0)),0,INDEX($D$13:$D$31,R13,0))</f>
        <v>1</v>
      </c>
      <c r="W13" s="27">
        <v>1</v>
      </c>
      <c r="X13" s="13">
        <f ca="1">IF(OR(W13=W12,W13=W14),CONCATENATE("=",W13),W13)</f>
        <v>1</v>
      </c>
      <c r="AB13" s="27">
        <f t="shared" ref="AB13:AB31" ca="1" si="7">IF($D13=0,"",ROUND(INDEX(scores,AB$10,$C13),2))</f>
        <v>23.46</v>
      </c>
      <c r="AC13" s="27">
        <f ca="1">RANK(AB13,AB$13:AB$31)+COUNTIF(AB$13:AB13,AB13)-1</f>
        <v>13</v>
      </c>
      <c r="AD13" s="27">
        <f t="shared" ref="AD13:AD31" ca="1" si="8">MATCH($A13,AC$13:AC$31,0)</f>
        <v>3</v>
      </c>
      <c r="AE13" s="27" t="str">
        <f t="shared" ref="AE13:AE31" ca="1" si="9">INDEX($B$13:$B$31,AD13,0)</f>
        <v xml:space="preserve">Chile </v>
      </c>
      <c r="AF13" s="27">
        <f t="shared" ref="AF13:AF31" ca="1" si="10">INDEX(AB$13:AB$31,AD13,0)</f>
        <v>65.290000000000006</v>
      </c>
      <c r="AG13" s="27">
        <f t="shared" ref="AG13:AG31" ca="1" si="11">IF(ISERROR(INDEX($D$13:$D$31,AD13,0)),0,INDEX($D$13:$D$31,AD13,0))</f>
        <v>1</v>
      </c>
      <c r="AH13" s="27">
        <v>1</v>
      </c>
      <c r="AI13" s="13">
        <f ca="1">IF(OR(AH13=AH12,AH13=AH14),CONCATENATE("=",AH13),AH13)</f>
        <v>1</v>
      </c>
      <c r="AN13" s="27">
        <f t="shared" ref="AN13:AN31" ca="1" si="12">IF($D13=0,"",ROUND(INDEX(scores,AN$10,$C13),2))</f>
        <v>23.46</v>
      </c>
      <c r="AO13" s="27">
        <f ca="1">RANK(AN13,AN$13:AN$31)+COUNTIF(AN$13:AN13,AN13)-1</f>
        <v>13</v>
      </c>
      <c r="AP13" s="27">
        <f t="shared" ref="AP13:AP31" ca="1" si="13">MATCH($A13,AO$13:AO$31,0)</f>
        <v>3</v>
      </c>
      <c r="AQ13" s="27" t="str">
        <f t="shared" ref="AQ13:AQ31" ca="1" si="14">INDEX($B$13:$B$31,AP13,0)</f>
        <v xml:space="preserve">Chile </v>
      </c>
      <c r="AR13" s="27">
        <f t="shared" ref="AR13:AR31" ca="1" si="15">INDEX(AN$13:AN$31,AP13,0)</f>
        <v>65.290000000000006</v>
      </c>
      <c r="AS13" s="27">
        <f t="shared" ref="AS13:AS31" ca="1" si="16">IF(ISERROR(INDEX($D$13:$D$31,AP13,0)),0,INDEX($D$13:$D$31,AP13,0))</f>
        <v>1</v>
      </c>
      <c r="AT13" s="27">
        <v>1</v>
      </c>
      <c r="AU13" s="13">
        <f ca="1">IF(OR(AT13=AT12,AT13=AT14),CONCATENATE("=",AT13),AT13)</f>
        <v>1</v>
      </c>
      <c r="AX13" s="27">
        <f t="shared" ref="AX13:AX31" ca="1" si="17">IF($D13=0,"",ROUND(INDEX(scores,AX$10,$C13),2))</f>
        <v>16.670000000000002</v>
      </c>
      <c r="AY13" s="27">
        <f ca="1">RANK(AX13,AX$13:AX$31)+COUNTIF(AX$13:AX13,AX13)-1</f>
        <v>13</v>
      </c>
      <c r="AZ13" s="27">
        <f t="shared" ref="AZ13:AZ31" ca="1" si="18">MATCH($A13,AY$13:AY$31,0)</f>
        <v>3</v>
      </c>
      <c r="BA13" s="27" t="str">
        <f t="shared" ref="BA13:BA31" ca="1" si="19">INDEX($B$13:$B$31,AZ13,0)</f>
        <v xml:space="preserve">Chile </v>
      </c>
      <c r="BB13" s="27">
        <f t="shared" ref="BB13:BB31" ca="1" si="20">INDEX(AX$13:AX$31,AZ13,0)</f>
        <v>61.11</v>
      </c>
      <c r="BC13" s="27">
        <f t="shared" ref="BC13:BC31" ca="1" si="21">IF(ISERROR(INDEX($D$13:$D$31,AZ13,0)),0,INDEX($D$13:$D$31,AZ13,0))</f>
        <v>1</v>
      </c>
      <c r="BD13" s="27">
        <v>1</v>
      </c>
      <c r="BE13" s="13">
        <f ca="1">IF(OR(BD13=BD12,BD13=BD14),CONCATENATE("=",BD13),BD13)</f>
        <v>1</v>
      </c>
      <c r="BH13" s="27">
        <f t="shared" ref="BH13:BH31" ca="1" si="22">IF($D13=0,"",ROUND(INDEX(scores,BH$10,$C13),2))</f>
        <v>12.5</v>
      </c>
      <c r="BI13" s="27">
        <f ca="1">RANK(BH13,BH$13:BH$31)+COUNTIF(BH$13:BH13,BH13)-1</f>
        <v>15</v>
      </c>
      <c r="BJ13" s="27">
        <f t="shared" ref="BJ13:BJ31" ca="1" si="23">MATCH($A13,BI$13:BI$31,0)</f>
        <v>2</v>
      </c>
      <c r="BK13" s="27" t="str">
        <f t="shared" ref="BK13:BK31" ca="1" si="24">INDEX($B$13:$B$31,BJ13,0)</f>
        <v>Brazil</v>
      </c>
      <c r="BL13" s="27">
        <f t="shared" ref="BL13:BL31" ca="1" si="25">INDEX(BH$13:BH$31,BJ13,0)</f>
        <v>62.5</v>
      </c>
      <c r="BM13" s="27">
        <f t="shared" ref="BM13:BM31" ca="1" si="26">IF(ISERROR(INDEX($D$13:$D$31,BJ13,0)),0,INDEX($D$13:$D$31,BJ13,0))</f>
        <v>1</v>
      </c>
      <c r="BN13" s="27">
        <v>1</v>
      </c>
      <c r="BO13" s="13">
        <f ca="1">IF(OR(BN13=BN12,BN13=BN14),CONCATENATE("=",BN13),BN13)</f>
        <v>1</v>
      </c>
      <c r="BR13" s="27">
        <f t="shared" ref="BR13:BR31" ca="1" si="27">IF($D13=0,"",ROUND(INDEX(scores,BR$10,$C13),2))</f>
        <v>41.48</v>
      </c>
      <c r="BS13" s="27">
        <f ca="1">RANK(BR13,BR$13:BR$31)+COUNTIF(BR$13:BR13,BR13)-1</f>
        <v>9</v>
      </c>
      <c r="BT13" s="27">
        <f t="shared" ref="BT13:BT31" ca="1" si="28">MATCH($A13,BS$13:BS$31,0)</f>
        <v>3</v>
      </c>
      <c r="BU13" s="27" t="str">
        <f t="shared" ref="BU13:BU31" ca="1" si="29">INDEX($B$13:$B$31,BT13,0)</f>
        <v xml:space="preserve">Chile </v>
      </c>
      <c r="BV13" s="27">
        <f t="shared" ref="BV13:BV31" ca="1" si="30">INDEX(BR$13:BR$31,BT13,0)</f>
        <v>77.819999999999993</v>
      </c>
      <c r="BW13" s="27">
        <f t="shared" ref="BW13:BW31" ca="1" si="31">IF(ISERROR(INDEX($D$13:$D$31,BT13,0)),0,INDEX($D$13:$D$31,BT13,0))</f>
        <v>1</v>
      </c>
      <c r="BX13" s="27">
        <v>1</v>
      </c>
      <c r="BY13" s="13">
        <f ca="1">IF(OR(BX13=BX12,BX13=BX14),CONCATENATE("=",BX13),BX13)</f>
        <v>1</v>
      </c>
      <c r="CB13" s="27">
        <f t="shared" ref="CB13:CB31" ca="1" si="32">IF($D13=0,"",ROUND(INDEX(scores,CB$10,$C13),2))</f>
        <v>51.56</v>
      </c>
      <c r="CC13" s="27">
        <f ca="1">RANK(CB13,CB$13:CB$31)+COUNTIF(CB$13:CB13,CB13)-1</f>
        <v>13</v>
      </c>
      <c r="CD13" s="27">
        <f t="shared" ref="CD13:CD31" ca="1" si="33">MATCH($A13,CC$13:CC$31,0)</f>
        <v>3</v>
      </c>
      <c r="CE13" s="27" t="str">
        <f t="shared" ref="CE13:CE31" ca="1" si="34">INDEX($B$13:$B$31,CD13,0)</f>
        <v xml:space="preserve">Chile </v>
      </c>
      <c r="CF13" s="27">
        <f t="shared" ref="CF13:CF31" ca="1" si="35">INDEX(CB$13:CB$31,CD13,0)</f>
        <v>93.03</v>
      </c>
      <c r="CG13" s="27">
        <f t="shared" ref="CG13:CG31" ca="1" si="36">IF(ISERROR(INDEX($D$13:$D$31,CD13,0)),0,INDEX($D$13:$D$31,CD13,0))</f>
        <v>1</v>
      </c>
      <c r="CH13" s="27">
        <v>1</v>
      </c>
      <c r="CI13" s="13">
        <f ca="1">IF(OR(CH13=CH12,CH13=CH14),CONCATENATE("=",CH13),CH13)</f>
        <v>1</v>
      </c>
      <c r="CL13" s="27">
        <f t="shared" ref="CL13:CL31" ca="1" si="37">IF($D13=0,"",ROUND(INDEX(scores,CL$10,$C13),2))</f>
        <v>20.83</v>
      </c>
      <c r="CM13" s="27">
        <f ca="1">RANK(CL13,CL$13:CL$31)+COUNTIF(CL$13:CL13,CL13)-1</f>
        <v>14</v>
      </c>
      <c r="CN13" s="27">
        <f t="shared" ref="CN13:CN31" ca="1" si="38">MATCH($A13,CM$13:CM$31,0)</f>
        <v>3</v>
      </c>
      <c r="CO13" s="27" t="str">
        <f t="shared" ref="CO13:CO31" ca="1" si="39">INDEX($B$13:$B$31,CN13,0)</f>
        <v xml:space="preserve">Chile </v>
      </c>
      <c r="CP13" s="27">
        <f t="shared" ref="CP13:CP31" ca="1" si="40">INDEX(CL$13:CL$31,CN13,0)</f>
        <v>95.83</v>
      </c>
      <c r="CQ13" s="27">
        <f t="shared" ref="CQ13:CQ31" ca="1" si="41">IF(ISERROR(INDEX($D$13:$D$31,CN13,0)),0,INDEX($D$13:$D$31,CN13,0))</f>
        <v>1</v>
      </c>
      <c r="CR13" s="27">
        <v>1</v>
      </c>
      <c r="CS13" s="13">
        <f ca="1">IF(OR(CR13=CR12,CR13=CR14),CONCATENATE("=",CR13),CR13)</f>
        <v>1</v>
      </c>
      <c r="CV13" s="27" t="e">
        <f t="shared" ref="CV13:CV31" ca="1" si="42">IF($D13=0,"",ROUND(INDEX(scores,CV$10,$C13),2))</f>
        <v>#N/A</v>
      </c>
      <c r="CW13" s="27" t="e">
        <f ca="1">RANK(CV13,CV$13:CV$31)+COUNTIF(CV$13:CV13,CV13)-1</f>
        <v>#N/A</v>
      </c>
      <c r="CX13" s="27" t="e">
        <f t="shared" ref="CX13:CX31" ca="1" si="43">MATCH($A13,CW$13:CW$31,0)</f>
        <v>#N/A</v>
      </c>
      <c r="CY13" s="27" t="e">
        <f t="shared" ref="CY13:CY31" ca="1" si="44">INDEX($B$13:$B$31,CX13,0)</f>
        <v>#N/A</v>
      </c>
      <c r="CZ13" s="27" t="e">
        <f t="shared" ref="CZ13:CZ31" ca="1" si="45">INDEX(CV$13:CV$31,CX13,0)</f>
        <v>#N/A</v>
      </c>
      <c r="DA13" s="27">
        <f t="shared" ref="DA13:DA31" ca="1" si="46">IF(ISERROR(INDEX($D$13:$D$31,CX13,0)),0,INDEX($D$13:$D$31,CX13,0))</f>
        <v>0</v>
      </c>
      <c r="DB13" s="27">
        <v>1</v>
      </c>
      <c r="DC13" s="13">
        <f ca="1">IF(OR(DB13=DB12,DB13=DB14),CONCATENATE("=",DB13),DB13)</f>
        <v>1</v>
      </c>
    </row>
    <row r="14" spans="1:107">
      <c r="A14" s="25">
        <v>2</v>
      </c>
      <c r="B14" t="str">
        <f ca="1">tblCountries!E7</f>
        <v>Brazil</v>
      </c>
      <c r="C14">
        <f ca="1">tblCountries!A7</f>
        <v>2</v>
      </c>
      <c r="D14">
        <f ca="1">tblCountries!H7</f>
        <v>1</v>
      </c>
      <c r="L14" s="6"/>
      <c r="O14" s="14">
        <f t="shared" ca="1" si="0"/>
        <v>75</v>
      </c>
      <c r="P14" s="14">
        <f t="shared" ca="1" si="1"/>
        <v>3</v>
      </c>
      <c r="Q14" s="30">
        <f ca="1">RANK(O14,O$13:O$31)+COUNTIF(O$13:O14,O14)-1</f>
        <v>2</v>
      </c>
      <c r="R14" s="27">
        <f t="shared" ca="1" si="2"/>
        <v>2</v>
      </c>
      <c r="S14" s="27" t="str">
        <f t="shared" ca="1" si="3"/>
        <v>Brazil</v>
      </c>
      <c r="T14" s="27">
        <f t="shared" ca="1" si="4"/>
        <v>75</v>
      </c>
      <c r="U14" s="13" t="str">
        <f t="shared" ca="1" si="5"/>
        <v>3</v>
      </c>
      <c r="V14" s="27">
        <f t="shared" ca="1" si="6"/>
        <v>1</v>
      </c>
      <c r="W14" s="27">
        <f ca="1">IF(V14=0,"",IF(ROUND(T14,1)=ROUND(T13,1),W13,$A14))</f>
        <v>2</v>
      </c>
      <c r="X14" s="13" t="str">
        <f t="shared" ref="X14:X30" ca="1" si="47">IF(OR(W14=W13,W14=W15),CONCATENATE("=",W14),W14)</f>
        <v>=2</v>
      </c>
      <c r="AB14" s="27">
        <f t="shared" ca="1" si="7"/>
        <v>60.71</v>
      </c>
      <c r="AC14" s="27">
        <f ca="1">RANK(AB14,AB$13:AB$31)+COUNTIF(AB$13:AB14,AB14)-1</f>
        <v>2</v>
      </c>
      <c r="AD14" s="27">
        <f t="shared" ca="1" si="8"/>
        <v>2</v>
      </c>
      <c r="AE14" s="27" t="str">
        <f t="shared" ca="1" si="9"/>
        <v>Brazil</v>
      </c>
      <c r="AF14" s="27">
        <f t="shared" ca="1" si="10"/>
        <v>60.71</v>
      </c>
      <c r="AG14" s="27">
        <f t="shared" ca="1" si="11"/>
        <v>1</v>
      </c>
      <c r="AH14" s="27">
        <f ca="1">IF(AG14=0,"",IF(ROUND(AF14,1)=ROUND(AF13,1),AH13,$A14))</f>
        <v>2</v>
      </c>
      <c r="AI14" s="13">
        <f t="shared" ref="AI14:AI30" ca="1" si="48">IF(OR(AH14=AH13,AH14=AH15),CONCATENATE("=",AH14),AH14)</f>
        <v>2</v>
      </c>
      <c r="AN14" s="27">
        <f t="shared" ca="1" si="12"/>
        <v>60.71</v>
      </c>
      <c r="AO14" s="27">
        <f ca="1">RANK(AN14,AN$13:AN$31)+COUNTIF(AN$13:AN14,AN14)-1</f>
        <v>2</v>
      </c>
      <c r="AP14" s="27">
        <f t="shared" ca="1" si="13"/>
        <v>2</v>
      </c>
      <c r="AQ14" s="27" t="str">
        <f t="shared" ca="1" si="14"/>
        <v>Brazil</v>
      </c>
      <c r="AR14" s="27">
        <f t="shared" ca="1" si="15"/>
        <v>60.71</v>
      </c>
      <c r="AS14" s="27">
        <f t="shared" ca="1" si="16"/>
        <v>1</v>
      </c>
      <c r="AT14" s="27">
        <f ca="1">IF(AS14=0,"",IF(ROUND(AR14,1)=ROUND(AR13,1),AT13,$A14))</f>
        <v>2</v>
      </c>
      <c r="AU14" s="13">
        <f t="shared" ref="AU14:AU30" ca="1" si="49">IF(OR(AT14=AT13,AT14=AT15),CONCATENATE("=",AT14),AT14)</f>
        <v>2</v>
      </c>
      <c r="AX14" s="27">
        <f t="shared" ca="1" si="17"/>
        <v>50</v>
      </c>
      <c r="AY14" s="27">
        <f ca="1">RANK(AX14,AX$13:AX$31)+COUNTIF(AX$13:AX14,AX14)-1</f>
        <v>3</v>
      </c>
      <c r="AZ14" s="27">
        <f t="shared" ca="1" si="18"/>
        <v>16</v>
      </c>
      <c r="BA14" s="27" t="str">
        <f t="shared" ca="1" si="19"/>
        <v>Peru</v>
      </c>
      <c r="BB14" s="27">
        <f t="shared" ca="1" si="20"/>
        <v>52.78</v>
      </c>
      <c r="BC14" s="27">
        <f t="shared" ca="1" si="21"/>
        <v>1</v>
      </c>
      <c r="BD14" s="27">
        <f ca="1">IF(BC14=0,"",IF(ROUND(BB14,1)=ROUND(BB13,1),BD13,$A14))</f>
        <v>2</v>
      </c>
      <c r="BE14" s="13">
        <f t="shared" ref="BE14:BE30" ca="1" si="50">IF(OR(BD14=BD13,BD14=BD15),CONCATENATE("=",BD14),BD14)</f>
        <v>2</v>
      </c>
      <c r="BH14" s="27">
        <f t="shared" ca="1" si="22"/>
        <v>62.5</v>
      </c>
      <c r="BI14" s="27">
        <f ca="1">RANK(BH14,BH$13:BH$31)+COUNTIF(BH$13:BH14,BH14)-1</f>
        <v>1</v>
      </c>
      <c r="BJ14" s="27">
        <f t="shared" ca="1" si="23"/>
        <v>3</v>
      </c>
      <c r="BK14" s="27" t="str">
        <f t="shared" ca="1" si="24"/>
        <v xml:space="preserve">Chile </v>
      </c>
      <c r="BL14" s="27">
        <f t="shared" ca="1" si="25"/>
        <v>50</v>
      </c>
      <c r="BM14" s="27">
        <f t="shared" ca="1" si="26"/>
        <v>1</v>
      </c>
      <c r="BN14" s="27">
        <f ca="1">IF(BM14=0,"",IF(ROUND(BL14,1)=ROUND(BL13,1),BN13,$A14))</f>
        <v>2</v>
      </c>
      <c r="BO14" s="13" t="str">
        <f t="shared" ref="BO14:BO30" ca="1" si="51">IF(OR(BN14=BN13,BN14=BN15),CONCATENATE("=",BN14),BN14)</f>
        <v>=2</v>
      </c>
      <c r="BR14" s="27">
        <f t="shared" ca="1" si="27"/>
        <v>73.73</v>
      </c>
      <c r="BS14" s="27">
        <f ca="1">RANK(BR14,BR$13:BR$31)+COUNTIF(BR$13:BR14,BR14)-1</f>
        <v>2</v>
      </c>
      <c r="BT14" s="27">
        <f t="shared" ca="1" si="28"/>
        <v>2</v>
      </c>
      <c r="BU14" s="27" t="str">
        <f t="shared" ca="1" si="29"/>
        <v>Brazil</v>
      </c>
      <c r="BV14" s="27">
        <f t="shared" ca="1" si="30"/>
        <v>73.73</v>
      </c>
      <c r="BW14" s="27">
        <f t="shared" ca="1" si="31"/>
        <v>1</v>
      </c>
      <c r="BX14" s="27">
        <f ca="1">IF(BW14=0,"",IF(ROUND(BV14,1)=ROUND(BV13,1),BX13,$A14))</f>
        <v>2</v>
      </c>
      <c r="BY14" s="13">
        <f t="shared" ref="BY14:BY30" ca="1" si="52">IF(OR(BX14=BX13,BX14=BX15),CONCATENATE("=",BX14),BX14)</f>
        <v>2</v>
      </c>
      <c r="CB14" s="27">
        <f t="shared" ca="1" si="32"/>
        <v>77.2</v>
      </c>
      <c r="CC14" s="27">
        <f ca="1">RANK(CB14,CB$13:CB$31)+COUNTIF(CB$13:CB14,CB14)-1</f>
        <v>2</v>
      </c>
      <c r="CD14" s="27">
        <f t="shared" ca="1" si="33"/>
        <v>2</v>
      </c>
      <c r="CE14" s="27" t="str">
        <f t="shared" ca="1" si="34"/>
        <v>Brazil</v>
      </c>
      <c r="CF14" s="27">
        <f t="shared" ca="1" si="35"/>
        <v>77.2</v>
      </c>
      <c r="CG14" s="27">
        <f t="shared" ca="1" si="36"/>
        <v>1</v>
      </c>
      <c r="CH14" s="27">
        <f ca="1">IF(CG14=0,"",IF(ROUND(CF14,1)=ROUND(CF13,1),CH13,$A14))</f>
        <v>2</v>
      </c>
      <c r="CI14" s="13">
        <f t="shared" ref="CI14:CI30" ca="1" si="53">IF(OR(CH14=CH13,CH14=CH15),CONCATENATE("=",CH14),CH14)</f>
        <v>2</v>
      </c>
      <c r="CL14" s="27">
        <f t="shared" ca="1" si="37"/>
        <v>62.5</v>
      </c>
      <c r="CM14" s="27">
        <f ca="1">RANK(CL14,CL$13:CL$31)+COUNTIF(CL$13:CL14,CL14)-1</f>
        <v>3</v>
      </c>
      <c r="CN14" s="27">
        <f t="shared" ca="1" si="38"/>
        <v>12</v>
      </c>
      <c r="CO14" s="27" t="str">
        <f t="shared" ca="1" si="39"/>
        <v>Mexico</v>
      </c>
      <c r="CP14" s="27">
        <f t="shared" ca="1" si="40"/>
        <v>66.67</v>
      </c>
      <c r="CQ14" s="27">
        <f t="shared" ca="1" si="41"/>
        <v>3</v>
      </c>
      <c r="CR14" s="27">
        <f ca="1">IF(CQ14=0,"",IF(ROUND(CP14,1)=ROUND(CP13,1),CR13,$A14))</f>
        <v>2</v>
      </c>
      <c r="CS14" s="13">
        <f t="shared" ref="CS14:CS30" ca="1" si="54">IF(OR(CR14=CR13,CR14=CR15),CONCATENATE("=",CR14),CR14)</f>
        <v>2</v>
      </c>
      <c r="CV14" s="27" t="e">
        <f t="shared" ca="1" si="42"/>
        <v>#N/A</v>
      </c>
      <c r="CW14" s="27" t="e">
        <f ca="1">RANK(CV14,CV$13:CV$31)+COUNTIF(CV$13:CV14,CV14)-1</f>
        <v>#N/A</v>
      </c>
      <c r="CX14" s="27" t="e">
        <f t="shared" ca="1" si="43"/>
        <v>#N/A</v>
      </c>
      <c r="CY14" s="27" t="e">
        <f t="shared" ca="1" si="44"/>
        <v>#N/A</v>
      </c>
      <c r="CZ14" s="27" t="e">
        <f t="shared" ca="1" si="45"/>
        <v>#N/A</v>
      </c>
      <c r="DA14" s="27">
        <f t="shared" ca="1" si="46"/>
        <v>0</v>
      </c>
      <c r="DB14" s="27" t="str">
        <f ca="1">IF(DA14=0,"",IF(ROUND(CZ14,1)=ROUND(CZ13,1),DB13,$A14))</f>
        <v/>
      </c>
      <c r="DC14" s="13" t="str">
        <f t="shared" ref="DC14:DC30" ca="1" si="55">IF(OR(DB14=DB13,DB14=DB15),CONCATENATE("=",DB14),DB14)</f>
        <v>=</v>
      </c>
    </row>
    <row r="15" spans="1:107">
      <c r="A15" s="25">
        <v>3</v>
      </c>
      <c r="B15" t="str">
        <f ca="1">tblCountries!E8</f>
        <v xml:space="preserve">Chile </v>
      </c>
      <c r="C15">
        <f ca="1">tblCountries!A8</f>
        <v>3</v>
      </c>
      <c r="D15">
        <f ca="1">tblCountries!H8</f>
        <v>1</v>
      </c>
      <c r="L15" s="6"/>
      <c r="O15" s="14">
        <f t="shared" ca="1" si="0"/>
        <v>100</v>
      </c>
      <c r="P15" s="14">
        <f t="shared" ca="1" si="1"/>
        <v>4</v>
      </c>
      <c r="Q15" s="30">
        <f ca="1">RANK(O15,O$13:O$31)+COUNTIF(O$13:O15,O15)-1</f>
        <v>1</v>
      </c>
      <c r="R15" s="27">
        <f t="shared" ca="1" si="2"/>
        <v>12</v>
      </c>
      <c r="S15" s="27" t="str">
        <f t="shared" ca="1" si="3"/>
        <v>Mexico</v>
      </c>
      <c r="T15" s="27">
        <f t="shared" ca="1" si="4"/>
        <v>75</v>
      </c>
      <c r="U15" s="13" t="str">
        <f t="shared" ca="1" si="5"/>
        <v>3</v>
      </c>
      <c r="V15" s="27">
        <f t="shared" ca="1" si="6"/>
        <v>3</v>
      </c>
      <c r="W15" s="27">
        <f t="shared" ref="W15:W31" ca="1" si="56">IF(V15=0,"",IF(ROUND(T15,1)=ROUND(T14,1),W14,$A15))</f>
        <v>2</v>
      </c>
      <c r="X15" s="13" t="str">
        <f t="shared" ca="1" si="47"/>
        <v>=2</v>
      </c>
      <c r="AB15" s="27">
        <f t="shared" ca="1" si="7"/>
        <v>65.290000000000006</v>
      </c>
      <c r="AC15" s="27">
        <f ca="1">RANK(AB15,AB$13:AB$31)+COUNTIF(AB$13:AB15,AB15)-1</f>
        <v>1</v>
      </c>
      <c r="AD15" s="27">
        <f t="shared" ca="1" si="8"/>
        <v>16</v>
      </c>
      <c r="AE15" s="27" t="str">
        <f t="shared" ca="1" si="9"/>
        <v>Peru</v>
      </c>
      <c r="AF15" s="27">
        <f t="shared" ca="1" si="10"/>
        <v>53.76</v>
      </c>
      <c r="AG15" s="27">
        <f t="shared" ca="1" si="11"/>
        <v>1</v>
      </c>
      <c r="AH15" s="27">
        <f t="shared" ref="AH15:AH31" ca="1" si="57">IF(AG15=0,"",IF(ROUND(AF15,1)=ROUND(AF14,1),AH14,$A15))</f>
        <v>3</v>
      </c>
      <c r="AI15" s="13">
        <f t="shared" ca="1" si="48"/>
        <v>3</v>
      </c>
      <c r="AN15" s="27">
        <f t="shared" ca="1" si="12"/>
        <v>65.290000000000006</v>
      </c>
      <c r="AO15" s="27">
        <f ca="1">RANK(AN15,AN$13:AN$31)+COUNTIF(AN$13:AN15,AN15)-1</f>
        <v>1</v>
      </c>
      <c r="AP15" s="27">
        <f t="shared" ca="1" si="13"/>
        <v>16</v>
      </c>
      <c r="AQ15" s="27" t="str">
        <f t="shared" ca="1" si="14"/>
        <v>Peru</v>
      </c>
      <c r="AR15" s="27">
        <f t="shared" ca="1" si="15"/>
        <v>53.76</v>
      </c>
      <c r="AS15" s="27">
        <f t="shared" ca="1" si="16"/>
        <v>1</v>
      </c>
      <c r="AT15" s="27">
        <f t="shared" ref="AT15:AT31" ca="1" si="58">IF(AS15=0,"",IF(ROUND(AR15,1)=ROUND(AR14,1),AT14,$A15))</f>
        <v>3</v>
      </c>
      <c r="AU15" s="13">
        <f t="shared" ca="1" si="49"/>
        <v>3</v>
      </c>
      <c r="AX15" s="27">
        <f t="shared" ca="1" si="17"/>
        <v>61.11</v>
      </c>
      <c r="AY15" s="27">
        <f ca="1">RANK(AX15,AX$13:AX$31)+COUNTIF(AX$13:AX15,AX15)-1</f>
        <v>1</v>
      </c>
      <c r="AZ15" s="27">
        <f t="shared" ca="1" si="18"/>
        <v>2</v>
      </c>
      <c r="BA15" s="27" t="str">
        <f t="shared" ca="1" si="19"/>
        <v>Brazil</v>
      </c>
      <c r="BB15" s="27">
        <f t="shared" ca="1" si="20"/>
        <v>50</v>
      </c>
      <c r="BC15" s="27">
        <f t="shared" ca="1" si="21"/>
        <v>1</v>
      </c>
      <c r="BD15" s="27">
        <f t="shared" ref="BD15:BD31" ca="1" si="59">IF(BC15=0,"",IF(ROUND(BB15,1)=ROUND(BB14,1),BD14,$A15))</f>
        <v>3</v>
      </c>
      <c r="BE15" s="13">
        <f t="shared" ca="1" si="50"/>
        <v>3</v>
      </c>
      <c r="BH15" s="27">
        <f t="shared" ca="1" si="22"/>
        <v>50</v>
      </c>
      <c r="BI15" s="27">
        <f ca="1">RANK(BH15,BH$13:BH$31)+COUNTIF(BH$13:BH15,BH15)-1</f>
        <v>2</v>
      </c>
      <c r="BJ15" s="27">
        <f t="shared" ca="1" si="23"/>
        <v>16</v>
      </c>
      <c r="BK15" s="27" t="str">
        <f t="shared" ca="1" si="24"/>
        <v>Peru</v>
      </c>
      <c r="BL15" s="27">
        <f t="shared" ca="1" si="25"/>
        <v>50</v>
      </c>
      <c r="BM15" s="27">
        <f t="shared" ca="1" si="26"/>
        <v>1</v>
      </c>
      <c r="BN15" s="27">
        <f t="shared" ref="BN15:BN31" ca="1" si="60">IF(BM15=0,"",IF(ROUND(BL15,1)=ROUND(BL14,1),BN14,$A15))</f>
        <v>2</v>
      </c>
      <c r="BO15" s="13" t="str">
        <f t="shared" ca="1" si="51"/>
        <v>=2</v>
      </c>
      <c r="BR15" s="27">
        <f t="shared" ca="1" si="27"/>
        <v>77.819999999999993</v>
      </c>
      <c r="BS15" s="27">
        <f ca="1">RANK(BR15,BR$13:BR$31)+COUNTIF(BR$13:BR15,BR15)-1</f>
        <v>1</v>
      </c>
      <c r="BT15" s="27">
        <f t="shared" ca="1" si="28"/>
        <v>4</v>
      </c>
      <c r="BU15" s="27" t="str">
        <f t="shared" ca="1" si="29"/>
        <v>Colombia</v>
      </c>
      <c r="BV15" s="27">
        <f t="shared" ca="1" si="30"/>
        <v>58.35</v>
      </c>
      <c r="BW15" s="27">
        <f t="shared" ca="1" si="31"/>
        <v>1</v>
      </c>
      <c r="BX15" s="27">
        <f t="shared" ref="BX15:BX31" ca="1" si="61">IF(BW15=0,"",IF(ROUND(BV15,1)=ROUND(BV14,1),BX14,$A15))</f>
        <v>3</v>
      </c>
      <c r="BY15" s="13">
        <f t="shared" ca="1" si="52"/>
        <v>3</v>
      </c>
      <c r="CB15" s="27">
        <f t="shared" ca="1" si="32"/>
        <v>93.03</v>
      </c>
      <c r="CC15" s="27">
        <f ca="1">RANK(CB15,CB$13:CB$31)+COUNTIF(CB$13:CB15,CB15)-1</f>
        <v>1</v>
      </c>
      <c r="CD15" s="27">
        <f t="shared" ca="1" si="33"/>
        <v>18</v>
      </c>
      <c r="CE15" s="27" t="str">
        <f t="shared" ca="1" si="34"/>
        <v>Uruguay</v>
      </c>
      <c r="CF15" s="27">
        <f t="shared" ca="1" si="35"/>
        <v>76.22</v>
      </c>
      <c r="CG15" s="27">
        <f t="shared" ca="1" si="36"/>
        <v>1</v>
      </c>
      <c r="CH15" s="27">
        <f t="shared" ref="CH15:CH31" ca="1" si="62">IF(CG15=0,"",IF(ROUND(CF15,1)=ROUND(CF14,1),CH14,$A15))</f>
        <v>3</v>
      </c>
      <c r="CI15" s="13">
        <f t="shared" ca="1" si="53"/>
        <v>3</v>
      </c>
      <c r="CL15" s="27">
        <f t="shared" ca="1" si="37"/>
        <v>95.83</v>
      </c>
      <c r="CM15" s="27">
        <f ca="1">RANK(CL15,CL$13:CL$31)+COUNTIF(CL$13:CL15,CL15)-1</f>
        <v>1</v>
      </c>
      <c r="CN15" s="27">
        <f t="shared" ca="1" si="38"/>
        <v>2</v>
      </c>
      <c r="CO15" s="27" t="str">
        <f t="shared" ca="1" si="39"/>
        <v>Brazil</v>
      </c>
      <c r="CP15" s="27">
        <f t="shared" ca="1" si="40"/>
        <v>62.5</v>
      </c>
      <c r="CQ15" s="27">
        <f t="shared" ca="1" si="41"/>
        <v>1</v>
      </c>
      <c r="CR15" s="27">
        <f t="shared" ref="CR15:CR31" ca="1" si="63">IF(CQ15=0,"",IF(ROUND(CP15,1)=ROUND(CP14,1),CR14,$A15))</f>
        <v>3</v>
      </c>
      <c r="CS15" s="13">
        <f t="shared" ca="1" si="54"/>
        <v>3</v>
      </c>
      <c r="CV15" s="27" t="e">
        <f t="shared" ca="1" si="42"/>
        <v>#N/A</v>
      </c>
      <c r="CW15" s="27" t="e">
        <f ca="1">RANK(CV15,CV$13:CV$31)+COUNTIF(CV$13:CV15,CV15)-1</f>
        <v>#N/A</v>
      </c>
      <c r="CX15" s="27" t="e">
        <f t="shared" ca="1" si="43"/>
        <v>#N/A</v>
      </c>
      <c r="CY15" s="27" t="e">
        <f t="shared" ca="1" si="44"/>
        <v>#N/A</v>
      </c>
      <c r="CZ15" s="27" t="e">
        <f t="shared" ca="1" si="45"/>
        <v>#N/A</v>
      </c>
      <c r="DA15" s="27">
        <f t="shared" ca="1" si="46"/>
        <v>0</v>
      </c>
      <c r="DB15" s="27" t="str">
        <f t="shared" ref="DB15:DB31" ca="1" si="64">IF(DA15=0,"",IF(ROUND(CZ15,1)=ROUND(CZ14,1),DB14,$A15))</f>
        <v/>
      </c>
      <c r="DC15" s="13" t="str">
        <f t="shared" ca="1" si="55"/>
        <v>=</v>
      </c>
    </row>
    <row r="16" spans="1:107">
      <c r="A16" s="25">
        <v>4</v>
      </c>
      <c r="B16" t="str">
        <f ca="1">tblCountries!E9</f>
        <v>Colombia</v>
      </c>
      <c r="C16">
        <f ca="1">tblCountries!A9</f>
        <v>4</v>
      </c>
      <c r="D16">
        <f ca="1">tblCountries!H9</f>
        <v>1</v>
      </c>
      <c r="L16" s="6"/>
      <c r="O16" s="14">
        <f t="shared" ca="1" si="0"/>
        <v>50</v>
      </c>
      <c r="P16" s="14">
        <f t="shared" ca="1" si="1"/>
        <v>2</v>
      </c>
      <c r="Q16" s="30">
        <f ca="1">RANK(O16,O$13:O$31)+COUNTIF(O$13:O16,O16)-1</f>
        <v>4</v>
      </c>
      <c r="R16" s="27">
        <f t="shared" ca="1" si="2"/>
        <v>4</v>
      </c>
      <c r="S16" s="27" t="str">
        <f t="shared" ca="1" si="3"/>
        <v>Colombia</v>
      </c>
      <c r="T16" s="27">
        <f t="shared" ca="1" si="4"/>
        <v>50</v>
      </c>
      <c r="U16" s="13" t="str">
        <f t="shared" ca="1" si="5"/>
        <v>2</v>
      </c>
      <c r="V16" s="27">
        <f t="shared" ca="1" si="6"/>
        <v>1</v>
      </c>
      <c r="W16" s="27">
        <f t="shared" ca="1" si="56"/>
        <v>4</v>
      </c>
      <c r="X16" s="13" t="str">
        <f t="shared" ca="1" si="47"/>
        <v>=4</v>
      </c>
      <c r="AB16" s="27">
        <f t="shared" ca="1" si="7"/>
        <v>42.37</v>
      </c>
      <c r="AC16" s="27">
        <f ca="1">RANK(AB16,AB$13:AB$31)+COUNTIF(AB$13:AB16,AB16)-1</f>
        <v>5</v>
      </c>
      <c r="AD16" s="27">
        <f t="shared" ca="1" si="8"/>
        <v>12</v>
      </c>
      <c r="AE16" s="27" t="str">
        <f t="shared" ca="1" si="9"/>
        <v>Mexico</v>
      </c>
      <c r="AF16" s="27">
        <f t="shared" ca="1" si="10"/>
        <v>44.59</v>
      </c>
      <c r="AG16" s="27">
        <f t="shared" ca="1" si="11"/>
        <v>3</v>
      </c>
      <c r="AH16" s="27">
        <f t="shared" ca="1" si="57"/>
        <v>4</v>
      </c>
      <c r="AI16" s="13">
        <f t="shared" ca="1" si="48"/>
        <v>4</v>
      </c>
      <c r="AN16" s="27">
        <f t="shared" ca="1" si="12"/>
        <v>42.37</v>
      </c>
      <c r="AO16" s="27">
        <f ca="1">RANK(AN16,AN$13:AN$31)+COUNTIF(AN$13:AN16,AN16)-1</f>
        <v>5</v>
      </c>
      <c r="AP16" s="27">
        <f t="shared" ca="1" si="13"/>
        <v>12</v>
      </c>
      <c r="AQ16" s="27" t="str">
        <f t="shared" ca="1" si="14"/>
        <v>Mexico</v>
      </c>
      <c r="AR16" s="27">
        <f t="shared" ca="1" si="15"/>
        <v>44.59</v>
      </c>
      <c r="AS16" s="27">
        <f t="shared" ca="1" si="16"/>
        <v>3</v>
      </c>
      <c r="AT16" s="27">
        <f t="shared" ca="1" si="58"/>
        <v>4</v>
      </c>
      <c r="AU16" s="13">
        <f t="shared" ca="1" si="49"/>
        <v>4</v>
      </c>
      <c r="AX16" s="27">
        <f t="shared" ca="1" si="17"/>
        <v>33.33</v>
      </c>
      <c r="AY16" s="27">
        <f ca="1">RANK(AX16,AX$13:AX$31)+COUNTIF(AX$13:AX16,AX16)-1</f>
        <v>6</v>
      </c>
      <c r="AZ16" s="27">
        <f t="shared" ca="1" si="18"/>
        <v>5</v>
      </c>
      <c r="BA16" s="27" t="str">
        <f t="shared" ca="1" si="19"/>
        <v>Costa Rica</v>
      </c>
      <c r="BB16" s="27">
        <f t="shared" ca="1" si="20"/>
        <v>41.67</v>
      </c>
      <c r="BC16" s="27">
        <f t="shared" ca="1" si="21"/>
        <v>1</v>
      </c>
      <c r="BD16" s="27">
        <f t="shared" ca="1" si="59"/>
        <v>4</v>
      </c>
      <c r="BE16" s="13">
        <f t="shared" ca="1" si="50"/>
        <v>4</v>
      </c>
      <c r="BH16" s="27">
        <f t="shared" ca="1" si="22"/>
        <v>37.5</v>
      </c>
      <c r="BI16" s="27">
        <f ca="1">RANK(BH16,BH$13:BH$31)+COUNTIF(BH$13:BH16,BH16)-1</f>
        <v>4</v>
      </c>
      <c r="BJ16" s="27">
        <f t="shared" ca="1" si="23"/>
        <v>4</v>
      </c>
      <c r="BK16" s="27" t="str">
        <f t="shared" ca="1" si="24"/>
        <v>Colombia</v>
      </c>
      <c r="BL16" s="27">
        <f t="shared" ca="1" si="25"/>
        <v>37.5</v>
      </c>
      <c r="BM16" s="27">
        <f t="shared" ca="1" si="26"/>
        <v>1</v>
      </c>
      <c r="BN16" s="27">
        <f t="shared" ca="1" si="60"/>
        <v>4</v>
      </c>
      <c r="BO16" s="13" t="str">
        <f t="shared" ca="1" si="51"/>
        <v>=4</v>
      </c>
      <c r="BR16" s="27">
        <f t="shared" ca="1" si="27"/>
        <v>58.35</v>
      </c>
      <c r="BS16" s="27">
        <f ca="1">RANK(BR16,BR$13:BR$31)+COUNTIF(BR$13:BR16,BR16)-1</f>
        <v>3</v>
      </c>
      <c r="BT16" s="27">
        <f t="shared" ca="1" si="28"/>
        <v>16</v>
      </c>
      <c r="BU16" s="27" t="str">
        <f t="shared" ca="1" si="29"/>
        <v>Peru</v>
      </c>
      <c r="BV16" s="27">
        <f t="shared" ca="1" si="30"/>
        <v>55.67</v>
      </c>
      <c r="BW16" s="27">
        <f t="shared" ca="1" si="31"/>
        <v>1</v>
      </c>
      <c r="BX16" s="27">
        <f t="shared" ca="1" si="61"/>
        <v>4</v>
      </c>
      <c r="BY16" s="13">
        <f t="shared" ca="1" si="52"/>
        <v>4</v>
      </c>
      <c r="CB16" s="27">
        <f t="shared" ca="1" si="32"/>
        <v>58.57</v>
      </c>
      <c r="CC16" s="27">
        <f ca="1">RANK(CB16,CB$13:CB$31)+COUNTIF(CB$13:CB16,CB16)-1</f>
        <v>10</v>
      </c>
      <c r="CD16" s="27">
        <f t="shared" ca="1" si="33"/>
        <v>16</v>
      </c>
      <c r="CE16" s="27" t="str">
        <f t="shared" ca="1" si="34"/>
        <v>Peru</v>
      </c>
      <c r="CF16" s="27">
        <f t="shared" ca="1" si="35"/>
        <v>70.040000000000006</v>
      </c>
      <c r="CG16" s="27">
        <f t="shared" ca="1" si="36"/>
        <v>1</v>
      </c>
      <c r="CH16" s="27">
        <f t="shared" ca="1" si="62"/>
        <v>4</v>
      </c>
      <c r="CI16" s="13">
        <f t="shared" ca="1" si="53"/>
        <v>4</v>
      </c>
      <c r="CL16" s="27">
        <f t="shared" ca="1" si="37"/>
        <v>50</v>
      </c>
      <c r="CM16" s="27">
        <f ca="1">RANK(CL16,CL$13:CL$31)+COUNTIF(CL$13:CL16,CL16)-1</f>
        <v>7</v>
      </c>
      <c r="CN16" s="27">
        <f t="shared" ca="1" si="38"/>
        <v>14</v>
      </c>
      <c r="CO16" s="27" t="str">
        <f t="shared" ca="1" si="39"/>
        <v>Panama</v>
      </c>
      <c r="CP16" s="27">
        <f t="shared" ca="1" si="40"/>
        <v>58.33</v>
      </c>
      <c r="CQ16" s="27">
        <f t="shared" ca="1" si="41"/>
        <v>1</v>
      </c>
      <c r="CR16" s="27">
        <f t="shared" ca="1" si="63"/>
        <v>4</v>
      </c>
      <c r="CS16" s="13" t="str">
        <f t="shared" ca="1" si="54"/>
        <v>=4</v>
      </c>
      <c r="CV16" s="27" t="e">
        <f t="shared" ca="1" si="42"/>
        <v>#N/A</v>
      </c>
      <c r="CW16" s="27" t="e">
        <f ca="1">RANK(CV16,CV$13:CV$31)+COUNTIF(CV$13:CV16,CV16)-1</f>
        <v>#N/A</v>
      </c>
      <c r="CX16" s="27" t="e">
        <f t="shared" ca="1" si="43"/>
        <v>#N/A</v>
      </c>
      <c r="CY16" s="27" t="e">
        <f t="shared" ca="1" si="44"/>
        <v>#N/A</v>
      </c>
      <c r="CZ16" s="27" t="e">
        <f t="shared" ca="1" si="45"/>
        <v>#N/A</v>
      </c>
      <c r="DA16" s="27">
        <f t="shared" ca="1" si="46"/>
        <v>0</v>
      </c>
      <c r="DB16" s="27" t="str">
        <f t="shared" ca="1" si="64"/>
        <v/>
      </c>
      <c r="DC16" s="13" t="str">
        <f t="shared" ca="1" si="55"/>
        <v>=</v>
      </c>
    </row>
    <row r="17" spans="1:107">
      <c r="A17" s="25">
        <v>5</v>
      </c>
      <c r="B17" t="str">
        <f ca="1">tblCountries!E10</f>
        <v>Costa Rica</v>
      </c>
      <c r="C17">
        <f ca="1">tblCountries!A10</f>
        <v>5</v>
      </c>
      <c r="D17">
        <f ca="1">tblCountries!H10</f>
        <v>1</v>
      </c>
      <c r="O17" s="14">
        <f t="shared" ca="1" si="0"/>
        <v>50</v>
      </c>
      <c r="P17" s="14">
        <f t="shared" ca="1" si="1"/>
        <v>2</v>
      </c>
      <c r="Q17" s="30">
        <f ca="1">RANK(O17,O$13:O$31)+COUNTIF(O$13:O17,O17)-1</f>
        <v>5</v>
      </c>
      <c r="R17" s="27">
        <f t="shared" ca="1" si="2"/>
        <v>5</v>
      </c>
      <c r="S17" s="27" t="str">
        <f t="shared" ca="1" si="3"/>
        <v>Costa Rica</v>
      </c>
      <c r="T17" s="27">
        <f t="shared" ca="1" si="4"/>
        <v>50</v>
      </c>
      <c r="U17" s="13" t="str">
        <f t="shared" ca="1" si="5"/>
        <v>2</v>
      </c>
      <c r="V17" s="27">
        <f t="shared" ca="1" si="6"/>
        <v>1</v>
      </c>
      <c r="W17" s="27">
        <f t="shared" ca="1" si="56"/>
        <v>4</v>
      </c>
      <c r="X17" s="13" t="str">
        <f t="shared" ca="1" si="47"/>
        <v>=4</v>
      </c>
      <c r="AB17" s="27">
        <f t="shared" ca="1" si="7"/>
        <v>41.91</v>
      </c>
      <c r="AC17" s="27">
        <f ca="1">RANK(AB17,AB$13:AB$31)+COUNTIF(AB$13:AB17,AB17)-1</f>
        <v>6</v>
      </c>
      <c r="AD17" s="27">
        <f t="shared" ca="1" si="8"/>
        <v>4</v>
      </c>
      <c r="AE17" s="27" t="str">
        <f t="shared" ca="1" si="9"/>
        <v>Colombia</v>
      </c>
      <c r="AF17" s="27">
        <f t="shared" ca="1" si="10"/>
        <v>42.37</v>
      </c>
      <c r="AG17" s="27">
        <f t="shared" ca="1" si="11"/>
        <v>1</v>
      </c>
      <c r="AH17" s="27">
        <f t="shared" ca="1" si="57"/>
        <v>5</v>
      </c>
      <c r="AI17" s="13">
        <f t="shared" ca="1" si="48"/>
        <v>5</v>
      </c>
      <c r="AN17" s="27">
        <f t="shared" ca="1" si="12"/>
        <v>41.91</v>
      </c>
      <c r="AO17" s="27">
        <f ca="1">RANK(AN17,AN$13:AN$31)+COUNTIF(AN$13:AN17,AN17)-1</f>
        <v>6</v>
      </c>
      <c r="AP17" s="27">
        <f t="shared" ca="1" si="13"/>
        <v>4</v>
      </c>
      <c r="AQ17" s="27" t="str">
        <f t="shared" ca="1" si="14"/>
        <v>Colombia</v>
      </c>
      <c r="AR17" s="27">
        <f t="shared" ca="1" si="15"/>
        <v>42.37</v>
      </c>
      <c r="AS17" s="27">
        <f t="shared" ca="1" si="16"/>
        <v>1</v>
      </c>
      <c r="AT17" s="27">
        <f t="shared" ca="1" si="58"/>
        <v>5</v>
      </c>
      <c r="AU17" s="13">
        <f t="shared" ca="1" si="49"/>
        <v>5</v>
      </c>
      <c r="AX17" s="27">
        <f t="shared" ca="1" si="17"/>
        <v>41.67</v>
      </c>
      <c r="AY17" s="27">
        <f ca="1">RANK(AX17,AX$13:AX$31)+COUNTIF(AX$13:AX17,AX17)-1</f>
        <v>4</v>
      </c>
      <c r="AZ17" s="27">
        <f t="shared" ca="1" si="18"/>
        <v>12</v>
      </c>
      <c r="BA17" s="27" t="str">
        <f t="shared" ca="1" si="19"/>
        <v>Mexico</v>
      </c>
      <c r="BB17" s="27">
        <f t="shared" ca="1" si="20"/>
        <v>38.89</v>
      </c>
      <c r="BC17" s="27">
        <f t="shared" ca="1" si="21"/>
        <v>3</v>
      </c>
      <c r="BD17" s="27">
        <f t="shared" ca="1" si="59"/>
        <v>5</v>
      </c>
      <c r="BE17" s="13">
        <f t="shared" ca="1" si="50"/>
        <v>5</v>
      </c>
      <c r="BH17" s="27">
        <f t="shared" ca="1" si="22"/>
        <v>25</v>
      </c>
      <c r="BI17" s="27">
        <f ca="1">RANK(BH17,BH$13:BH$31)+COUNTIF(BH$13:BH17,BH17)-1</f>
        <v>9</v>
      </c>
      <c r="BJ17" s="27">
        <f t="shared" ca="1" si="23"/>
        <v>10</v>
      </c>
      <c r="BK17" s="27" t="str">
        <f t="shared" ca="1" si="24"/>
        <v>Honduras</v>
      </c>
      <c r="BL17" s="27">
        <f t="shared" ca="1" si="25"/>
        <v>37.5</v>
      </c>
      <c r="BM17" s="27">
        <f t="shared" ca="1" si="26"/>
        <v>1</v>
      </c>
      <c r="BN17" s="27">
        <f t="shared" ca="1" si="60"/>
        <v>4</v>
      </c>
      <c r="BO17" s="13" t="str">
        <f t="shared" ca="1" si="51"/>
        <v>=4</v>
      </c>
      <c r="BR17" s="27">
        <f t="shared" ca="1" si="27"/>
        <v>54.63</v>
      </c>
      <c r="BS17" s="27">
        <f ca="1">RANK(BR17,BR$13:BR$31)+COUNTIF(BR$13:BR17,BR17)-1</f>
        <v>5</v>
      </c>
      <c r="BT17" s="27">
        <f t="shared" ca="1" si="28"/>
        <v>5</v>
      </c>
      <c r="BU17" s="27" t="str">
        <f t="shared" ca="1" si="29"/>
        <v>Costa Rica</v>
      </c>
      <c r="BV17" s="27">
        <f t="shared" ca="1" si="30"/>
        <v>54.63</v>
      </c>
      <c r="BW17" s="27">
        <f t="shared" ca="1" si="31"/>
        <v>1</v>
      </c>
      <c r="BX17" s="27">
        <f t="shared" ca="1" si="61"/>
        <v>5</v>
      </c>
      <c r="BY17" s="13">
        <f t="shared" ca="1" si="52"/>
        <v>5</v>
      </c>
      <c r="CB17" s="27">
        <f t="shared" ca="1" si="32"/>
        <v>61.34</v>
      </c>
      <c r="CC17" s="27">
        <f ca="1">RANK(CB17,CB$13:CB$31)+COUNTIF(CB$13:CB17,CB17)-1</f>
        <v>8</v>
      </c>
      <c r="CD17" s="27">
        <f t="shared" ca="1" si="33"/>
        <v>12</v>
      </c>
      <c r="CE17" s="27" t="str">
        <f t="shared" ca="1" si="34"/>
        <v>Mexico</v>
      </c>
      <c r="CF17" s="27">
        <f t="shared" ca="1" si="35"/>
        <v>65.14</v>
      </c>
      <c r="CG17" s="27">
        <f t="shared" ca="1" si="36"/>
        <v>3</v>
      </c>
      <c r="CH17" s="27">
        <f t="shared" ca="1" si="62"/>
        <v>5</v>
      </c>
      <c r="CI17" s="13">
        <f t="shared" ca="1" si="53"/>
        <v>5</v>
      </c>
      <c r="CL17" s="27">
        <f t="shared" ca="1" si="37"/>
        <v>50</v>
      </c>
      <c r="CM17" s="27">
        <f ca="1">RANK(CL17,CL$13:CL$31)+COUNTIF(CL$13:CL17,CL17)-1</f>
        <v>8</v>
      </c>
      <c r="CN17" s="27">
        <f t="shared" ca="1" si="38"/>
        <v>16</v>
      </c>
      <c r="CO17" s="27" t="str">
        <f t="shared" ca="1" si="39"/>
        <v>Peru</v>
      </c>
      <c r="CP17" s="27">
        <f t="shared" ca="1" si="40"/>
        <v>58.33</v>
      </c>
      <c r="CQ17" s="27">
        <f t="shared" ca="1" si="41"/>
        <v>1</v>
      </c>
      <c r="CR17" s="27">
        <f t="shared" ca="1" si="63"/>
        <v>4</v>
      </c>
      <c r="CS17" s="13" t="str">
        <f t="shared" ca="1" si="54"/>
        <v>=4</v>
      </c>
      <c r="CV17" s="27" t="e">
        <f t="shared" ca="1" si="42"/>
        <v>#N/A</v>
      </c>
      <c r="CW17" s="27" t="e">
        <f ca="1">RANK(CV17,CV$13:CV$31)+COUNTIF(CV$13:CV17,CV17)-1</f>
        <v>#N/A</v>
      </c>
      <c r="CX17" s="27" t="e">
        <f t="shared" ca="1" si="43"/>
        <v>#N/A</v>
      </c>
      <c r="CY17" s="27" t="e">
        <f t="shared" ca="1" si="44"/>
        <v>#N/A</v>
      </c>
      <c r="CZ17" s="27" t="e">
        <f t="shared" ca="1" si="45"/>
        <v>#N/A</v>
      </c>
      <c r="DA17" s="27">
        <f t="shared" ca="1" si="46"/>
        <v>0</v>
      </c>
      <c r="DB17" s="27" t="str">
        <f t="shared" ca="1" si="64"/>
        <v/>
      </c>
      <c r="DC17" s="13" t="str">
        <f t="shared" ca="1" si="55"/>
        <v>=</v>
      </c>
    </row>
    <row r="18" spans="1:107">
      <c r="A18" s="25">
        <v>6</v>
      </c>
      <c r="B18" t="str">
        <f ca="1">tblCountries!E11</f>
        <v>Dominican Rep.</v>
      </c>
      <c r="C18">
        <f ca="1">tblCountries!A11</f>
        <v>6</v>
      </c>
      <c r="D18">
        <f ca="1">tblCountries!H11</f>
        <v>1</v>
      </c>
      <c r="O18" s="14">
        <f t="shared" ca="1" si="0"/>
        <v>25</v>
      </c>
      <c r="P18" s="14">
        <f t="shared" ca="1" si="1"/>
        <v>1</v>
      </c>
      <c r="Q18" s="30">
        <f ca="1">RANK(O18,O$13:O$31)+COUNTIF(O$13:O18,O18)-1</f>
        <v>11</v>
      </c>
      <c r="R18" s="27">
        <f t="shared" ca="1" si="2"/>
        <v>8</v>
      </c>
      <c r="S18" s="27" t="str">
        <f t="shared" ca="1" si="3"/>
        <v>El Salvador</v>
      </c>
      <c r="T18" s="27">
        <f t="shared" ca="1" si="4"/>
        <v>50</v>
      </c>
      <c r="U18" s="13" t="str">
        <f t="shared" ca="1" si="5"/>
        <v>2</v>
      </c>
      <c r="V18" s="27">
        <f t="shared" ca="1" si="6"/>
        <v>1</v>
      </c>
      <c r="W18" s="27">
        <f t="shared" ca="1" si="56"/>
        <v>4</v>
      </c>
      <c r="X18" s="13" t="str">
        <f t="shared" ca="1" si="47"/>
        <v>=4</v>
      </c>
      <c r="AB18" s="27">
        <f t="shared" ca="1" si="7"/>
        <v>23.62</v>
      </c>
      <c r="AC18" s="27">
        <f ca="1">RANK(AB18,AB$13:AB$31)+COUNTIF(AB$13:AB18,AB18)-1</f>
        <v>12</v>
      </c>
      <c r="AD18" s="27">
        <f t="shared" ca="1" si="8"/>
        <v>5</v>
      </c>
      <c r="AE18" s="27" t="str">
        <f t="shared" ca="1" si="9"/>
        <v>Costa Rica</v>
      </c>
      <c r="AF18" s="27">
        <f t="shared" ca="1" si="10"/>
        <v>41.91</v>
      </c>
      <c r="AG18" s="27">
        <f t="shared" ca="1" si="11"/>
        <v>1</v>
      </c>
      <c r="AH18" s="27">
        <f t="shared" ca="1" si="57"/>
        <v>6</v>
      </c>
      <c r="AI18" s="13">
        <f t="shared" ca="1" si="48"/>
        <v>6</v>
      </c>
      <c r="AN18" s="27">
        <f t="shared" ca="1" si="12"/>
        <v>23.62</v>
      </c>
      <c r="AO18" s="27">
        <f ca="1">RANK(AN18,AN$13:AN$31)+COUNTIF(AN$13:AN18,AN18)-1</f>
        <v>12</v>
      </c>
      <c r="AP18" s="27">
        <f t="shared" ca="1" si="13"/>
        <v>5</v>
      </c>
      <c r="AQ18" s="27" t="str">
        <f t="shared" ca="1" si="14"/>
        <v>Costa Rica</v>
      </c>
      <c r="AR18" s="27">
        <f t="shared" ca="1" si="15"/>
        <v>41.91</v>
      </c>
      <c r="AS18" s="27">
        <f t="shared" ca="1" si="16"/>
        <v>1</v>
      </c>
      <c r="AT18" s="27">
        <f t="shared" ca="1" si="58"/>
        <v>6</v>
      </c>
      <c r="AU18" s="13">
        <f t="shared" ca="1" si="49"/>
        <v>6</v>
      </c>
      <c r="AX18" s="27">
        <f t="shared" ca="1" si="17"/>
        <v>13.89</v>
      </c>
      <c r="AY18" s="27">
        <f ca="1">RANK(AX18,AX$13:AX$31)+COUNTIF(AX$13:AX18,AX18)-1</f>
        <v>16</v>
      </c>
      <c r="AZ18" s="27">
        <f t="shared" ca="1" si="18"/>
        <v>4</v>
      </c>
      <c r="BA18" s="27" t="str">
        <f t="shared" ca="1" si="19"/>
        <v>Colombia</v>
      </c>
      <c r="BB18" s="27">
        <f t="shared" ca="1" si="20"/>
        <v>33.33</v>
      </c>
      <c r="BC18" s="27">
        <f t="shared" ca="1" si="21"/>
        <v>1</v>
      </c>
      <c r="BD18" s="27">
        <f t="shared" ca="1" si="59"/>
        <v>6</v>
      </c>
      <c r="BE18" s="13" t="str">
        <f t="shared" ca="1" si="50"/>
        <v>=6</v>
      </c>
      <c r="BH18" s="27">
        <f t="shared" ca="1" si="22"/>
        <v>25</v>
      </c>
      <c r="BI18" s="27">
        <f ca="1">RANK(BH18,BH$13:BH$31)+COUNTIF(BH$13:BH18,BH18)-1</f>
        <v>10</v>
      </c>
      <c r="BJ18" s="27">
        <f t="shared" ca="1" si="23"/>
        <v>11</v>
      </c>
      <c r="BK18" s="27" t="str">
        <f t="shared" ca="1" si="24"/>
        <v>Jamaica</v>
      </c>
      <c r="BL18" s="27">
        <f t="shared" ca="1" si="25"/>
        <v>37.5</v>
      </c>
      <c r="BM18" s="27">
        <f t="shared" ca="1" si="26"/>
        <v>1</v>
      </c>
      <c r="BN18" s="27">
        <f t="shared" ca="1" si="60"/>
        <v>4</v>
      </c>
      <c r="BO18" s="13" t="str">
        <f t="shared" ca="1" si="51"/>
        <v>=4</v>
      </c>
      <c r="BR18" s="27">
        <f t="shared" ca="1" si="27"/>
        <v>38.28</v>
      </c>
      <c r="BS18" s="27">
        <f ca="1">RANK(BR18,BR$13:BR$31)+COUNTIF(BR$13:BR18,BR18)-1</f>
        <v>11</v>
      </c>
      <c r="BT18" s="27">
        <f t="shared" ca="1" si="28"/>
        <v>12</v>
      </c>
      <c r="BU18" s="27" t="str">
        <f t="shared" ca="1" si="29"/>
        <v>Mexico</v>
      </c>
      <c r="BV18" s="27">
        <f t="shared" ca="1" si="30"/>
        <v>54.06</v>
      </c>
      <c r="BW18" s="27">
        <f t="shared" ca="1" si="31"/>
        <v>3</v>
      </c>
      <c r="BX18" s="27">
        <f t="shared" ca="1" si="61"/>
        <v>6</v>
      </c>
      <c r="BY18" s="13">
        <f t="shared" ca="1" si="52"/>
        <v>6</v>
      </c>
      <c r="CB18" s="27">
        <f t="shared" ca="1" si="32"/>
        <v>35.76</v>
      </c>
      <c r="CC18" s="27">
        <f ca="1">RANK(CB18,CB$13:CB$31)+COUNTIF(CB$13:CB18,CB18)-1</f>
        <v>17</v>
      </c>
      <c r="CD18" s="27">
        <f t="shared" ca="1" si="33"/>
        <v>17</v>
      </c>
      <c r="CE18" s="27" t="str">
        <f t="shared" ca="1" si="34"/>
        <v>Trinidad &amp; Tobago</v>
      </c>
      <c r="CF18" s="27">
        <f t="shared" ca="1" si="35"/>
        <v>64.260000000000005</v>
      </c>
      <c r="CG18" s="27">
        <f t="shared" ca="1" si="36"/>
        <v>1</v>
      </c>
      <c r="CH18" s="27">
        <f t="shared" ca="1" si="62"/>
        <v>6</v>
      </c>
      <c r="CI18" s="13">
        <f t="shared" ca="1" si="53"/>
        <v>6</v>
      </c>
      <c r="CL18" s="27">
        <f t="shared" ca="1" si="37"/>
        <v>12.5</v>
      </c>
      <c r="CM18" s="27">
        <f ca="1">RANK(CL18,CL$13:CL$31)+COUNTIF(CL$13:CL18,CL18)-1</f>
        <v>17</v>
      </c>
      <c r="CN18" s="27">
        <f t="shared" ca="1" si="38"/>
        <v>17</v>
      </c>
      <c r="CO18" s="27" t="str">
        <f t="shared" ca="1" si="39"/>
        <v>Trinidad &amp; Tobago</v>
      </c>
      <c r="CP18" s="27">
        <f t="shared" ca="1" si="40"/>
        <v>58.33</v>
      </c>
      <c r="CQ18" s="27">
        <f t="shared" ca="1" si="41"/>
        <v>1</v>
      </c>
      <c r="CR18" s="27">
        <f t="shared" ca="1" si="63"/>
        <v>4</v>
      </c>
      <c r="CS18" s="13" t="str">
        <f t="shared" ca="1" si="54"/>
        <v>=4</v>
      </c>
      <c r="CV18" s="27" t="e">
        <f t="shared" ca="1" si="42"/>
        <v>#N/A</v>
      </c>
      <c r="CW18" s="27" t="e">
        <f ca="1">RANK(CV18,CV$13:CV$31)+COUNTIF(CV$13:CV18,CV18)-1</f>
        <v>#N/A</v>
      </c>
      <c r="CX18" s="27" t="e">
        <f t="shared" ca="1" si="43"/>
        <v>#N/A</v>
      </c>
      <c r="CY18" s="27" t="e">
        <f t="shared" ca="1" si="44"/>
        <v>#N/A</v>
      </c>
      <c r="CZ18" s="27" t="e">
        <f t="shared" ca="1" si="45"/>
        <v>#N/A</v>
      </c>
      <c r="DA18" s="27">
        <f t="shared" ca="1" si="46"/>
        <v>0</v>
      </c>
      <c r="DB18" s="27" t="str">
        <f t="shared" ca="1" si="64"/>
        <v/>
      </c>
      <c r="DC18" s="13" t="str">
        <f t="shared" ca="1" si="55"/>
        <v>=</v>
      </c>
    </row>
    <row r="19" spans="1:107">
      <c r="A19" s="25">
        <v>7</v>
      </c>
      <c r="B19" t="str">
        <f ca="1">tblCountries!E12</f>
        <v>Ecuador</v>
      </c>
      <c r="C19">
        <f ca="1">tblCountries!A12</f>
        <v>7</v>
      </c>
      <c r="D19">
        <f ca="1">tblCountries!H12</f>
        <v>1</v>
      </c>
      <c r="I19" s="4"/>
      <c r="O19" s="14">
        <f t="shared" ca="1" si="0"/>
        <v>25</v>
      </c>
      <c r="P19" s="14">
        <f t="shared" ca="1" si="1"/>
        <v>1</v>
      </c>
      <c r="Q19" s="30">
        <f ca="1">RANK(O19,O$13:O$31)+COUNTIF(O$13:O19,O19)-1</f>
        <v>12</v>
      </c>
      <c r="R19" s="27">
        <f t="shared" ca="1" si="2"/>
        <v>14</v>
      </c>
      <c r="S19" s="27" t="str">
        <f t="shared" ca="1" si="3"/>
        <v>Panama</v>
      </c>
      <c r="T19" s="27">
        <f t="shared" ca="1" si="4"/>
        <v>50</v>
      </c>
      <c r="U19" s="13" t="str">
        <f t="shared" ca="1" si="5"/>
        <v>2</v>
      </c>
      <c r="V19" s="27">
        <f t="shared" ca="1" si="6"/>
        <v>1</v>
      </c>
      <c r="W19" s="27">
        <f t="shared" ca="1" si="56"/>
        <v>4</v>
      </c>
      <c r="X19" s="13" t="str">
        <f t="shared" ca="1" si="47"/>
        <v>=4</v>
      </c>
      <c r="AB19" s="27">
        <f t="shared" ca="1" si="7"/>
        <v>14.72</v>
      </c>
      <c r="AC19" s="27">
        <f ca="1">RANK(AB19,AB$13:AB$31)+COUNTIF(AB$13:AB19,AB19)-1</f>
        <v>18</v>
      </c>
      <c r="AD19" s="27">
        <f t="shared" ca="1" si="8"/>
        <v>18</v>
      </c>
      <c r="AE19" s="27" t="str">
        <f t="shared" ca="1" si="9"/>
        <v>Uruguay</v>
      </c>
      <c r="AF19" s="27">
        <f t="shared" ca="1" si="10"/>
        <v>35.630000000000003</v>
      </c>
      <c r="AG19" s="27">
        <f t="shared" ca="1" si="11"/>
        <v>1</v>
      </c>
      <c r="AH19" s="27">
        <f t="shared" ca="1" si="57"/>
        <v>7</v>
      </c>
      <c r="AI19" s="13">
        <f t="shared" ca="1" si="48"/>
        <v>7</v>
      </c>
      <c r="AN19" s="27">
        <f t="shared" ca="1" si="12"/>
        <v>14.72</v>
      </c>
      <c r="AO19" s="27">
        <f ca="1">RANK(AN19,AN$13:AN$31)+COUNTIF(AN$13:AN19,AN19)-1</f>
        <v>18</v>
      </c>
      <c r="AP19" s="27">
        <f t="shared" ca="1" si="13"/>
        <v>18</v>
      </c>
      <c r="AQ19" s="27" t="str">
        <f t="shared" ca="1" si="14"/>
        <v>Uruguay</v>
      </c>
      <c r="AR19" s="27">
        <f t="shared" ca="1" si="15"/>
        <v>35.630000000000003</v>
      </c>
      <c r="AS19" s="27">
        <f t="shared" ca="1" si="16"/>
        <v>1</v>
      </c>
      <c r="AT19" s="27">
        <f t="shared" ca="1" si="58"/>
        <v>7</v>
      </c>
      <c r="AU19" s="13">
        <f t="shared" ca="1" si="49"/>
        <v>7</v>
      </c>
      <c r="AX19" s="27">
        <f t="shared" ca="1" si="17"/>
        <v>5.56</v>
      </c>
      <c r="AY19" s="27">
        <f ca="1">RANK(AX19,AX$13:AX$31)+COUNTIF(AX$13:AX19,AX19)-1</f>
        <v>18</v>
      </c>
      <c r="AZ19" s="27">
        <f t="shared" ca="1" si="18"/>
        <v>18</v>
      </c>
      <c r="BA19" s="27" t="str">
        <f t="shared" ca="1" si="19"/>
        <v>Uruguay</v>
      </c>
      <c r="BB19" s="27">
        <f t="shared" ca="1" si="20"/>
        <v>33.33</v>
      </c>
      <c r="BC19" s="27">
        <f t="shared" ca="1" si="21"/>
        <v>1</v>
      </c>
      <c r="BD19" s="27">
        <f t="shared" ca="1" si="59"/>
        <v>6</v>
      </c>
      <c r="BE19" s="13" t="str">
        <f t="shared" ca="1" si="50"/>
        <v>=6</v>
      </c>
      <c r="BH19" s="27">
        <f t="shared" ca="1" si="22"/>
        <v>0</v>
      </c>
      <c r="BI19" s="27">
        <f ca="1">RANK(BH19,BH$13:BH$31)+COUNTIF(BH$13:BH19,BH19)-1</f>
        <v>18</v>
      </c>
      <c r="BJ19" s="27">
        <f t="shared" ca="1" si="23"/>
        <v>12</v>
      </c>
      <c r="BK19" s="27" t="str">
        <f t="shared" ca="1" si="24"/>
        <v>Mexico</v>
      </c>
      <c r="BL19" s="27">
        <f t="shared" ca="1" si="25"/>
        <v>37.5</v>
      </c>
      <c r="BM19" s="27">
        <f t="shared" ca="1" si="26"/>
        <v>3</v>
      </c>
      <c r="BN19" s="27">
        <f t="shared" ca="1" si="60"/>
        <v>4</v>
      </c>
      <c r="BO19" s="13" t="str">
        <f t="shared" ca="1" si="51"/>
        <v>=4</v>
      </c>
      <c r="BR19" s="27">
        <f t="shared" ca="1" si="27"/>
        <v>39.07</v>
      </c>
      <c r="BS19" s="27">
        <f ca="1">RANK(BR19,BR$13:BR$31)+COUNTIF(BR$13:BR19,BR19)-1</f>
        <v>10</v>
      </c>
      <c r="BT19" s="27">
        <f t="shared" ca="1" si="28"/>
        <v>10</v>
      </c>
      <c r="BU19" s="27" t="str">
        <f t="shared" ca="1" si="29"/>
        <v>Honduras</v>
      </c>
      <c r="BV19" s="27">
        <f t="shared" ca="1" si="30"/>
        <v>45.98</v>
      </c>
      <c r="BW19" s="27">
        <f t="shared" ca="1" si="31"/>
        <v>1</v>
      </c>
      <c r="BX19" s="27">
        <f t="shared" ca="1" si="61"/>
        <v>7</v>
      </c>
      <c r="BY19" s="13">
        <f t="shared" ca="1" si="52"/>
        <v>7</v>
      </c>
      <c r="CB19" s="27">
        <f t="shared" ca="1" si="32"/>
        <v>38.36</v>
      </c>
      <c r="CC19" s="27">
        <f ca="1">RANK(CB19,CB$13:CB$31)+COUNTIF(CB$13:CB19,CB19)-1</f>
        <v>15</v>
      </c>
      <c r="CD19" s="27">
        <f t="shared" ca="1" si="33"/>
        <v>14</v>
      </c>
      <c r="CE19" s="27" t="str">
        <f t="shared" ca="1" si="34"/>
        <v>Panama</v>
      </c>
      <c r="CF19" s="27">
        <f t="shared" ca="1" si="35"/>
        <v>62.83</v>
      </c>
      <c r="CG19" s="27">
        <f t="shared" ca="1" si="36"/>
        <v>1</v>
      </c>
      <c r="CH19" s="27">
        <f t="shared" ca="1" si="62"/>
        <v>7</v>
      </c>
      <c r="CI19" s="13">
        <f t="shared" ca="1" si="53"/>
        <v>7</v>
      </c>
      <c r="CL19" s="27">
        <f t="shared" ca="1" si="37"/>
        <v>25</v>
      </c>
      <c r="CM19" s="27">
        <f ca="1">RANK(CL19,CL$13:CL$31)+COUNTIF(CL$13:CL19,CL19)-1</f>
        <v>12</v>
      </c>
      <c r="CN19" s="27">
        <f t="shared" ca="1" si="38"/>
        <v>4</v>
      </c>
      <c r="CO19" s="27" t="str">
        <f t="shared" ca="1" si="39"/>
        <v>Colombia</v>
      </c>
      <c r="CP19" s="27">
        <f t="shared" ca="1" si="40"/>
        <v>50</v>
      </c>
      <c r="CQ19" s="27">
        <f t="shared" ca="1" si="41"/>
        <v>1</v>
      </c>
      <c r="CR19" s="27">
        <f t="shared" ca="1" si="63"/>
        <v>7</v>
      </c>
      <c r="CS19" s="13" t="str">
        <f t="shared" ca="1" si="54"/>
        <v>=7</v>
      </c>
      <c r="CV19" s="27" t="e">
        <f t="shared" ca="1" si="42"/>
        <v>#N/A</v>
      </c>
      <c r="CW19" s="27" t="e">
        <f ca="1">RANK(CV19,CV$13:CV$31)+COUNTIF(CV$13:CV19,CV19)-1</f>
        <v>#N/A</v>
      </c>
      <c r="CX19" s="27" t="e">
        <f t="shared" ca="1" si="43"/>
        <v>#N/A</v>
      </c>
      <c r="CY19" s="27" t="e">
        <f t="shared" ca="1" si="44"/>
        <v>#N/A</v>
      </c>
      <c r="CZ19" s="27" t="e">
        <f t="shared" ca="1" si="45"/>
        <v>#N/A</v>
      </c>
      <c r="DA19" s="27">
        <f t="shared" ca="1" si="46"/>
        <v>0</v>
      </c>
      <c r="DB19" s="27" t="str">
        <f t="shared" ca="1" si="64"/>
        <v/>
      </c>
      <c r="DC19" s="13" t="str">
        <f t="shared" ca="1" si="55"/>
        <v>=</v>
      </c>
    </row>
    <row r="20" spans="1:107">
      <c r="A20" s="25">
        <v>8</v>
      </c>
      <c r="B20" t="str">
        <f ca="1">tblCountries!E13</f>
        <v>El Salvador</v>
      </c>
      <c r="C20">
        <f ca="1">tblCountries!A13</f>
        <v>8</v>
      </c>
      <c r="D20">
        <f ca="1">tblCountries!H13</f>
        <v>1</v>
      </c>
      <c r="I20" s="6"/>
      <c r="O20" s="14">
        <f t="shared" ca="1" si="0"/>
        <v>50</v>
      </c>
      <c r="P20" s="14">
        <f t="shared" ca="1" si="1"/>
        <v>2</v>
      </c>
      <c r="Q20" s="30">
        <f ca="1">RANK(O20,O$13:O$31)+COUNTIF(O$13:O20,O20)-1</f>
        <v>6</v>
      </c>
      <c r="R20" s="27">
        <f t="shared" ca="1" si="2"/>
        <v>16</v>
      </c>
      <c r="S20" s="27" t="str">
        <f t="shared" ca="1" si="3"/>
        <v>Peru</v>
      </c>
      <c r="T20" s="27">
        <f t="shared" ca="1" si="4"/>
        <v>50</v>
      </c>
      <c r="U20" s="13" t="str">
        <f t="shared" ca="1" si="5"/>
        <v>2</v>
      </c>
      <c r="V20" s="27">
        <f t="shared" ca="1" si="6"/>
        <v>1</v>
      </c>
      <c r="W20" s="27">
        <f t="shared" ca="1" si="56"/>
        <v>4</v>
      </c>
      <c r="X20" s="13" t="str">
        <f t="shared" ca="1" si="47"/>
        <v>=4</v>
      </c>
      <c r="AB20" s="27">
        <f t="shared" ca="1" si="7"/>
        <v>21.82</v>
      </c>
      <c r="AC20" s="27">
        <f ca="1">RANK(AB20,AB$13:AB$31)+COUNTIF(AB$13:AB20,AB20)-1</f>
        <v>15</v>
      </c>
      <c r="AD20" s="27">
        <f t="shared" ca="1" si="8"/>
        <v>10</v>
      </c>
      <c r="AE20" s="27" t="str">
        <f t="shared" ca="1" si="9"/>
        <v>Honduras</v>
      </c>
      <c r="AF20" s="27">
        <f t="shared" ca="1" si="10"/>
        <v>33.29</v>
      </c>
      <c r="AG20" s="27">
        <f t="shared" ca="1" si="11"/>
        <v>1</v>
      </c>
      <c r="AH20" s="27">
        <f t="shared" ca="1" si="57"/>
        <v>8</v>
      </c>
      <c r="AI20" s="13">
        <f t="shared" ca="1" si="48"/>
        <v>8</v>
      </c>
      <c r="AN20" s="27">
        <f t="shared" ca="1" si="12"/>
        <v>21.82</v>
      </c>
      <c r="AO20" s="27">
        <f ca="1">RANK(AN20,AN$13:AN$31)+COUNTIF(AN$13:AN20,AN20)-1</f>
        <v>15</v>
      </c>
      <c r="AP20" s="27">
        <f t="shared" ca="1" si="13"/>
        <v>10</v>
      </c>
      <c r="AQ20" s="27" t="str">
        <f t="shared" ca="1" si="14"/>
        <v>Honduras</v>
      </c>
      <c r="AR20" s="27">
        <f t="shared" ca="1" si="15"/>
        <v>33.29</v>
      </c>
      <c r="AS20" s="27">
        <f t="shared" ca="1" si="16"/>
        <v>1</v>
      </c>
      <c r="AT20" s="27">
        <f t="shared" ca="1" si="58"/>
        <v>8</v>
      </c>
      <c r="AU20" s="13">
        <f t="shared" ca="1" si="49"/>
        <v>8</v>
      </c>
      <c r="AX20" s="27">
        <f t="shared" ca="1" si="17"/>
        <v>19.440000000000001</v>
      </c>
      <c r="AY20" s="27">
        <f ca="1">RANK(AX20,AX$13:AX$31)+COUNTIF(AX$13:AX20,AX20)-1</f>
        <v>12</v>
      </c>
      <c r="AZ20" s="27">
        <f t="shared" ca="1" si="18"/>
        <v>10</v>
      </c>
      <c r="BA20" s="27" t="str">
        <f t="shared" ca="1" si="19"/>
        <v>Honduras</v>
      </c>
      <c r="BB20" s="27">
        <f t="shared" ca="1" si="20"/>
        <v>25</v>
      </c>
      <c r="BC20" s="27">
        <f t="shared" ca="1" si="21"/>
        <v>1</v>
      </c>
      <c r="BD20" s="27">
        <f t="shared" ca="1" si="59"/>
        <v>8</v>
      </c>
      <c r="BE20" s="13" t="str">
        <f t="shared" ca="1" si="50"/>
        <v>=8</v>
      </c>
      <c r="BH20" s="27">
        <f t="shared" ca="1" si="22"/>
        <v>25</v>
      </c>
      <c r="BI20" s="27">
        <f ca="1">RANK(BH20,BH$13:BH$31)+COUNTIF(BH$13:BH20,BH20)-1</f>
        <v>11</v>
      </c>
      <c r="BJ20" s="27">
        <f t="shared" ca="1" si="23"/>
        <v>18</v>
      </c>
      <c r="BK20" s="27" t="str">
        <f t="shared" ca="1" si="24"/>
        <v>Uruguay</v>
      </c>
      <c r="BL20" s="27">
        <f t="shared" ca="1" si="25"/>
        <v>37.5</v>
      </c>
      <c r="BM20" s="27">
        <f t="shared" ca="1" si="26"/>
        <v>1</v>
      </c>
      <c r="BN20" s="27">
        <f t="shared" ca="1" si="60"/>
        <v>4</v>
      </c>
      <c r="BO20" s="13" t="str">
        <f t="shared" ca="1" si="51"/>
        <v>=4</v>
      </c>
      <c r="BR20" s="27">
        <f t="shared" ca="1" si="27"/>
        <v>12.5</v>
      </c>
      <c r="BS20" s="27">
        <f ca="1">RANK(BR20,BR$13:BR$31)+COUNTIF(BR$13:BR20,BR20)-1</f>
        <v>18</v>
      </c>
      <c r="BT20" s="27">
        <f t="shared" ca="1" si="28"/>
        <v>11</v>
      </c>
      <c r="BU20" s="27" t="str">
        <f t="shared" ca="1" si="29"/>
        <v>Jamaica</v>
      </c>
      <c r="BV20" s="27">
        <f t="shared" ca="1" si="30"/>
        <v>41.65</v>
      </c>
      <c r="BW20" s="27">
        <f t="shared" ca="1" si="31"/>
        <v>1</v>
      </c>
      <c r="BX20" s="27">
        <f t="shared" ca="1" si="61"/>
        <v>8</v>
      </c>
      <c r="BY20" s="13">
        <f t="shared" ca="1" si="52"/>
        <v>8</v>
      </c>
      <c r="CB20" s="27">
        <f t="shared" ca="1" si="32"/>
        <v>58.36</v>
      </c>
      <c r="CC20" s="27">
        <f ca="1">RANK(CB20,CB$13:CB$31)+COUNTIF(CB$13:CB20,CB20)-1</f>
        <v>11</v>
      </c>
      <c r="CD20" s="27">
        <f t="shared" ca="1" si="33"/>
        <v>5</v>
      </c>
      <c r="CE20" s="27" t="str">
        <f t="shared" ca="1" si="34"/>
        <v>Costa Rica</v>
      </c>
      <c r="CF20" s="27">
        <f t="shared" ca="1" si="35"/>
        <v>61.34</v>
      </c>
      <c r="CG20" s="27">
        <f t="shared" ca="1" si="36"/>
        <v>1</v>
      </c>
      <c r="CH20" s="27">
        <f t="shared" ca="1" si="62"/>
        <v>8</v>
      </c>
      <c r="CI20" s="13">
        <f t="shared" ca="1" si="53"/>
        <v>8</v>
      </c>
      <c r="CL20" s="27">
        <f t="shared" ca="1" si="37"/>
        <v>45.83</v>
      </c>
      <c r="CM20" s="27">
        <f ca="1">RANK(CL20,CL$13:CL$31)+COUNTIF(CL$13:CL20,CL20)-1</f>
        <v>9</v>
      </c>
      <c r="CN20" s="27">
        <f t="shared" ca="1" si="38"/>
        <v>5</v>
      </c>
      <c r="CO20" s="27" t="str">
        <f t="shared" ca="1" si="39"/>
        <v>Costa Rica</v>
      </c>
      <c r="CP20" s="27">
        <f t="shared" ca="1" si="40"/>
        <v>50</v>
      </c>
      <c r="CQ20" s="27">
        <f t="shared" ca="1" si="41"/>
        <v>1</v>
      </c>
      <c r="CR20" s="27">
        <f t="shared" ca="1" si="63"/>
        <v>7</v>
      </c>
      <c r="CS20" s="13" t="str">
        <f t="shared" ca="1" si="54"/>
        <v>=7</v>
      </c>
      <c r="CV20" s="27" t="e">
        <f t="shared" ca="1" si="42"/>
        <v>#N/A</v>
      </c>
      <c r="CW20" s="27" t="e">
        <f ca="1">RANK(CV20,CV$13:CV$31)+COUNTIF(CV$13:CV20,CV20)-1</f>
        <v>#N/A</v>
      </c>
      <c r="CX20" s="27" t="e">
        <f t="shared" ca="1" si="43"/>
        <v>#N/A</v>
      </c>
      <c r="CY20" s="27" t="e">
        <f t="shared" ca="1" si="44"/>
        <v>#N/A</v>
      </c>
      <c r="CZ20" s="27" t="e">
        <f t="shared" ca="1" si="45"/>
        <v>#N/A</v>
      </c>
      <c r="DA20" s="27">
        <f t="shared" ca="1" si="46"/>
        <v>0</v>
      </c>
      <c r="DB20" s="27" t="str">
        <f t="shared" ca="1" si="64"/>
        <v/>
      </c>
      <c r="DC20" s="13" t="str">
        <f t="shared" ca="1" si="55"/>
        <v>=</v>
      </c>
    </row>
    <row r="21" spans="1:107">
      <c r="A21" s="25">
        <v>9</v>
      </c>
      <c r="B21" t="str">
        <f ca="1">tblCountries!E14</f>
        <v>Guatemala</v>
      </c>
      <c r="C21">
        <f ca="1">tblCountries!A14</f>
        <v>9</v>
      </c>
      <c r="D21">
        <f ca="1">tblCountries!H14</f>
        <v>1</v>
      </c>
      <c r="I21" s="6"/>
      <c r="O21" s="14">
        <f t="shared" ca="1" si="0"/>
        <v>0</v>
      </c>
      <c r="P21" s="14">
        <f t="shared" ca="1" si="1"/>
        <v>0</v>
      </c>
      <c r="Q21" s="30">
        <f ca="1">RANK(O21,O$13:O$31)+COUNTIF(O$13:O21,O21)-1</f>
        <v>16</v>
      </c>
      <c r="R21" s="27">
        <f t="shared" ca="1" si="2"/>
        <v>17</v>
      </c>
      <c r="S21" s="27" t="str">
        <f t="shared" ca="1" si="3"/>
        <v>Trinidad &amp; Tobago</v>
      </c>
      <c r="T21" s="27">
        <f t="shared" ca="1" si="4"/>
        <v>50</v>
      </c>
      <c r="U21" s="13" t="str">
        <f t="shared" ca="1" si="5"/>
        <v>2</v>
      </c>
      <c r="V21" s="27">
        <f t="shared" ca="1" si="6"/>
        <v>1</v>
      </c>
      <c r="W21" s="27">
        <f t="shared" ca="1" si="56"/>
        <v>4</v>
      </c>
      <c r="X21" s="13" t="str">
        <f t="shared" ca="1" si="47"/>
        <v>=4</v>
      </c>
      <c r="AB21" s="27">
        <f t="shared" ca="1" si="7"/>
        <v>21.96</v>
      </c>
      <c r="AC21" s="27">
        <f ca="1">RANK(AB21,AB$13:AB$31)+COUNTIF(AB$13:AB21,AB21)-1</f>
        <v>14</v>
      </c>
      <c r="AD21" s="27">
        <f t="shared" ca="1" si="8"/>
        <v>11</v>
      </c>
      <c r="AE21" s="27" t="str">
        <f t="shared" ca="1" si="9"/>
        <v>Jamaica</v>
      </c>
      <c r="AF21" s="27">
        <f t="shared" ca="1" si="10"/>
        <v>31.63</v>
      </c>
      <c r="AG21" s="27">
        <f t="shared" ca="1" si="11"/>
        <v>1</v>
      </c>
      <c r="AH21" s="27">
        <f t="shared" ca="1" si="57"/>
        <v>9</v>
      </c>
      <c r="AI21" s="13">
        <f t="shared" ca="1" si="48"/>
        <v>9</v>
      </c>
      <c r="AN21" s="27">
        <f t="shared" ca="1" si="12"/>
        <v>21.96</v>
      </c>
      <c r="AO21" s="27">
        <f ca="1">RANK(AN21,AN$13:AN$31)+COUNTIF(AN$13:AN21,AN21)-1</f>
        <v>14</v>
      </c>
      <c r="AP21" s="27">
        <f t="shared" ca="1" si="13"/>
        <v>11</v>
      </c>
      <c r="AQ21" s="27" t="str">
        <f t="shared" ca="1" si="14"/>
        <v>Jamaica</v>
      </c>
      <c r="AR21" s="27">
        <f t="shared" ca="1" si="15"/>
        <v>31.63</v>
      </c>
      <c r="AS21" s="27">
        <f t="shared" ca="1" si="16"/>
        <v>1</v>
      </c>
      <c r="AT21" s="27">
        <f t="shared" ca="1" si="58"/>
        <v>9</v>
      </c>
      <c r="AU21" s="13">
        <f t="shared" ca="1" si="49"/>
        <v>9</v>
      </c>
      <c r="AX21" s="27">
        <f t="shared" ca="1" si="17"/>
        <v>16.670000000000002</v>
      </c>
      <c r="AY21" s="27">
        <f ca="1">RANK(AX21,AX$13:AX$31)+COUNTIF(AX$13:AX21,AX21)-1</f>
        <v>14</v>
      </c>
      <c r="AZ21" s="27">
        <f t="shared" ca="1" si="18"/>
        <v>11</v>
      </c>
      <c r="BA21" s="27" t="str">
        <f t="shared" ca="1" si="19"/>
        <v>Jamaica</v>
      </c>
      <c r="BB21" s="27">
        <f t="shared" ca="1" si="20"/>
        <v>25</v>
      </c>
      <c r="BC21" s="27">
        <f t="shared" ca="1" si="21"/>
        <v>1</v>
      </c>
      <c r="BD21" s="27">
        <f t="shared" ca="1" si="59"/>
        <v>8</v>
      </c>
      <c r="BE21" s="13" t="str">
        <f t="shared" ca="1" si="50"/>
        <v>=8</v>
      </c>
      <c r="BH21" s="27">
        <f t="shared" ca="1" si="22"/>
        <v>25</v>
      </c>
      <c r="BI21" s="27">
        <f ca="1">RANK(BH21,BH$13:BH$31)+COUNTIF(BH$13:BH21,BH21)-1</f>
        <v>12</v>
      </c>
      <c r="BJ21" s="27">
        <f t="shared" ca="1" si="23"/>
        <v>5</v>
      </c>
      <c r="BK21" s="27" t="str">
        <f t="shared" ca="1" si="24"/>
        <v>Costa Rica</v>
      </c>
      <c r="BL21" s="27">
        <f t="shared" ca="1" si="25"/>
        <v>25</v>
      </c>
      <c r="BM21" s="27">
        <f t="shared" ca="1" si="26"/>
        <v>1</v>
      </c>
      <c r="BN21" s="27">
        <f t="shared" ca="1" si="60"/>
        <v>9</v>
      </c>
      <c r="BO21" s="13" t="str">
        <f t="shared" ca="1" si="51"/>
        <v>=9</v>
      </c>
      <c r="BR21" s="27">
        <f t="shared" ca="1" si="27"/>
        <v>25.32</v>
      </c>
      <c r="BS21" s="27">
        <f ca="1">RANK(BR21,BR$13:BR$31)+COUNTIF(BR$13:BR21,BR21)-1</f>
        <v>17</v>
      </c>
      <c r="BT21" s="27">
        <f t="shared" ca="1" si="28"/>
        <v>1</v>
      </c>
      <c r="BU21" s="27" t="str">
        <f t="shared" ca="1" si="29"/>
        <v>Argentina</v>
      </c>
      <c r="BV21" s="27">
        <f t="shared" ca="1" si="30"/>
        <v>41.48</v>
      </c>
      <c r="BW21" s="27">
        <f t="shared" ca="1" si="31"/>
        <v>1</v>
      </c>
      <c r="BX21" s="27">
        <f t="shared" ca="1" si="61"/>
        <v>9</v>
      </c>
      <c r="BY21" s="13">
        <f t="shared" ca="1" si="52"/>
        <v>9</v>
      </c>
      <c r="CB21" s="27">
        <f t="shared" ca="1" si="32"/>
        <v>33.369999999999997</v>
      </c>
      <c r="CC21" s="27">
        <f ca="1">RANK(CB21,CB$13:CB$31)+COUNTIF(CB$13:CB21,CB21)-1</f>
        <v>18</v>
      </c>
      <c r="CD21" s="27">
        <f t="shared" ca="1" si="33"/>
        <v>15</v>
      </c>
      <c r="CE21" s="27" t="str">
        <f t="shared" ca="1" si="34"/>
        <v>Paraguay</v>
      </c>
      <c r="CF21" s="27">
        <f t="shared" ca="1" si="35"/>
        <v>59.39</v>
      </c>
      <c r="CG21" s="27">
        <f t="shared" ca="1" si="36"/>
        <v>1</v>
      </c>
      <c r="CH21" s="27">
        <f t="shared" ca="1" si="62"/>
        <v>9</v>
      </c>
      <c r="CI21" s="13">
        <f t="shared" ca="1" si="53"/>
        <v>9</v>
      </c>
      <c r="CL21" s="27">
        <f t="shared" ca="1" si="37"/>
        <v>25</v>
      </c>
      <c r="CM21" s="27">
        <f ca="1">RANK(CL21,CL$13:CL$31)+COUNTIF(CL$13:CL21,CL21)-1</f>
        <v>13</v>
      </c>
      <c r="CN21" s="27">
        <f t="shared" ca="1" si="38"/>
        <v>8</v>
      </c>
      <c r="CO21" s="27" t="str">
        <f t="shared" ca="1" si="39"/>
        <v>El Salvador</v>
      </c>
      <c r="CP21" s="27">
        <f t="shared" ca="1" si="40"/>
        <v>45.83</v>
      </c>
      <c r="CQ21" s="27">
        <f t="shared" ca="1" si="41"/>
        <v>1</v>
      </c>
      <c r="CR21" s="27">
        <f t="shared" ca="1" si="63"/>
        <v>9</v>
      </c>
      <c r="CS21" s="13">
        <f t="shared" ca="1" si="54"/>
        <v>9</v>
      </c>
      <c r="CV21" s="27" t="e">
        <f t="shared" ca="1" si="42"/>
        <v>#N/A</v>
      </c>
      <c r="CW21" s="27" t="e">
        <f ca="1">RANK(CV21,CV$13:CV$31)+COUNTIF(CV$13:CV21,CV21)-1</f>
        <v>#N/A</v>
      </c>
      <c r="CX21" s="27" t="e">
        <f t="shared" ca="1" si="43"/>
        <v>#N/A</v>
      </c>
      <c r="CY21" s="27" t="e">
        <f t="shared" ca="1" si="44"/>
        <v>#N/A</v>
      </c>
      <c r="CZ21" s="27" t="e">
        <f t="shared" ca="1" si="45"/>
        <v>#N/A</v>
      </c>
      <c r="DA21" s="27">
        <f t="shared" ca="1" si="46"/>
        <v>0</v>
      </c>
      <c r="DB21" s="27" t="str">
        <f t="shared" ca="1" si="64"/>
        <v/>
      </c>
      <c r="DC21" s="13" t="str">
        <f t="shared" ca="1" si="55"/>
        <v>=</v>
      </c>
    </row>
    <row r="22" spans="1:107">
      <c r="A22" s="25">
        <v>10</v>
      </c>
      <c r="B22" t="str">
        <f ca="1">tblCountries!E15</f>
        <v>Honduras</v>
      </c>
      <c r="C22">
        <f ca="1">tblCountries!A15</f>
        <v>10</v>
      </c>
      <c r="D22">
        <f ca="1">tblCountries!H15</f>
        <v>1</v>
      </c>
      <c r="I22" s="6"/>
      <c r="O22" s="14">
        <f t="shared" ca="1" si="0"/>
        <v>0</v>
      </c>
      <c r="P22" s="14">
        <f t="shared" ca="1" si="1"/>
        <v>0</v>
      </c>
      <c r="Q22" s="30">
        <f ca="1">RANK(O22,O$13:O$31)+COUNTIF(O$13:O22,O22)-1</f>
        <v>17</v>
      </c>
      <c r="R22" s="27">
        <f t="shared" ca="1" si="2"/>
        <v>1</v>
      </c>
      <c r="S22" s="27" t="str">
        <f t="shared" ca="1" si="3"/>
        <v>Argentina</v>
      </c>
      <c r="T22" s="27">
        <f t="shared" ca="1" si="4"/>
        <v>25</v>
      </c>
      <c r="U22" s="13" t="str">
        <f t="shared" ca="1" si="5"/>
        <v>1</v>
      </c>
      <c r="V22" s="27">
        <f t="shared" ca="1" si="6"/>
        <v>1</v>
      </c>
      <c r="W22" s="27">
        <f t="shared" ca="1" si="56"/>
        <v>10</v>
      </c>
      <c r="X22" s="13" t="str">
        <f t="shared" ca="1" si="47"/>
        <v>=10</v>
      </c>
      <c r="AB22" s="27">
        <f t="shared" ca="1" si="7"/>
        <v>33.29</v>
      </c>
      <c r="AC22" s="27">
        <f ca="1">RANK(AB22,AB$13:AB$31)+COUNTIF(AB$13:AB22,AB22)-1</f>
        <v>8</v>
      </c>
      <c r="AD22" s="27">
        <f t="shared" ca="1" si="8"/>
        <v>15</v>
      </c>
      <c r="AE22" s="27" t="str">
        <f t="shared" ca="1" si="9"/>
        <v>Paraguay</v>
      </c>
      <c r="AF22" s="27">
        <f t="shared" ca="1" si="10"/>
        <v>27.84</v>
      </c>
      <c r="AG22" s="27">
        <f t="shared" ca="1" si="11"/>
        <v>1</v>
      </c>
      <c r="AH22" s="27">
        <f t="shared" ca="1" si="57"/>
        <v>10</v>
      </c>
      <c r="AI22" s="13">
        <f t="shared" ca="1" si="48"/>
        <v>10</v>
      </c>
      <c r="AN22" s="27">
        <f t="shared" ca="1" si="12"/>
        <v>33.29</v>
      </c>
      <c r="AO22" s="27">
        <f ca="1">RANK(AN22,AN$13:AN$31)+COUNTIF(AN$13:AN22,AN22)-1</f>
        <v>8</v>
      </c>
      <c r="AP22" s="27">
        <f t="shared" ca="1" si="13"/>
        <v>15</v>
      </c>
      <c r="AQ22" s="27" t="str">
        <f t="shared" ca="1" si="14"/>
        <v>Paraguay</v>
      </c>
      <c r="AR22" s="27">
        <f t="shared" ca="1" si="15"/>
        <v>27.84</v>
      </c>
      <c r="AS22" s="27">
        <f t="shared" ca="1" si="16"/>
        <v>1</v>
      </c>
      <c r="AT22" s="27">
        <f t="shared" ca="1" si="58"/>
        <v>10</v>
      </c>
      <c r="AU22" s="13">
        <f t="shared" ca="1" si="49"/>
        <v>10</v>
      </c>
      <c r="AX22" s="27">
        <f t="shared" ca="1" si="17"/>
        <v>25</v>
      </c>
      <c r="AY22" s="27">
        <f ca="1">RANK(AX22,AX$13:AX$31)+COUNTIF(AX$13:AX22,AX22)-1</f>
        <v>8</v>
      </c>
      <c r="AZ22" s="27">
        <f t="shared" ca="1" si="18"/>
        <v>14</v>
      </c>
      <c r="BA22" s="27" t="str">
        <f t="shared" ca="1" si="19"/>
        <v>Panama</v>
      </c>
      <c r="BB22" s="27">
        <f t="shared" ca="1" si="20"/>
        <v>25</v>
      </c>
      <c r="BC22" s="27">
        <f t="shared" ca="1" si="21"/>
        <v>1</v>
      </c>
      <c r="BD22" s="27">
        <f t="shared" ca="1" si="59"/>
        <v>8</v>
      </c>
      <c r="BE22" s="13" t="str">
        <f t="shared" ca="1" si="50"/>
        <v>=8</v>
      </c>
      <c r="BH22" s="27">
        <f t="shared" ca="1" si="22"/>
        <v>37.5</v>
      </c>
      <c r="BI22" s="27">
        <f ca="1">RANK(BH22,BH$13:BH$31)+COUNTIF(BH$13:BH22,BH22)-1</f>
        <v>5</v>
      </c>
      <c r="BJ22" s="27">
        <f t="shared" ca="1" si="23"/>
        <v>6</v>
      </c>
      <c r="BK22" s="27" t="str">
        <f t="shared" ca="1" si="24"/>
        <v>Dominican Rep.</v>
      </c>
      <c r="BL22" s="27">
        <f t="shared" ca="1" si="25"/>
        <v>25</v>
      </c>
      <c r="BM22" s="27">
        <f t="shared" ca="1" si="26"/>
        <v>1</v>
      </c>
      <c r="BN22" s="27">
        <f t="shared" ca="1" si="60"/>
        <v>9</v>
      </c>
      <c r="BO22" s="13" t="str">
        <f t="shared" ca="1" si="51"/>
        <v>=9</v>
      </c>
      <c r="BR22" s="27">
        <f t="shared" ca="1" si="27"/>
        <v>45.98</v>
      </c>
      <c r="BS22" s="27">
        <f ca="1">RANK(BR22,BR$13:BR$31)+COUNTIF(BR$13:BR22,BR22)-1</f>
        <v>7</v>
      </c>
      <c r="BT22" s="27">
        <f t="shared" ca="1" si="28"/>
        <v>7</v>
      </c>
      <c r="BU22" s="27" t="str">
        <f t="shared" ca="1" si="29"/>
        <v>Ecuador</v>
      </c>
      <c r="BV22" s="27">
        <f t="shared" ca="1" si="30"/>
        <v>39.07</v>
      </c>
      <c r="BW22" s="27">
        <f t="shared" ca="1" si="31"/>
        <v>1</v>
      </c>
      <c r="BX22" s="27">
        <f t="shared" ca="1" si="61"/>
        <v>10</v>
      </c>
      <c r="BY22" s="13">
        <f t="shared" ca="1" si="52"/>
        <v>10</v>
      </c>
      <c r="CB22" s="27">
        <f t="shared" ca="1" si="32"/>
        <v>39.770000000000003</v>
      </c>
      <c r="CC22" s="27">
        <f ca="1">RANK(CB22,CB$13:CB$31)+COUNTIF(CB$13:CB22,CB22)-1</f>
        <v>14</v>
      </c>
      <c r="CD22" s="27">
        <f t="shared" ca="1" si="33"/>
        <v>4</v>
      </c>
      <c r="CE22" s="27" t="str">
        <f t="shared" ca="1" si="34"/>
        <v>Colombia</v>
      </c>
      <c r="CF22" s="27">
        <f t="shared" ca="1" si="35"/>
        <v>58.57</v>
      </c>
      <c r="CG22" s="27">
        <f t="shared" ca="1" si="36"/>
        <v>1</v>
      </c>
      <c r="CH22" s="27">
        <f t="shared" ca="1" si="62"/>
        <v>10</v>
      </c>
      <c r="CI22" s="13">
        <f t="shared" ca="1" si="53"/>
        <v>10</v>
      </c>
      <c r="CL22" s="27">
        <f t="shared" ca="1" si="37"/>
        <v>8.33</v>
      </c>
      <c r="CM22" s="27">
        <f ca="1">RANK(CL22,CL$13:CL$31)+COUNTIF(CL$13:CL22,CL22)-1</f>
        <v>19</v>
      </c>
      <c r="CN22" s="27">
        <f t="shared" ca="1" si="38"/>
        <v>15</v>
      </c>
      <c r="CO22" s="27" t="str">
        <f t="shared" ca="1" si="39"/>
        <v>Paraguay</v>
      </c>
      <c r="CP22" s="27">
        <f t="shared" ca="1" si="40"/>
        <v>37.5</v>
      </c>
      <c r="CQ22" s="27">
        <f t="shared" ca="1" si="41"/>
        <v>1</v>
      </c>
      <c r="CR22" s="27">
        <f t="shared" ca="1" si="63"/>
        <v>10</v>
      </c>
      <c r="CS22" s="13">
        <f t="shared" ca="1" si="54"/>
        <v>10</v>
      </c>
      <c r="CV22" s="27" t="e">
        <f t="shared" ca="1" si="42"/>
        <v>#N/A</v>
      </c>
      <c r="CW22" s="27" t="e">
        <f ca="1">RANK(CV22,CV$13:CV$31)+COUNTIF(CV$13:CV22,CV22)-1</f>
        <v>#N/A</v>
      </c>
      <c r="CX22" s="27" t="e">
        <f t="shared" ca="1" si="43"/>
        <v>#N/A</v>
      </c>
      <c r="CY22" s="27" t="e">
        <f t="shared" ca="1" si="44"/>
        <v>#N/A</v>
      </c>
      <c r="CZ22" s="27" t="e">
        <f t="shared" ca="1" si="45"/>
        <v>#N/A</v>
      </c>
      <c r="DA22" s="27">
        <f t="shared" ca="1" si="46"/>
        <v>0</v>
      </c>
      <c r="DB22" s="27" t="str">
        <f t="shared" ca="1" si="64"/>
        <v/>
      </c>
      <c r="DC22" s="13" t="str">
        <f t="shared" ca="1" si="55"/>
        <v>=</v>
      </c>
    </row>
    <row r="23" spans="1:107">
      <c r="A23" s="25">
        <v>11</v>
      </c>
      <c r="B23" t="str">
        <f ca="1">tblCountries!E16</f>
        <v>Jamaica</v>
      </c>
      <c r="C23">
        <f ca="1">tblCountries!A16</f>
        <v>11</v>
      </c>
      <c r="D23">
        <f ca="1">tblCountries!H16</f>
        <v>1</v>
      </c>
      <c r="I23" s="6"/>
      <c r="O23" s="14">
        <f t="shared" ca="1" si="0"/>
        <v>0</v>
      </c>
      <c r="P23" s="14">
        <f t="shared" ca="1" si="1"/>
        <v>0</v>
      </c>
      <c r="Q23" s="30">
        <f ca="1">RANK(O23,O$13:O$31)+COUNTIF(O$13:O23,O23)-1</f>
        <v>18</v>
      </c>
      <c r="R23" s="27">
        <f t="shared" ca="1" si="2"/>
        <v>6</v>
      </c>
      <c r="S23" s="27" t="str">
        <f t="shared" ca="1" si="3"/>
        <v>Dominican Rep.</v>
      </c>
      <c r="T23" s="27">
        <f t="shared" ca="1" si="4"/>
        <v>25</v>
      </c>
      <c r="U23" s="13" t="str">
        <f t="shared" ca="1" si="5"/>
        <v>1</v>
      </c>
      <c r="V23" s="27">
        <f t="shared" ca="1" si="6"/>
        <v>1</v>
      </c>
      <c r="W23" s="27">
        <f t="shared" ca="1" si="56"/>
        <v>10</v>
      </c>
      <c r="X23" s="13" t="str">
        <f t="shared" ca="1" si="47"/>
        <v>=10</v>
      </c>
      <c r="AB23" s="27">
        <f t="shared" ca="1" si="7"/>
        <v>31.63</v>
      </c>
      <c r="AC23" s="27">
        <f ca="1">RANK(AB23,AB$13:AB$31)+COUNTIF(AB$13:AB23,AB23)-1</f>
        <v>9</v>
      </c>
      <c r="AD23" s="27">
        <f t="shared" ca="1" si="8"/>
        <v>14</v>
      </c>
      <c r="AE23" s="27" t="str">
        <f t="shared" ca="1" si="9"/>
        <v>Panama</v>
      </c>
      <c r="AF23" s="27">
        <f t="shared" ca="1" si="10"/>
        <v>26.96</v>
      </c>
      <c r="AG23" s="27">
        <f t="shared" ca="1" si="11"/>
        <v>1</v>
      </c>
      <c r="AH23" s="27">
        <f t="shared" ca="1" si="57"/>
        <v>11</v>
      </c>
      <c r="AI23" s="13">
        <f t="shared" ca="1" si="48"/>
        <v>11</v>
      </c>
      <c r="AN23" s="27">
        <f t="shared" ca="1" si="12"/>
        <v>31.63</v>
      </c>
      <c r="AO23" s="27">
        <f ca="1">RANK(AN23,AN$13:AN$31)+COUNTIF(AN$13:AN23,AN23)-1</f>
        <v>9</v>
      </c>
      <c r="AP23" s="27">
        <f t="shared" ca="1" si="13"/>
        <v>14</v>
      </c>
      <c r="AQ23" s="27" t="str">
        <f t="shared" ca="1" si="14"/>
        <v>Panama</v>
      </c>
      <c r="AR23" s="27">
        <f t="shared" ca="1" si="15"/>
        <v>26.96</v>
      </c>
      <c r="AS23" s="27">
        <f t="shared" ca="1" si="16"/>
        <v>1</v>
      </c>
      <c r="AT23" s="27">
        <f t="shared" ca="1" si="58"/>
        <v>11</v>
      </c>
      <c r="AU23" s="13">
        <f t="shared" ca="1" si="49"/>
        <v>11</v>
      </c>
      <c r="AX23" s="27">
        <f t="shared" ca="1" si="17"/>
        <v>25</v>
      </c>
      <c r="AY23" s="27">
        <f ca="1">RANK(AX23,AX$13:AX$31)+COUNTIF(AX$13:AX23,AX23)-1</f>
        <v>9</v>
      </c>
      <c r="AZ23" s="27">
        <f t="shared" ca="1" si="18"/>
        <v>15</v>
      </c>
      <c r="BA23" s="27" t="str">
        <f t="shared" ca="1" si="19"/>
        <v>Paraguay</v>
      </c>
      <c r="BB23" s="27">
        <f t="shared" ca="1" si="20"/>
        <v>22.22</v>
      </c>
      <c r="BC23" s="27">
        <f t="shared" ca="1" si="21"/>
        <v>1</v>
      </c>
      <c r="BD23" s="27">
        <f t="shared" ca="1" si="59"/>
        <v>11</v>
      </c>
      <c r="BE23" s="13">
        <f t="shared" ca="1" si="50"/>
        <v>11</v>
      </c>
      <c r="BH23" s="27">
        <f t="shared" ca="1" si="22"/>
        <v>37.5</v>
      </c>
      <c r="BI23" s="27">
        <f ca="1">RANK(BH23,BH$13:BH$31)+COUNTIF(BH$13:BH23,BH23)-1</f>
        <v>6</v>
      </c>
      <c r="BJ23" s="27">
        <f t="shared" ca="1" si="23"/>
        <v>8</v>
      </c>
      <c r="BK23" s="27" t="str">
        <f t="shared" ca="1" si="24"/>
        <v>El Salvador</v>
      </c>
      <c r="BL23" s="27">
        <f t="shared" ca="1" si="25"/>
        <v>25</v>
      </c>
      <c r="BM23" s="27">
        <f t="shared" ca="1" si="26"/>
        <v>1</v>
      </c>
      <c r="BN23" s="27">
        <f t="shared" ca="1" si="60"/>
        <v>9</v>
      </c>
      <c r="BO23" s="13" t="str">
        <f t="shared" ca="1" si="51"/>
        <v>=9</v>
      </c>
      <c r="BR23" s="27">
        <f t="shared" ca="1" si="27"/>
        <v>41.65</v>
      </c>
      <c r="BS23" s="27">
        <f ca="1">RANK(BR23,BR$13:BR$31)+COUNTIF(BR$13:BR23,BR23)-1</f>
        <v>8</v>
      </c>
      <c r="BT23" s="27">
        <f t="shared" ca="1" si="28"/>
        <v>6</v>
      </c>
      <c r="BU23" s="27" t="str">
        <f t="shared" ca="1" si="29"/>
        <v>Dominican Rep.</v>
      </c>
      <c r="BV23" s="27">
        <f t="shared" ca="1" si="30"/>
        <v>38.28</v>
      </c>
      <c r="BW23" s="27">
        <f t="shared" ca="1" si="31"/>
        <v>1</v>
      </c>
      <c r="BX23" s="27">
        <f t="shared" ca="1" si="61"/>
        <v>11</v>
      </c>
      <c r="BY23" s="13">
        <f t="shared" ca="1" si="52"/>
        <v>11</v>
      </c>
      <c r="CB23" s="27">
        <f t="shared" ca="1" si="32"/>
        <v>13.32</v>
      </c>
      <c r="CC23" s="27">
        <f ca="1">RANK(CB23,CB$13:CB$31)+COUNTIF(CB$13:CB23,CB23)-1</f>
        <v>19</v>
      </c>
      <c r="CD23" s="27">
        <f t="shared" ca="1" si="33"/>
        <v>8</v>
      </c>
      <c r="CE23" s="27" t="str">
        <f t="shared" ca="1" si="34"/>
        <v>El Salvador</v>
      </c>
      <c r="CF23" s="27">
        <f t="shared" ca="1" si="35"/>
        <v>58.36</v>
      </c>
      <c r="CG23" s="27">
        <f t="shared" ca="1" si="36"/>
        <v>1</v>
      </c>
      <c r="CH23" s="27">
        <f t="shared" ca="1" si="62"/>
        <v>11</v>
      </c>
      <c r="CI23" s="13">
        <f t="shared" ca="1" si="53"/>
        <v>11</v>
      </c>
      <c r="CL23" s="27">
        <f t="shared" ca="1" si="37"/>
        <v>20.83</v>
      </c>
      <c r="CM23" s="27">
        <f ca="1">RANK(CL23,CL$13:CL$31)+COUNTIF(CL$13:CL23,CL23)-1</f>
        <v>15</v>
      </c>
      <c r="CN23" s="27">
        <f t="shared" ca="1" si="38"/>
        <v>19</v>
      </c>
      <c r="CO23" s="27" t="str">
        <f t="shared" ca="1" si="39"/>
        <v>Venezuela</v>
      </c>
      <c r="CP23" s="27">
        <f t="shared" ca="1" si="40"/>
        <v>29.17</v>
      </c>
      <c r="CQ23" s="27">
        <f t="shared" ca="1" si="41"/>
        <v>1</v>
      </c>
      <c r="CR23" s="27">
        <f t="shared" ca="1" si="63"/>
        <v>11</v>
      </c>
      <c r="CS23" s="13">
        <f t="shared" ca="1" si="54"/>
        <v>11</v>
      </c>
      <c r="CV23" s="27" t="e">
        <f t="shared" ca="1" si="42"/>
        <v>#N/A</v>
      </c>
      <c r="CW23" s="27" t="e">
        <f ca="1">RANK(CV23,CV$13:CV$31)+COUNTIF(CV$13:CV23,CV23)-1</f>
        <v>#N/A</v>
      </c>
      <c r="CX23" s="27" t="e">
        <f t="shared" ca="1" si="43"/>
        <v>#N/A</v>
      </c>
      <c r="CY23" s="27" t="e">
        <f t="shared" ca="1" si="44"/>
        <v>#N/A</v>
      </c>
      <c r="CZ23" s="27" t="e">
        <f t="shared" ca="1" si="45"/>
        <v>#N/A</v>
      </c>
      <c r="DA23" s="27">
        <f t="shared" ca="1" si="46"/>
        <v>0</v>
      </c>
      <c r="DB23" s="27" t="str">
        <f t="shared" ca="1" si="64"/>
        <v/>
      </c>
      <c r="DC23" s="13" t="str">
        <f t="shared" ca="1" si="55"/>
        <v>=</v>
      </c>
    </row>
    <row r="24" spans="1:107">
      <c r="A24" s="25">
        <v>12</v>
      </c>
      <c r="B24" t="str">
        <f ca="1">tblCountries!E17</f>
        <v>Mexico</v>
      </c>
      <c r="C24">
        <f ca="1">tblCountries!A17</f>
        <v>12</v>
      </c>
      <c r="D24">
        <f ca="1">tblCountries!H17</f>
        <v>3</v>
      </c>
      <c r="I24" s="6"/>
      <c r="O24" s="14">
        <f t="shared" ca="1" si="0"/>
        <v>75</v>
      </c>
      <c r="P24" s="14">
        <f t="shared" ca="1" si="1"/>
        <v>3</v>
      </c>
      <c r="Q24" s="30">
        <f ca="1">RANK(O24,O$13:O$31)+COUNTIF(O$13:O24,O24)-1</f>
        <v>3</v>
      </c>
      <c r="R24" s="27">
        <f t="shared" ca="1" si="2"/>
        <v>7</v>
      </c>
      <c r="S24" s="27" t="str">
        <f t="shared" ca="1" si="3"/>
        <v>Ecuador</v>
      </c>
      <c r="T24" s="27">
        <f t="shared" ca="1" si="4"/>
        <v>25</v>
      </c>
      <c r="U24" s="13" t="str">
        <f t="shared" ca="1" si="5"/>
        <v>1</v>
      </c>
      <c r="V24" s="27">
        <f t="shared" ca="1" si="6"/>
        <v>1</v>
      </c>
      <c r="W24" s="27">
        <f t="shared" ca="1" si="56"/>
        <v>10</v>
      </c>
      <c r="X24" s="13" t="str">
        <f t="shared" ca="1" si="47"/>
        <v>=10</v>
      </c>
      <c r="AB24" s="27">
        <f t="shared" ca="1" si="7"/>
        <v>44.59</v>
      </c>
      <c r="AC24" s="27">
        <f ca="1">RANK(AB24,AB$13:AB$31)+COUNTIF(AB$13:AB24,AB24)-1</f>
        <v>4</v>
      </c>
      <c r="AD24" s="27">
        <f t="shared" ca="1" si="8"/>
        <v>6</v>
      </c>
      <c r="AE24" s="27" t="str">
        <f t="shared" ca="1" si="9"/>
        <v>Dominican Rep.</v>
      </c>
      <c r="AF24" s="27">
        <f t="shared" ca="1" si="10"/>
        <v>23.62</v>
      </c>
      <c r="AG24" s="27">
        <f t="shared" ca="1" si="11"/>
        <v>1</v>
      </c>
      <c r="AH24" s="27">
        <f t="shared" ca="1" si="57"/>
        <v>12</v>
      </c>
      <c r="AI24" s="13">
        <f t="shared" ca="1" si="48"/>
        <v>12</v>
      </c>
      <c r="AN24" s="27">
        <f t="shared" ca="1" si="12"/>
        <v>44.59</v>
      </c>
      <c r="AO24" s="27">
        <f ca="1">RANK(AN24,AN$13:AN$31)+COUNTIF(AN$13:AN24,AN24)-1</f>
        <v>4</v>
      </c>
      <c r="AP24" s="27">
        <f t="shared" ca="1" si="13"/>
        <v>6</v>
      </c>
      <c r="AQ24" s="27" t="str">
        <f t="shared" ca="1" si="14"/>
        <v>Dominican Rep.</v>
      </c>
      <c r="AR24" s="27">
        <f t="shared" ca="1" si="15"/>
        <v>23.62</v>
      </c>
      <c r="AS24" s="27">
        <f t="shared" ca="1" si="16"/>
        <v>1</v>
      </c>
      <c r="AT24" s="27">
        <f t="shared" ca="1" si="58"/>
        <v>12</v>
      </c>
      <c r="AU24" s="13">
        <f t="shared" ca="1" si="49"/>
        <v>12</v>
      </c>
      <c r="AX24" s="27">
        <f t="shared" ca="1" si="17"/>
        <v>38.89</v>
      </c>
      <c r="AY24" s="27">
        <f ca="1">RANK(AX24,AX$13:AX$31)+COUNTIF(AX$13:AX24,AX24)-1</f>
        <v>5</v>
      </c>
      <c r="AZ24" s="27">
        <f t="shared" ca="1" si="18"/>
        <v>8</v>
      </c>
      <c r="BA24" s="27" t="str">
        <f t="shared" ca="1" si="19"/>
        <v>El Salvador</v>
      </c>
      <c r="BB24" s="27">
        <f t="shared" ca="1" si="20"/>
        <v>19.440000000000001</v>
      </c>
      <c r="BC24" s="27">
        <f t="shared" ca="1" si="21"/>
        <v>1</v>
      </c>
      <c r="BD24" s="27">
        <f t="shared" ca="1" si="59"/>
        <v>12</v>
      </c>
      <c r="BE24" s="13">
        <f t="shared" ca="1" si="50"/>
        <v>12</v>
      </c>
      <c r="BH24" s="27">
        <f t="shared" ca="1" si="22"/>
        <v>37.5</v>
      </c>
      <c r="BI24" s="27">
        <f ca="1">RANK(BH24,BH$13:BH$31)+COUNTIF(BH$13:BH24,BH24)-1</f>
        <v>7</v>
      </c>
      <c r="BJ24" s="27">
        <f t="shared" ca="1" si="23"/>
        <v>9</v>
      </c>
      <c r="BK24" s="27" t="str">
        <f t="shared" ca="1" si="24"/>
        <v>Guatemala</v>
      </c>
      <c r="BL24" s="27">
        <f t="shared" ca="1" si="25"/>
        <v>25</v>
      </c>
      <c r="BM24" s="27">
        <f t="shared" ca="1" si="26"/>
        <v>1</v>
      </c>
      <c r="BN24" s="27">
        <f t="shared" ca="1" si="60"/>
        <v>9</v>
      </c>
      <c r="BO24" s="13" t="str">
        <f t="shared" ca="1" si="51"/>
        <v>=9</v>
      </c>
      <c r="BR24" s="27">
        <f t="shared" ca="1" si="27"/>
        <v>54.06</v>
      </c>
      <c r="BS24" s="27">
        <f ca="1">RANK(BR24,BR$13:BR$31)+COUNTIF(BR$13:BR24,BR24)-1</f>
        <v>6</v>
      </c>
      <c r="BT24" s="27">
        <f t="shared" ca="1" si="28"/>
        <v>14</v>
      </c>
      <c r="BU24" s="27" t="str">
        <f t="shared" ca="1" si="29"/>
        <v>Panama</v>
      </c>
      <c r="BV24" s="27">
        <f t="shared" ca="1" si="30"/>
        <v>33.479999999999997</v>
      </c>
      <c r="BW24" s="27">
        <f t="shared" ca="1" si="31"/>
        <v>1</v>
      </c>
      <c r="BX24" s="27">
        <f t="shared" ca="1" si="61"/>
        <v>12</v>
      </c>
      <c r="BY24" s="13">
        <f t="shared" ca="1" si="52"/>
        <v>12</v>
      </c>
      <c r="CB24" s="27">
        <f t="shared" ca="1" si="32"/>
        <v>65.14</v>
      </c>
      <c r="CC24" s="27">
        <f ca="1">RANK(CB24,CB$13:CB$31)+COUNTIF(CB$13:CB24,CB24)-1</f>
        <v>5</v>
      </c>
      <c r="CD24" s="27">
        <f t="shared" ca="1" si="33"/>
        <v>13</v>
      </c>
      <c r="CE24" s="27" t="str">
        <f t="shared" ca="1" si="34"/>
        <v>Nicaragua</v>
      </c>
      <c r="CF24" s="27">
        <f t="shared" ca="1" si="35"/>
        <v>53.69</v>
      </c>
      <c r="CG24" s="27">
        <f t="shared" ca="1" si="36"/>
        <v>1</v>
      </c>
      <c r="CH24" s="27">
        <f t="shared" ca="1" si="62"/>
        <v>12</v>
      </c>
      <c r="CI24" s="13">
        <f t="shared" ca="1" si="53"/>
        <v>12</v>
      </c>
      <c r="CL24" s="27">
        <f t="shared" ca="1" si="37"/>
        <v>66.67</v>
      </c>
      <c r="CM24" s="27">
        <f ca="1">RANK(CL24,CL$13:CL$31)+COUNTIF(CL$13:CL24,CL24)-1</f>
        <v>2</v>
      </c>
      <c r="CN24" s="27">
        <f t="shared" ca="1" si="38"/>
        <v>7</v>
      </c>
      <c r="CO24" s="27" t="str">
        <f t="shared" ca="1" si="39"/>
        <v>Ecuador</v>
      </c>
      <c r="CP24" s="27">
        <f t="shared" ca="1" si="40"/>
        <v>25</v>
      </c>
      <c r="CQ24" s="27">
        <f t="shared" ca="1" si="41"/>
        <v>1</v>
      </c>
      <c r="CR24" s="27">
        <f t="shared" ca="1" si="63"/>
        <v>12</v>
      </c>
      <c r="CS24" s="13" t="str">
        <f t="shared" ca="1" si="54"/>
        <v>=12</v>
      </c>
      <c r="CV24" s="27" t="e">
        <f t="shared" ca="1" si="42"/>
        <v>#N/A</v>
      </c>
      <c r="CW24" s="27" t="e">
        <f ca="1">RANK(CV24,CV$13:CV$31)+COUNTIF(CV$13:CV24,CV24)-1</f>
        <v>#N/A</v>
      </c>
      <c r="CX24" s="27" t="e">
        <f t="shared" ca="1" si="43"/>
        <v>#N/A</v>
      </c>
      <c r="CY24" s="27" t="e">
        <f t="shared" ca="1" si="44"/>
        <v>#N/A</v>
      </c>
      <c r="CZ24" s="27" t="e">
        <f t="shared" ca="1" si="45"/>
        <v>#N/A</v>
      </c>
      <c r="DA24" s="27">
        <f t="shared" ca="1" si="46"/>
        <v>0</v>
      </c>
      <c r="DB24" s="27" t="str">
        <f t="shared" ca="1" si="64"/>
        <v/>
      </c>
      <c r="DC24" s="13" t="str">
        <f t="shared" ca="1" si="55"/>
        <v>=</v>
      </c>
    </row>
    <row r="25" spans="1:107">
      <c r="A25" s="25">
        <v>13</v>
      </c>
      <c r="B25" t="str">
        <f ca="1">tblCountries!E18</f>
        <v>Nicaragua</v>
      </c>
      <c r="C25">
        <f ca="1">tblCountries!A18</f>
        <v>13</v>
      </c>
      <c r="D25">
        <f ca="1">tblCountries!H18</f>
        <v>1</v>
      </c>
      <c r="I25" s="6"/>
      <c r="O25" s="14">
        <f t="shared" ca="1" si="0"/>
        <v>0</v>
      </c>
      <c r="P25" s="14">
        <f t="shared" ca="1" si="1"/>
        <v>0</v>
      </c>
      <c r="Q25" s="30">
        <f ca="1">RANK(O25,O$13:O$31)+COUNTIF(O$13:O25,O25)-1</f>
        <v>19</v>
      </c>
      <c r="R25" s="27">
        <f t="shared" ca="1" si="2"/>
        <v>15</v>
      </c>
      <c r="S25" s="27" t="str">
        <f t="shared" ca="1" si="3"/>
        <v>Paraguay</v>
      </c>
      <c r="T25" s="27">
        <f t="shared" ca="1" si="4"/>
        <v>25</v>
      </c>
      <c r="U25" s="13" t="str">
        <f t="shared" ca="1" si="5"/>
        <v>1</v>
      </c>
      <c r="V25" s="27">
        <f t="shared" ca="1" si="6"/>
        <v>1</v>
      </c>
      <c r="W25" s="27">
        <f t="shared" ca="1" si="56"/>
        <v>10</v>
      </c>
      <c r="X25" s="13" t="str">
        <f t="shared" ca="1" si="47"/>
        <v>=10</v>
      </c>
      <c r="AB25" s="27">
        <f t="shared" ca="1" si="7"/>
        <v>16.489999999999998</v>
      </c>
      <c r="AC25" s="27">
        <f ca="1">RANK(AB25,AB$13:AB$31)+COUNTIF(AB$13:AB25,AB25)-1</f>
        <v>17</v>
      </c>
      <c r="AD25" s="27">
        <f t="shared" ca="1" si="8"/>
        <v>1</v>
      </c>
      <c r="AE25" s="27" t="str">
        <f t="shared" ca="1" si="9"/>
        <v>Argentina</v>
      </c>
      <c r="AF25" s="27">
        <f t="shared" ca="1" si="10"/>
        <v>23.46</v>
      </c>
      <c r="AG25" s="27">
        <f t="shared" ca="1" si="11"/>
        <v>1</v>
      </c>
      <c r="AH25" s="27">
        <f t="shared" ca="1" si="57"/>
        <v>13</v>
      </c>
      <c r="AI25" s="13">
        <f t="shared" ca="1" si="48"/>
        <v>13</v>
      </c>
      <c r="AN25" s="27">
        <f t="shared" ca="1" si="12"/>
        <v>16.489999999999998</v>
      </c>
      <c r="AO25" s="27">
        <f ca="1">RANK(AN25,AN$13:AN$31)+COUNTIF(AN$13:AN25,AN25)-1</f>
        <v>17</v>
      </c>
      <c r="AP25" s="27">
        <f t="shared" ca="1" si="13"/>
        <v>1</v>
      </c>
      <c r="AQ25" s="27" t="str">
        <f t="shared" ca="1" si="14"/>
        <v>Argentina</v>
      </c>
      <c r="AR25" s="27">
        <f t="shared" ca="1" si="15"/>
        <v>23.46</v>
      </c>
      <c r="AS25" s="27">
        <f t="shared" ca="1" si="16"/>
        <v>1</v>
      </c>
      <c r="AT25" s="27">
        <f t="shared" ca="1" si="58"/>
        <v>13</v>
      </c>
      <c r="AU25" s="13">
        <f t="shared" ca="1" si="49"/>
        <v>13</v>
      </c>
      <c r="AX25" s="27">
        <f t="shared" ca="1" si="17"/>
        <v>5.56</v>
      </c>
      <c r="AY25" s="27">
        <f ca="1">RANK(AX25,AX$13:AX$31)+COUNTIF(AX$13:AX25,AX25)-1</f>
        <v>19</v>
      </c>
      <c r="AZ25" s="27">
        <f t="shared" ca="1" si="18"/>
        <v>1</v>
      </c>
      <c r="BA25" s="27" t="str">
        <f t="shared" ca="1" si="19"/>
        <v>Argentina</v>
      </c>
      <c r="BB25" s="27">
        <f t="shared" ca="1" si="20"/>
        <v>16.670000000000002</v>
      </c>
      <c r="BC25" s="27">
        <f t="shared" ca="1" si="21"/>
        <v>1</v>
      </c>
      <c r="BD25" s="27">
        <f t="shared" ca="1" si="59"/>
        <v>13</v>
      </c>
      <c r="BE25" s="13" t="str">
        <f t="shared" ca="1" si="50"/>
        <v>=13</v>
      </c>
      <c r="BH25" s="27">
        <f t="shared" ca="1" si="22"/>
        <v>12.5</v>
      </c>
      <c r="BI25" s="27">
        <f ca="1">RANK(BH25,BH$13:BH$31)+COUNTIF(BH$13:BH25,BH25)-1</f>
        <v>16</v>
      </c>
      <c r="BJ25" s="27">
        <f t="shared" ca="1" si="23"/>
        <v>15</v>
      </c>
      <c r="BK25" s="27" t="str">
        <f t="shared" ca="1" si="24"/>
        <v>Paraguay</v>
      </c>
      <c r="BL25" s="27">
        <f t="shared" ca="1" si="25"/>
        <v>25</v>
      </c>
      <c r="BM25" s="27">
        <f t="shared" ca="1" si="26"/>
        <v>1</v>
      </c>
      <c r="BN25" s="27">
        <f t="shared" ca="1" si="60"/>
        <v>9</v>
      </c>
      <c r="BO25" s="13" t="str">
        <f t="shared" ca="1" si="51"/>
        <v>=9</v>
      </c>
      <c r="BR25" s="27">
        <f t="shared" ca="1" si="27"/>
        <v>33.159999999999997</v>
      </c>
      <c r="BS25" s="27">
        <f ca="1">RANK(BR25,BR$13:BR$31)+COUNTIF(BR$13:BR25,BR25)-1</f>
        <v>14</v>
      </c>
      <c r="BT25" s="27">
        <f t="shared" ca="1" si="28"/>
        <v>18</v>
      </c>
      <c r="BU25" s="27" t="str">
        <f t="shared" ca="1" si="29"/>
        <v>Uruguay</v>
      </c>
      <c r="BV25" s="27">
        <f t="shared" ca="1" si="30"/>
        <v>33.29</v>
      </c>
      <c r="BW25" s="27">
        <f t="shared" ca="1" si="31"/>
        <v>1</v>
      </c>
      <c r="BX25" s="27">
        <f t="shared" ca="1" si="61"/>
        <v>13</v>
      </c>
      <c r="BY25" s="13">
        <f t="shared" ca="1" si="52"/>
        <v>13</v>
      </c>
      <c r="CB25" s="27">
        <f t="shared" ca="1" si="32"/>
        <v>53.69</v>
      </c>
      <c r="CC25" s="27">
        <f ca="1">RANK(CB25,CB$13:CB$31)+COUNTIF(CB$13:CB25,CB25)-1</f>
        <v>12</v>
      </c>
      <c r="CD25" s="27">
        <f t="shared" ca="1" si="33"/>
        <v>1</v>
      </c>
      <c r="CE25" s="27" t="str">
        <f t="shared" ca="1" si="34"/>
        <v>Argentina</v>
      </c>
      <c r="CF25" s="27">
        <f t="shared" ca="1" si="35"/>
        <v>51.56</v>
      </c>
      <c r="CG25" s="27">
        <f t="shared" ca="1" si="36"/>
        <v>1</v>
      </c>
      <c r="CH25" s="27">
        <f t="shared" ca="1" si="62"/>
        <v>13</v>
      </c>
      <c r="CI25" s="13">
        <f t="shared" ca="1" si="53"/>
        <v>13</v>
      </c>
      <c r="CL25" s="27">
        <f t="shared" ca="1" si="37"/>
        <v>12.5</v>
      </c>
      <c r="CM25" s="27">
        <f ca="1">RANK(CL25,CL$13:CL$31)+COUNTIF(CL$13:CL25,CL25)-1</f>
        <v>18</v>
      </c>
      <c r="CN25" s="27">
        <f t="shared" ca="1" si="38"/>
        <v>9</v>
      </c>
      <c r="CO25" s="27" t="str">
        <f t="shared" ca="1" si="39"/>
        <v>Guatemala</v>
      </c>
      <c r="CP25" s="27">
        <f t="shared" ca="1" si="40"/>
        <v>25</v>
      </c>
      <c r="CQ25" s="27">
        <f t="shared" ca="1" si="41"/>
        <v>1</v>
      </c>
      <c r="CR25" s="27">
        <f t="shared" ca="1" si="63"/>
        <v>12</v>
      </c>
      <c r="CS25" s="13" t="str">
        <f t="shared" ca="1" si="54"/>
        <v>=12</v>
      </c>
      <c r="CV25" s="27" t="e">
        <f t="shared" ca="1" si="42"/>
        <v>#N/A</v>
      </c>
      <c r="CW25" s="27" t="e">
        <f ca="1">RANK(CV25,CV$13:CV$31)+COUNTIF(CV$13:CV25,CV25)-1</f>
        <v>#N/A</v>
      </c>
      <c r="CX25" s="27" t="e">
        <f t="shared" ca="1" si="43"/>
        <v>#N/A</v>
      </c>
      <c r="CY25" s="27" t="e">
        <f t="shared" ca="1" si="44"/>
        <v>#N/A</v>
      </c>
      <c r="CZ25" s="27" t="e">
        <f t="shared" ca="1" si="45"/>
        <v>#N/A</v>
      </c>
      <c r="DA25" s="27">
        <f t="shared" ca="1" si="46"/>
        <v>0</v>
      </c>
      <c r="DB25" s="27" t="str">
        <f t="shared" ca="1" si="64"/>
        <v/>
      </c>
      <c r="DC25" s="13" t="str">
        <f t="shared" ca="1" si="55"/>
        <v>=</v>
      </c>
    </row>
    <row r="26" spans="1:107">
      <c r="A26" s="25">
        <v>14</v>
      </c>
      <c r="B26" t="str">
        <f ca="1">tblCountries!E19</f>
        <v>Panama</v>
      </c>
      <c r="C26">
        <f ca="1">tblCountries!A19</f>
        <v>14</v>
      </c>
      <c r="D26">
        <f ca="1">tblCountries!H19</f>
        <v>1</v>
      </c>
      <c r="I26" s="6"/>
      <c r="O26" s="14">
        <f t="shared" ca="1" si="0"/>
        <v>50</v>
      </c>
      <c r="P26" s="14">
        <f t="shared" ca="1" si="1"/>
        <v>2</v>
      </c>
      <c r="Q26" s="30">
        <f ca="1">RANK(O26,O$13:O$31)+COUNTIF(O$13:O26,O26)-1</f>
        <v>7</v>
      </c>
      <c r="R26" s="27">
        <f t="shared" ca="1" si="2"/>
        <v>18</v>
      </c>
      <c r="S26" s="27" t="str">
        <f t="shared" ca="1" si="3"/>
        <v>Uruguay</v>
      </c>
      <c r="T26" s="27">
        <f t="shared" ca="1" si="4"/>
        <v>25</v>
      </c>
      <c r="U26" s="13" t="str">
        <f t="shared" ca="1" si="5"/>
        <v>1</v>
      </c>
      <c r="V26" s="27">
        <f t="shared" ca="1" si="6"/>
        <v>1</v>
      </c>
      <c r="W26" s="27">
        <f t="shared" ca="1" si="56"/>
        <v>10</v>
      </c>
      <c r="X26" s="13" t="str">
        <f t="shared" ca="1" si="47"/>
        <v>=10</v>
      </c>
      <c r="AB26" s="27">
        <f t="shared" ca="1" si="7"/>
        <v>26.96</v>
      </c>
      <c r="AC26" s="27">
        <f ca="1">RANK(AB26,AB$13:AB$31)+COUNTIF(AB$13:AB26,AB26)-1</f>
        <v>11</v>
      </c>
      <c r="AD26" s="27">
        <f t="shared" ca="1" si="8"/>
        <v>9</v>
      </c>
      <c r="AE26" s="27" t="str">
        <f t="shared" ca="1" si="9"/>
        <v>Guatemala</v>
      </c>
      <c r="AF26" s="27">
        <f t="shared" ca="1" si="10"/>
        <v>21.96</v>
      </c>
      <c r="AG26" s="27">
        <f t="shared" ca="1" si="11"/>
        <v>1</v>
      </c>
      <c r="AH26" s="27">
        <f t="shared" ca="1" si="57"/>
        <v>14</v>
      </c>
      <c r="AI26" s="13">
        <f t="shared" ca="1" si="48"/>
        <v>14</v>
      </c>
      <c r="AN26" s="27">
        <f t="shared" ca="1" si="12"/>
        <v>26.96</v>
      </c>
      <c r="AO26" s="27">
        <f ca="1">RANK(AN26,AN$13:AN$31)+COUNTIF(AN$13:AN26,AN26)-1</f>
        <v>11</v>
      </c>
      <c r="AP26" s="27">
        <f t="shared" ca="1" si="13"/>
        <v>9</v>
      </c>
      <c r="AQ26" s="27" t="str">
        <f t="shared" ca="1" si="14"/>
        <v>Guatemala</v>
      </c>
      <c r="AR26" s="27">
        <f t="shared" ca="1" si="15"/>
        <v>21.96</v>
      </c>
      <c r="AS26" s="27">
        <f t="shared" ca="1" si="16"/>
        <v>1</v>
      </c>
      <c r="AT26" s="27">
        <f t="shared" ca="1" si="58"/>
        <v>14</v>
      </c>
      <c r="AU26" s="13">
        <f t="shared" ca="1" si="49"/>
        <v>14</v>
      </c>
      <c r="AX26" s="27">
        <f t="shared" ca="1" si="17"/>
        <v>25</v>
      </c>
      <c r="AY26" s="27">
        <f ca="1">RANK(AX26,AX$13:AX$31)+COUNTIF(AX$13:AX26,AX26)-1</f>
        <v>10</v>
      </c>
      <c r="AZ26" s="27">
        <f t="shared" ca="1" si="18"/>
        <v>9</v>
      </c>
      <c r="BA26" s="27" t="str">
        <f t="shared" ca="1" si="19"/>
        <v>Guatemala</v>
      </c>
      <c r="BB26" s="27">
        <f t="shared" ca="1" si="20"/>
        <v>16.670000000000002</v>
      </c>
      <c r="BC26" s="27">
        <f t="shared" ca="1" si="21"/>
        <v>1</v>
      </c>
      <c r="BD26" s="27">
        <f t="shared" ca="1" si="59"/>
        <v>13</v>
      </c>
      <c r="BE26" s="13" t="str">
        <f t="shared" ca="1" si="50"/>
        <v>=13</v>
      </c>
      <c r="BH26" s="27">
        <f t="shared" ca="1" si="22"/>
        <v>12.5</v>
      </c>
      <c r="BI26" s="27">
        <f ca="1">RANK(BH26,BH$13:BH$31)+COUNTIF(BH$13:BH26,BH26)-1</f>
        <v>17</v>
      </c>
      <c r="BJ26" s="27">
        <f t="shared" ca="1" si="23"/>
        <v>17</v>
      </c>
      <c r="BK26" s="27" t="str">
        <f t="shared" ca="1" si="24"/>
        <v>Trinidad &amp; Tobago</v>
      </c>
      <c r="BL26" s="27">
        <f t="shared" ca="1" si="25"/>
        <v>25</v>
      </c>
      <c r="BM26" s="27">
        <f t="shared" ca="1" si="26"/>
        <v>1</v>
      </c>
      <c r="BN26" s="27">
        <f t="shared" ca="1" si="60"/>
        <v>9</v>
      </c>
      <c r="BO26" s="13" t="str">
        <f t="shared" ca="1" si="51"/>
        <v>=9</v>
      </c>
      <c r="BR26" s="27">
        <f t="shared" ca="1" si="27"/>
        <v>33.479999999999997</v>
      </c>
      <c r="BS26" s="27">
        <f ca="1">RANK(BR26,BR$13:BR$31)+COUNTIF(BR$13:BR26,BR26)-1</f>
        <v>12</v>
      </c>
      <c r="BT26" s="27">
        <f t="shared" ca="1" si="28"/>
        <v>13</v>
      </c>
      <c r="BU26" s="27" t="str">
        <f t="shared" ca="1" si="29"/>
        <v>Nicaragua</v>
      </c>
      <c r="BV26" s="27">
        <f t="shared" ca="1" si="30"/>
        <v>33.159999999999997</v>
      </c>
      <c r="BW26" s="27">
        <f t="shared" ca="1" si="31"/>
        <v>1</v>
      </c>
      <c r="BX26" s="27">
        <f t="shared" ca="1" si="61"/>
        <v>14</v>
      </c>
      <c r="BY26" s="13" t="str">
        <f t="shared" ca="1" si="52"/>
        <v>=14</v>
      </c>
      <c r="CB26" s="27">
        <f t="shared" ca="1" si="32"/>
        <v>62.83</v>
      </c>
      <c r="CC26" s="27">
        <f ca="1">RANK(CB26,CB$13:CB$31)+COUNTIF(CB$13:CB26,CB26)-1</f>
        <v>7</v>
      </c>
      <c r="CD26" s="27">
        <f t="shared" ca="1" si="33"/>
        <v>10</v>
      </c>
      <c r="CE26" s="27" t="str">
        <f t="shared" ca="1" si="34"/>
        <v>Honduras</v>
      </c>
      <c r="CF26" s="27">
        <f t="shared" ca="1" si="35"/>
        <v>39.770000000000003</v>
      </c>
      <c r="CG26" s="27">
        <f t="shared" ca="1" si="36"/>
        <v>1</v>
      </c>
      <c r="CH26" s="27">
        <f t="shared" ca="1" si="62"/>
        <v>14</v>
      </c>
      <c r="CI26" s="13">
        <f t="shared" ca="1" si="53"/>
        <v>14</v>
      </c>
      <c r="CL26" s="27">
        <f t="shared" ca="1" si="37"/>
        <v>58.33</v>
      </c>
      <c r="CM26" s="27">
        <f ca="1">RANK(CL26,CL$13:CL$31)+COUNTIF(CL$13:CL26,CL26)-1</f>
        <v>4</v>
      </c>
      <c r="CN26" s="27">
        <f t="shared" ca="1" si="38"/>
        <v>1</v>
      </c>
      <c r="CO26" s="27" t="str">
        <f t="shared" ca="1" si="39"/>
        <v>Argentina</v>
      </c>
      <c r="CP26" s="27">
        <f t="shared" ca="1" si="40"/>
        <v>20.83</v>
      </c>
      <c r="CQ26" s="27">
        <f t="shared" ca="1" si="41"/>
        <v>1</v>
      </c>
      <c r="CR26" s="27">
        <f t="shared" ca="1" si="63"/>
        <v>14</v>
      </c>
      <c r="CS26" s="13" t="str">
        <f t="shared" ca="1" si="54"/>
        <v>=14</v>
      </c>
      <c r="CV26" s="27" t="e">
        <f t="shared" ca="1" si="42"/>
        <v>#N/A</v>
      </c>
      <c r="CW26" s="27" t="e">
        <f ca="1">RANK(CV26,CV$13:CV$31)+COUNTIF(CV$13:CV26,CV26)-1</f>
        <v>#N/A</v>
      </c>
      <c r="CX26" s="27" t="e">
        <f t="shared" ca="1" si="43"/>
        <v>#N/A</v>
      </c>
      <c r="CY26" s="27" t="e">
        <f t="shared" ca="1" si="44"/>
        <v>#N/A</v>
      </c>
      <c r="CZ26" s="27" t="e">
        <f t="shared" ca="1" si="45"/>
        <v>#N/A</v>
      </c>
      <c r="DA26" s="27">
        <f t="shared" ca="1" si="46"/>
        <v>0</v>
      </c>
      <c r="DB26" s="27" t="str">
        <f t="shared" ca="1" si="64"/>
        <v/>
      </c>
      <c r="DC26" s="13" t="str">
        <f t="shared" ca="1" si="55"/>
        <v>=</v>
      </c>
    </row>
    <row r="27" spans="1:107">
      <c r="A27" s="25">
        <v>15</v>
      </c>
      <c r="B27" t="str">
        <f ca="1">tblCountries!E20</f>
        <v>Paraguay</v>
      </c>
      <c r="C27">
        <f ca="1">tblCountries!A20</f>
        <v>15</v>
      </c>
      <c r="D27">
        <f ca="1">tblCountries!H20</f>
        <v>1</v>
      </c>
      <c r="O27" s="14">
        <f t="shared" ca="1" si="0"/>
        <v>25</v>
      </c>
      <c r="P27" s="14">
        <f t="shared" ca="1" si="1"/>
        <v>1</v>
      </c>
      <c r="Q27" s="30">
        <f ca="1">RANK(O27,O$13:O$31)+COUNTIF(O$13:O27,O27)-1</f>
        <v>13</v>
      </c>
      <c r="R27" s="27">
        <f t="shared" ca="1" si="2"/>
        <v>19</v>
      </c>
      <c r="S27" s="27" t="str">
        <f t="shared" ca="1" si="3"/>
        <v>Venezuela</v>
      </c>
      <c r="T27" s="27">
        <f t="shared" ca="1" si="4"/>
        <v>25</v>
      </c>
      <c r="U27" s="13" t="str">
        <f t="shared" ca="1" si="5"/>
        <v>1</v>
      </c>
      <c r="V27" s="27">
        <f t="shared" ca="1" si="6"/>
        <v>1</v>
      </c>
      <c r="W27" s="27">
        <f t="shared" ca="1" si="56"/>
        <v>10</v>
      </c>
      <c r="X27" s="13" t="str">
        <f t="shared" ca="1" si="47"/>
        <v>=10</v>
      </c>
      <c r="AB27" s="27">
        <f t="shared" ca="1" si="7"/>
        <v>27.84</v>
      </c>
      <c r="AC27" s="27">
        <f ca="1">RANK(AB27,AB$13:AB$31)+COUNTIF(AB$13:AB27,AB27)-1</f>
        <v>10</v>
      </c>
      <c r="AD27" s="27">
        <f t="shared" ca="1" si="8"/>
        <v>8</v>
      </c>
      <c r="AE27" s="27" t="str">
        <f t="shared" ca="1" si="9"/>
        <v>El Salvador</v>
      </c>
      <c r="AF27" s="27">
        <f t="shared" ca="1" si="10"/>
        <v>21.82</v>
      </c>
      <c r="AG27" s="27">
        <f t="shared" ca="1" si="11"/>
        <v>1</v>
      </c>
      <c r="AH27" s="27">
        <f t="shared" ca="1" si="57"/>
        <v>15</v>
      </c>
      <c r="AI27" s="13">
        <f t="shared" ca="1" si="48"/>
        <v>15</v>
      </c>
      <c r="AN27" s="27">
        <f t="shared" ca="1" si="12"/>
        <v>27.84</v>
      </c>
      <c r="AO27" s="27">
        <f ca="1">RANK(AN27,AN$13:AN$31)+COUNTIF(AN$13:AN27,AN27)-1</f>
        <v>10</v>
      </c>
      <c r="AP27" s="27">
        <f t="shared" ca="1" si="13"/>
        <v>8</v>
      </c>
      <c r="AQ27" s="27" t="str">
        <f t="shared" ca="1" si="14"/>
        <v>El Salvador</v>
      </c>
      <c r="AR27" s="27">
        <f t="shared" ca="1" si="15"/>
        <v>21.82</v>
      </c>
      <c r="AS27" s="27">
        <f t="shared" ca="1" si="16"/>
        <v>1</v>
      </c>
      <c r="AT27" s="27">
        <f t="shared" ca="1" si="58"/>
        <v>15</v>
      </c>
      <c r="AU27" s="13">
        <f t="shared" ca="1" si="49"/>
        <v>15</v>
      </c>
      <c r="AX27" s="27">
        <f t="shared" ca="1" si="17"/>
        <v>22.22</v>
      </c>
      <c r="AY27" s="27">
        <f ca="1">RANK(AX27,AX$13:AX$31)+COUNTIF(AX$13:AX27,AX27)-1</f>
        <v>11</v>
      </c>
      <c r="AZ27" s="27">
        <f t="shared" ca="1" si="18"/>
        <v>17</v>
      </c>
      <c r="BA27" s="27" t="str">
        <f t="shared" ca="1" si="19"/>
        <v>Trinidad &amp; Tobago</v>
      </c>
      <c r="BB27" s="27">
        <f t="shared" ca="1" si="20"/>
        <v>16.670000000000002</v>
      </c>
      <c r="BC27" s="27">
        <f t="shared" ca="1" si="21"/>
        <v>1</v>
      </c>
      <c r="BD27" s="27">
        <f t="shared" ca="1" si="59"/>
        <v>13</v>
      </c>
      <c r="BE27" s="13" t="str">
        <f t="shared" ca="1" si="50"/>
        <v>=13</v>
      </c>
      <c r="BH27" s="27">
        <f t="shared" ca="1" si="22"/>
        <v>25</v>
      </c>
      <c r="BI27" s="27">
        <f ca="1">RANK(BH27,BH$13:BH$31)+COUNTIF(BH$13:BH27,BH27)-1</f>
        <v>13</v>
      </c>
      <c r="BJ27" s="27">
        <f t="shared" ca="1" si="23"/>
        <v>1</v>
      </c>
      <c r="BK27" s="27" t="str">
        <f t="shared" ca="1" si="24"/>
        <v>Argentina</v>
      </c>
      <c r="BL27" s="27">
        <f t="shared" ca="1" si="25"/>
        <v>12.5</v>
      </c>
      <c r="BM27" s="27">
        <f t="shared" ca="1" si="26"/>
        <v>1</v>
      </c>
      <c r="BN27" s="27">
        <f t="shared" ca="1" si="60"/>
        <v>15</v>
      </c>
      <c r="BO27" s="13" t="str">
        <f t="shared" ca="1" si="51"/>
        <v>=15</v>
      </c>
      <c r="BR27" s="27">
        <f t="shared" ca="1" si="27"/>
        <v>33.159999999999997</v>
      </c>
      <c r="BS27" s="27">
        <f ca="1">RANK(BR27,BR$13:BR$31)+COUNTIF(BR$13:BR27,BR27)-1</f>
        <v>15</v>
      </c>
      <c r="BT27" s="27">
        <f t="shared" ca="1" si="28"/>
        <v>15</v>
      </c>
      <c r="BU27" s="27" t="str">
        <f t="shared" ca="1" si="29"/>
        <v>Paraguay</v>
      </c>
      <c r="BV27" s="27">
        <f t="shared" ca="1" si="30"/>
        <v>33.159999999999997</v>
      </c>
      <c r="BW27" s="27">
        <f t="shared" ca="1" si="31"/>
        <v>1</v>
      </c>
      <c r="BX27" s="27">
        <f t="shared" ca="1" si="61"/>
        <v>14</v>
      </c>
      <c r="BY27" s="13" t="str">
        <f t="shared" ca="1" si="52"/>
        <v>=14</v>
      </c>
      <c r="CB27" s="27">
        <f t="shared" ca="1" si="32"/>
        <v>59.39</v>
      </c>
      <c r="CC27" s="27">
        <f ca="1">RANK(CB27,CB$13:CB$31)+COUNTIF(CB$13:CB27,CB27)-1</f>
        <v>9</v>
      </c>
      <c r="CD27" s="27">
        <f t="shared" ca="1" si="33"/>
        <v>7</v>
      </c>
      <c r="CE27" s="27" t="str">
        <f t="shared" ca="1" si="34"/>
        <v>Ecuador</v>
      </c>
      <c r="CF27" s="27">
        <f t="shared" ca="1" si="35"/>
        <v>38.36</v>
      </c>
      <c r="CG27" s="27">
        <f t="shared" ca="1" si="36"/>
        <v>1</v>
      </c>
      <c r="CH27" s="27">
        <f t="shared" ca="1" si="62"/>
        <v>15</v>
      </c>
      <c r="CI27" s="13">
        <f t="shared" ca="1" si="53"/>
        <v>15</v>
      </c>
      <c r="CL27" s="27">
        <f t="shared" ca="1" si="37"/>
        <v>37.5</v>
      </c>
      <c r="CM27" s="27">
        <f ca="1">RANK(CL27,CL$13:CL$31)+COUNTIF(CL$13:CL27,CL27)-1</f>
        <v>10</v>
      </c>
      <c r="CN27" s="27">
        <f t="shared" ca="1" si="38"/>
        <v>11</v>
      </c>
      <c r="CO27" s="27" t="str">
        <f t="shared" ca="1" si="39"/>
        <v>Jamaica</v>
      </c>
      <c r="CP27" s="27">
        <f t="shared" ca="1" si="40"/>
        <v>20.83</v>
      </c>
      <c r="CQ27" s="27">
        <f t="shared" ca="1" si="41"/>
        <v>1</v>
      </c>
      <c r="CR27" s="27">
        <f t="shared" ca="1" si="63"/>
        <v>14</v>
      </c>
      <c r="CS27" s="13" t="str">
        <f t="shared" ca="1" si="54"/>
        <v>=14</v>
      </c>
      <c r="CV27" s="27" t="e">
        <f t="shared" ca="1" si="42"/>
        <v>#N/A</v>
      </c>
      <c r="CW27" s="27" t="e">
        <f ca="1">RANK(CV27,CV$13:CV$31)+COUNTIF(CV$13:CV27,CV27)-1</f>
        <v>#N/A</v>
      </c>
      <c r="CX27" s="27" t="e">
        <f t="shared" ca="1" si="43"/>
        <v>#N/A</v>
      </c>
      <c r="CY27" s="27" t="e">
        <f t="shared" ca="1" si="44"/>
        <v>#N/A</v>
      </c>
      <c r="CZ27" s="27" t="e">
        <f t="shared" ca="1" si="45"/>
        <v>#N/A</v>
      </c>
      <c r="DA27" s="27">
        <f t="shared" ca="1" si="46"/>
        <v>0</v>
      </c>
      <c r="DB27" s="27" t="str">
        <f t="shared" ca="1" si="64"/>
        <v/>
      </c>
      <c r="DC27" s="13" t="str">
        <f t="shared" ca="1" si="55"/>
        <v>=</v>
      </c>
    </row>
    <row r="28" spans="1:107">
      <c r="A28" s="25">
        <v>16</v>
      </c>
      <c r="B28" t="str">
        <f ca="1">tblCountries!E21</f>
        <v>Peru</v>
      </c>
      <c r="C28">
        <f ca="1">tblCountries!A21</f>
        <v>16</v>
      </c>
      <c r="D28">
        <f ca="1">tblCountries!H21</f>
        <v>1</v>
      </c>
      <c r="O28" s="14">
        <f t="shared" ca="1" si="0"/>
        <v>50</v>
      </c>
      <c r="P28" s="14">
        <f t="shared" ca="1" si="1"/>
        <v>2</v>
      </c>
      <c r="Q28" s="30">
        <f ca="1">RANK(O28,O$13:O$31)+COUNTIF(O$13:O28,O28)-1</f>
        <v>8</v>
      </c>
      <c r="R28" s="27">
        <f t="shared" ca="1" si="2"/>
        <v>9</v>
      </c>
      <c r="S28" s="27" t="str">
        <f t="shared" ca="1" si="3"/>
        <v>Guatemala</v>
      </c>
      <c r="T28" s="27">
        <f t="shared" ca="1" si="4"/>
        <v>0</v>
      </c>
      <c r="U28" s="13" t="str">
        <f t="shared" ca="1" si="5"/>
        <v>0</v>
      </c>
      <c r="V28" s="27">
        <f t="shared" ca="1" si="6"/>
        <v>1</v>
      </c>
      <c r="W28" s="27">
        <f t="shared" ca="1" si="56"/>
        <v>16</v>
      </c>
      <c r="X28" s="13" t="str">
        <f t="shared" ca="1" si="47"/>
        <v>=16</v>
      </c>
      <c r="AB28" s="27">
        <f t="shared" ca="1" si="7"/>
        <v>53.76</v>
      </c>
      <c r="AC28" s="27">
        <f ca="1">RANK(AB28,AB$13:AB$31)+COUNTIF(AB$13:AB28,AB28)-1</f>
        <v>3</v>
      </c>
      <c r="AD28" s="27">
        <f t="shared" ca="1" si="8"/>
        <v>17</v>
      </c>
      <c r="AE28" s="27" t="str">
        <f t="shared" ca="1" si="9"/>
        <v>Trinidad &amp; Tobago</v>
      </c>
      <c r="AF28" s="27">
        <f t="shared" ca="1" si="10"/>
        <v>19.38</v>
      </c>
      <c r="AG28" s="27">
        <f t="shared" ca="1" si="11"/>
        <v>1</v>
      </c>
      <c r="AH28" s="27">
        <f t="shared" ca="1" si="57"/>
        <v>16</v>
      </c>
      <c r="AI28" s="13">
        <f t="shared" ca="1" si="48"/>
        <v>16</v>
      </c>
      <c r="AN28" s="27">
        <f t="shared" ca="1" si="12"/>
        <v>53.76</v>
      </c>
      <c r="AO28" s="27">
        <f ca="1">RANK(AN28,AN$13:AN$31)+COUNTIF(AN$13:AN28,AN28)-1</f>
        <v>3</v>
      </c>
      <c r="AP28" s="27">
        <f t="shared" ca="1" si="13"/>
        <v>17</v>
      </c>
      <c r="AQ28" s="27" t="str">
        <f t="shared" ca="1" si="14"/>
        <v>Trinidad &amp; Tobago</v>
      </c>
      <c r="AR28" s="27">
        <f t="shared" ca="1" si="15"/>
        <v>19.38</v>
      </c>
      <c r="AS28" s="27">
        <f t="shared" ca="1" si="16"/>
        <v>1</v>
      </c>
      <c r="AT28" s="27">
        <f t="shared" ca="1" si="58"/>
        <v>16</v>
      </c>
      <c r="AU28" s="13">
        <f t="shared" ca="1" si="49"/>
        <v>16</v>
      </c>
      <c r="AX28" s="27">
        <f t="shared" ca="1" si="17"/>
        <v>52.78</v>
      </c>
      <c r="AY28" s="27">
        <f ca="1">RANK(AX28,AX$13:AX$31)+COUNTIF(AX$13:AX28,AX28)-1</f>
        <v>2</v>
      </c>
      <c r="AZ28" s="27">
        <f t="shared" ca="1" si="18"/>
        <v>6</v>
      </c>
      <c r="BA28" s="27" t="str">
        <f t="shared" ca="1" si="19"/>
        <v>Dominican Rep.</v>
      </c>
      <c r="BB28" s="27">
        <f t="shared" ca="1" si="20"/>
        <v>13.89</v>
      </c>
      <c r="BC28" s="27">
        <f t="shared" ca="1" si="21"/>
        <v>1</v>
      </c>
      <c r="BD28" s="27">
        <f t="shared" ca="1" si="59"/>
        <v>16</v>
      </c>
      <c r="BE28" s="13">
        <f t="shared" ca="1" si="50"/>
        <v>16</v>
      </c>
      <c r="BH28" s="27">
        <f t="shared" ca="1" si="22"/>
        <v>50</v>
      </c>
      <c r="BI28" s="27">
        <f ca="1">RANK(BH28,BH$13:BH$31)+COUNTIF(BH$13:BH28,BH28)-1</f>
        <v>3</v>
      </c>
      <c r="BJ28" s="27">
        <f t="shared" ca="1" si="23"/>
        <v>13</v>
      </c>
      <c r="BK28" s="27" t="str">
        <f t="shared" ca="1" si="24"/>
        <v>Nicaragua</v>
      </c>
      <c r="BL28" s="27">
        <f t="shared" ca="1" si="25"/>
        <v>12.5</v>
      </c>
      <c r="BM28" s="27">
        <f t="shared" ca="1" si="26"/>
        <v>1</v>
      </c>
      <c r="BN28" s="27">
        <f t="shared" ca="1" si="60"/>
        <v>15</v>
      </c>
      <c r="BO28" s="13" t="str">
        <f t="shared" ca="1" si="51"/>
        <v>=15</v>
      </c>
      <c r="BR28" s="27">
        <f t="shared" ca="1" si="27"/>
        <v>55.67</v>
      </c>
      <c r="BS28" s="27">
        <f ca="1">RANK(BR28,BR$13:BR$31)+COUNTIF(BR$13:BR28,BR28)-1</f>
        <v>4</v>
      </c>
      <c r="BT28" s="27">
        <f t="shared" ca="1" si="28"/>
        <v>19</v>
      </c>
      <c r="BU28" s="27" t="str">
        <f t="shared" ca="1" si="29"/>
        <v>Venezuela</v>
      </c>
      <c r="BV28" s="27">
        <f t="shared" ca="1" si="30"/>
        <v>29.8</v>
      </c>
      <c r="BW28" s="27">
        <f t="shared" ca="1" si="31"/>
        <v>1</v>
      </c>
      <c r="BX28" s="27">
        <f t="shared" ca="1" si="61"/>
        <v>16</v>
      </c>
      <c r="BY28" s="13">
        <f t="shared" ca="1" si="52"/>
        <v>16</v>
      </c>
      <c r="CB28" s="27">
        <f t="shared" ca="1" si="32"/>
        <v>70.040000000000006</v>
      </c>
      <c r="CC28" s="27">
        <f ca="1">RANK(CB28,CB$13:CB$31)+COUNTIF(CB$13:CB28,CB28)-1</f>
        <v>4</v>
      </c>
      <c r="CD28" s="27">
        <f t="shared" ca="1" si="33"/>
        <v>19</v>
      </c>
      <c r="CE28" s="27" t="str">
        <f t="shared" ca="1" si="34"/>
        <v>Venezuela</v>
      </c>
      <c r="CF28" s="27">
        <f t="shared" ca="1" si="35"/>
        <v>37.08</v>
      </c>
      <c r="CG28" s="27">
        <f t="shared" ca="1" si="36"/>
        <v>1</v>
      </c>
      <c r="CH28" s="27">
        <f t="shared" ca="1" si="62"/>
        <v>16</v>
      </c>
      <c r="CI28" s="13">
        <f t="shared" ca="1" si="53"/>
        <v>16</v>
      </c>
      <c r="CL28" s="27">
        <f t="shared" ca="1" si="37"/>
        <v>58.33</v>
      </c>
      <c r="CM28" s="27">
        <f ca="1">RANK(CL28,CL$13:CL$31)+COUNTIF(CL$13:CL28,CL28)-1</f>
        <v>5</v>
      </c>
      <c r="CN28" s="27">
        <f t="shared" ca="1" si="38"/>
        <v>18</v>
      </c>
      <c r="CO28" s="27" t="str">
        <f t="shared" ca="1" si="39"/>
        <v>Uruguay</v>
      </c>
      <c r="CP28" s="27">
        <f t="shared" ca="1" si="40"/>
        <v>20.83</v>
      </c>
      <c r="CQ28" s="27">
        <f t="shared" ca="1" si="41"/>
        <v>1</v>
      </c>
      <c r="CR28" s="27">
        <f t="shared" ca="1" si="63"/>
        <v>14</v>
      </c>
      <c r="CS28" s="13" t="str">
        <f t="shared" ca="1" si="54"/>
        <v>=14</v>
      </c>
      <c r="CV28" s="27" t="e">
        <f t="shared" ca="1" si="42"/>
        <v>#N/A</v>
      </c>
      <c r="CW28" s="27" t="e">
        <f ca="1">RANK(CV28,CV$13:CV$31)+COUNTIF(CV$13:CV28,CV28)-1</f>
        <v>#N/A</v>
      </c>
      <c r="CX28" s="27" t="e">
        <f t="shared" ca="1" si="43"/>
        <v>#N/A</v>
      </c>
      <c r="CY28" s="27" t="e">
        <f t="shared" ca="1" si="44"/>
        <v>#N/A</v>
      </c>
      <c r="CZ28" s="27" t="e">
        <f t="shared" ca="1" si="45"/>
        <v>#N/A</v>
      </c>
      <c r="DA28" s="27">
        <f t="shared" ca="1" si="46"/>
        <v>0</v>
      </c>
      <c r="DB28" s="27" t="str">
        <f t="shared" ca="1" si="64"/>
        <v/>
      </c>
      <c r="DC28" s="13" t="str">
        <f t="shared" ca="1" si="55"/>
        <v>=</v>
      </c>
    </row>
    <row r="29" spans="1:107">
      <c r="A29" s="25">
        <v>17</v>
      </c>
      <c r="B29" t="str">
        <f ca="1">tblCountries!E22</f>
        <v>Trinidad &amp; Tobago</v>
      </c>
      <c r="C29">
        <f ca="1">tblCountries!A22</f>
        <v>17</v>
      </c>
      <c r="D29">
        <f ca="1">tblCountries!H22</f>
        <v>1</v>
      </c>
      <c r="O29" s="14">
        <f t="shared" ca="1" si="0"/>
        <v>50</v>
      </c>
      <c r="P29" s="14">
        <f t="shared" ca="1" si="1"/>
        <v>2</v>
      </c>
      <c r="Q29" s="30">
        <f ca="1">RANK(O29,O$13:O$31)+COUNTIF(O$13:O29,O29)-1</f>
        <v>9</v>
      </c>
      <c r="R29" s="27">
        <f t="shared" ca="1" si="2"/>
        <v>10</v>
      </c>
      <c r="S29" s="27" t="str">
        <f t="shared" ca="1" si="3"/>
        <v>Honduras</v>
      </c>
      <c r="T29" s="27">
        <f t="shared" ca="1" si="4"/>
        <v>0</v>
      </c>
      <c r="U29" s="13" t="str">
        <f t="shared" ca="1" si="5"/>
        <v>0</v>
      </c>
      <c r="V29" s="27">
        <f t="shared" ca="1" si="6"/>
        <v>1</v>
      </c>
      <c r="W29" s="27">
        <f t="shared" ca="1" si="56"/>
        <v>16</v>
      </c>
      <c r="X29" s="13" t="str">
        <f t="shared" ca="1" si="47"/>
        <v>=16</v>
      </c>
      <c r="AB29" s="27">
        <f t="shared" ca="1" si="7"/>
        <v>19.38</v>
      </c>
      <c r="AC29" s="27">
        <f ca="1">RANK(AB29,AB$13:AB$31)+COUNTIF(AB$13:AB29,AB29)-1</f>
        <v>16</v>
      </c>
      <c r="AD29" s="27">
        <f t="shared" ca="1" si="8"/>
        <v>13</v>
      </c>
      <c r="AE29" s="27" t="str">
        <f t="shared" ca="1" si="9"/>
        <v>Nicaragua</v>
      </c>
      <c r="AF29" s="27">
        <f t="shared" ca="1" si="10"/>
        <v>16.489999999999998</v>
      </c>
      <c r="AG29" s="27">
        <f t="shared" ca="1" si="11"/>
        <v>1</v>
      </c>
      <c r="AH29" s="27">
        <f t="shared" ca="1" si="57"/>
        <v>17</v>
      </c>
      <c r="AI29" s="13">
        <f t="shared" ca="1" si="48"/>
        <v>17</v>
      </c>
      <c r="AN29" s="27">
        <f t="shared" ca="1" si="12"/>
        <v>19.38</v>
      </c>
      <c r="AO29" s="27">
        <f ca="1">RANK(AN29,AN$13:AN$31)+COUNTIF(AN$13:AN29,AN29)-1</f>
        <v>16</v>
      </c>
      <c r="AP29" s="27">
        <f t="shared" ca="1" si="13"/>
        <v>13</v>
      </c>
      <c r="AQ29" s="27" t="str">
        <f t="shared" ca="1" si="14"/>
        <v>Nicaragua</v>
      </c>
      <c r="AR29" s="27">
        <f t="shared" ca="1" si="15"/>
        <v>16.489999999999998</v>
      </c>
      <c r="AS29" s="27">
        <f t="shared" ca="1" si="16"/>
        <v>1</v>
      </c>
      <c r="AT29" s="27">
        <f t="shared" ca="1" si="58"/>
        <v>17</v>
      </c>
      <c r="AU29" s="13">
        <f t="shared" ca="1" si="49"/>
        <v>17</v>
      </c>
      <c r="AX29" s="27">
        <f t="shared" ca="1" si="17"/>
        <v>16.670000000000002</v>
      </c>
      <c r="AY29" s="27">
        <f ca="1">RANK(AX29,AX$13:AX$31)+COUNTIF(AX$13:AX29,AX29)-1</f>
        <v>15</v>
      </c>
      <c r="AZ29" s="27">
        <f t="shared" ca="1" si="18"/>
        <v>19</v>
      </c>
      <c r="BA29" s="27" t="str">
        <f t="shared" ca="1" si="19"/>
        <v>Venezuela</v>
      </c>
      <c r="BB29" s="27">
        <f t="shared" ca="1" si="20"/>
        <v>8.33</v>
      </c>
      <c r="BC29" s="27">
        <f t="shared" ca="1" si="21"/>
        <v>1</v>
      </c>
      <c r="BD29" s="27">
        <f t="shared" ca="1" si="59"/>
        <v>17</v>
      </c>
      <c r="BE29" s="13">
        <f t="shared" ca="1" si="50"/>
        <v>17</v>
      </c>
      <c r="BH29" s="27">
        <f t="shared" ca="1" si="22"/>
        <v>25</v>
      </c>
      <c r="BI29" s="27">
        <f ca="1">RANK(BH29,BH$13:BH$31)+COUNTIF(BH$13:BH29,BH29)-1</f>
        <v>14</v>
      </c>
      <c r="BJ29" s="27">
        <f t="shared" ca="1" si="23"/>
        <v>14</v>
      </c>
      <c r="BK29" s="27" t="str">
        <f t="shared" ca="1" si="24"/>
        <v>Panama</v>
      </c>
      <c r="BL29" s="27">
        <f t="shared" ca="1" si="25"/>
        <v>12.5</v>
      </c>
      <c r="BM29" s="27">
        <f t="shared" ca="1" si="26"/>
        <v>1</v>
      </c>
      <c r="BN29" s="27">
        <f t="shared" ca="1" si="60"/>
        <v>15</v>
      </c>
      <c r="BO29" s="13" t="str">
        <f t="shared" ca="1" si="51"/>
        <v>=15</v>
      </c>
      <c r="BR29" s="27">
        <f t="shared" ca="1" si="27"/>
        <v>4.33</v>
      </c>
      <c r="BS29" s="27">
        <f ca="1">RANK(BR29,BR$13:BR$31)+COUNTIF(BR$13:BR29,BR29)-1</f>
        <v>19</v>
      </c>
      <c r="BT29" s="27">
        <f t="shared" ca="1" si="28"/>
        <v>9</v>
      </c>
      <c r="BU29" s="27" t="str">
        <f t="shared" ca="1" si="29"/>
        <v>Guatemala</v>
      </c>
      <c r="BV29" s="27">
        <f t="shared" ca="1" si="30"/>
        <v>25.32</v>
      </c>
      <c r="BW29" s="27">
        <f t="shared" ca="1" si="31"/>
        <v>1</v>
      </c>
      <c r="BX29" s="27">
        <f t="shared" ca="1" si="61"/>
        <v>17</v>
      </c>
      <c r="BY29" s="13">
        <f t="shared" ca="1" si="52"/>
        <v>17</v>
      </c>
      <c r="CB29" s="27">
        <f t="shared" ca="1" si="32"/>
        <v>64.260000000000005</v>
      </c>
      <c r="CC29" s="27">
        <f ca="1">RANK(CB29,CB$13:CB$31)+COUNTIF(CB$13:CB29,CB29)-1</f>
        <v>6</v>
      </c>
      <c r="CD29" s="27">
        <f t="shared" ca="1" si="33"/>
        <v>6</v>
      </c>
      <c r="CE29" s="27" t="str">
        <f t="shared" ca="1" si="34"/>
        <v>Dominican Rep.</v>
      </c>
      <c r="CF29" s="27">
        <f t="shared" ca="1" si="35"/>
        <v>35.76</v>
      </c>
      <c r="CG29" s="27">
        <f t="shared" ca="1" si="36"/>
        <v>1</v>
      </c>
      <c r="CH29" s="27">
        <f t="shared" ca="1" si="62"/>
        <v>17</v>
      </c>
      <c r="CI29" s="13">
        <f t="shared" ca="1" si="53"/>
        <v>17</v>
      </c>
      <c r="CL29" s="27">
        <f t="shared" ca="1" si="37"/>
        <v>58.33</v>
      </c>
      <c r="CM29" s="27">
        <f ca="1">RANK(CL29,CL$13:CL$31)+COUNTIF(CL$13:CL29,CL29)-1</f>
        <v>6</v>
      </c>
      <c r="CN29" s="27">
        <f t="shared" ca="1" si="38"/>
        <v>6</v>
      </c>
      <c r="CO29" s="27" t="str">
        <f t="shared" ca="1" si="39"/>
        <v>Dominican Rep.</v>
      </c>
      <c r="CP29" s="27">
        <f t="shared" ca="1" si="40"/>
        <v>12.5</v>
      </c>
      <c r="CQ29" s="27">
        <f t="shared" ca="1" si="41"/>
        <v>1</v>
      </c>
      <c r="CR29" s="27">
        <f t="shared" ca="1" si="63"/>
        <v>17</v>
      </c>
      <c r="CS29" s="13" t="str">
        <f t="shared" ca="1" si="54"/>
        <v>=17</v>
      </c>
      <c r="CV29" s="27" t="e">
        <f t="shared" ca="1" si="42"/>
        <v>#N/A</v>
      </c>
      <c r="CW29" s="27" t="e">
        <f ca="1">RANK(CV29,CV$13:CV$31)+COUNTIF(CV$13:CV29,CV29)-1</f>
        <v>#N/A</v>
      </c>
      <c r="CX29" s="27" t="e">
        <f t="shared" ca="1" si="43"/>
        <v>#N/A</v>
      </c>
      <c r="CY29" s="27" t="e">
        <f t="shared" ca="1" si="44"/>
        <v>#N/A</v>
      </c>
      <c r="CZ29" s="27" t="e">
        <f t="shared" ca="1" si="45"/>
        <v>#N/A</v>
      </c>
      <c r="DA29" s="27">
        <f t="shared" ca="1" si="46"/>
        <v>0</v>
      </c>
      <c r="DB29" s="27" t="str">
        <f t="shared" ca="1" si="64"/>
        <v/>
      </c>
      <c r="DC29" s="13" t="str">
        <f t="shared" ca="1" si="55"/>
        <v>=</v>
      </c>
    </row>
    <row r="30" spans="1:107">
      <c r="A30" s="25">
        <v>18</v>
      </c>
      <c r="B30" t="str">
        <f ca="1">tblCountries!E23</f>
        <v>Uruguay</v>
      </c>
      <c r="C30">
        <f ca="1">tblCountries!A23</f>
        <v>18</v>
      </c>
      <c r="D30">
        <f ca="1">tblCountries!H23</f>
        <v>1</v>
      </c>
      <c r="O30" s="14">
        <f t="shared" ca="1" si="0"/>
        <v>25</v>
      </c>
      <c r="P30" s="14">
        <f t="shared" ca="1" si="1"/>
        <v>1</v>
      </c>
      <c r="Q30" s="30">
        <f ca="1">RANK(O30,O$13:O$31)+COUNTIF(O$13:O30,O30)-1</f>
        <v>14</v>
      </c>
      <c r="R30" s="27">
        <f t="shared" ca="1" si="2"/>
        <v>11</v>
      </c>
      <c r="S30" s="27" t="str">
        <f t="shared" ca="1" si="3"/>
        <v>Jamaica</v>
      </c>
      <c r="T30" s="27">
        <f t="shared" ca="1" si="4"/>
        <v>0</v>
      </c>
      <c r="U30" s="13" t="str">
        <f t="shared" ca="1" si="5"/>
        <v>0</v>
      </c>
      <c r="V30" s="27">
        <f t="shared" ca="1" si="6"/>
        <v>1</v>
      </c>
      <c r="W30" s="27">
        <f t="shared" ca="1" si="56"/>
        <v>16</v>
      </c>
      <c r="X30" s="13" t="str">
        <f t="shared" ca="1" si="47"/>
        <v>=16</v>
      </c>
      <c r="AB30" s="27">
        <f t="shared" ca="1" si="7"/>
        <v>35.630000000000003</v>
      </c>
      <c r="AC30" s="27">
        <f ca="1">RANK(AB30,AB$13:AB$31)+COUNTIF(AB$13:AB30,AB30)-1</f>
        <v>7</v>
      </c>
      <c r="AD30" s="27">
        <f t="shared" ca="1" si="8"/>
        <v>7</v>
      </c>
      <c r="AE30" s="27" t="str">
        <f t="shared" ca="1" si="9"/>
        <v>Ecuador</v>
      </c>
      <c r="AF30" s="27">
        <f t="shared" ca="1" si="10"/>
        <v>14.72</v>
      </c>
      <c r="AG30" s="27">
        <f t="shared" ca="1" si="11"/>
        <v>1</v>
      </c>
      <c r="AH30" s="27">
        <f t="shared" ca="1" si="57"/>
        <v>18</v>
      </c>
      <c r="AI30" s="13">
        <f t="shared" ca="1" si="48"/>
        <v>18</v>
      </c>
      <c r="AN30" s="27">
        <f t="shared" ca="1" si="12"/>
        <v>35.630000000000003</v>
      </c>
      <c r="AO30" s="27">
        <f ca="1">RANK(AN30,AN$13:AN$31)+COUNTIF(AN$13:AN30,AN30)-1</f>
        <v>7</v>
      </c>
      <c r="AP30" s="27">
        <f t="shared" ca="1" si="13"/>
        <v>7</v>
      </c>
      <c r="AQ30" s="27" t="str">
        <f t="shared" ca="1" si="14"/>
        <v>Ecuador</v>
      </c>
      <c r="AR30" s="27">
        <f t="shared" ca="1" si="15"/>
        <v>14.72</v>
      </c>
      <c r="AS30" s="27">
        <f t="shared" ca="1" si="16"/>
        <v>1</v>
      </c>
      <c r="AT30" s="27">
        <f t="shared" ca="1" si="58"/>
        <v>18</v>
      </c>
      <c r="AU30" s="13">
        <f t="shared" ca="1" si="49"/>
        <v>18</v>
      </c>
      <c r="AX30" s="27">
        <f t="shared" ca="1" si="17"/>
        <v>33.33</v>
      </c>
      <c r="AY30" s="27">
        <f ca="1">RANK(AX30,AX$13:AX$31)+COUNTIF(AX$13:AX30,AX30)-1</f>
        <v>7</v>
      </c>
      <c r="AZ30" s="27">
        <f t="shared" ca="1" si="18"/>
        <v>7</v>
      </c>
      <c r="BA30" s="27" t="str">
        <f t="shared" ca="1" si="19"/>
        <v>Ecuador</v>
      </c>
      <c r="BB30" s="27">
        <f t="shared" ca="1" si="20"/>
        <v>5.56</v>
      </c>
      <c r="BC30" s="27">
        <f t="shared" ca="1" si="21"/>
        <v>1</v>
      </c>
      <c r="BD30" s="27">
        <f t="shared" ca="1" si="59"/>
        <v>18</v>
      </c>
      <c r="BE30" s="13" t="str">
        <f t="shared" ca="1" si="50"/>
        <v>=18</v>
      </c>
      <c r="BH30" s="27">
        <f t="shared" ca="1" si="22"/>
        <v>37.5</v>
      </c>
      <c r="BI30" s="27">
        <f ca="1">RANK(BH30,BH$13:BH$31)+COUNTIF(BH$13:BH30,BH30)-1</f>
        <v>8</v>
      </c>
      <c r="BJ30" s="27">
        <f t="shared" ca="1" si="23"/>
        <v>7</v>
      </c>
      <c r="BK30" s="27" t="str">
        <f t="shared" ca="1" si="24"/>
        <v>Ecuador</v>
      </c>
      <c r="BL30" s="27">
        <f t="shared" ca="1" si="25"/>
        <v>0</v>
      </c>
      <c r="BM30" s="27">
        <f t="shared" ca="1" si="26"/>
        <v>1</v>
      </c>
      <c r="BN30" s="27">
        <f t="shared" ca="1" si="60"/>
        <v>18</v>
      </c>
      <c r="BO30" s="13" t="str">
        <f t="shared" ca="1" si="51"/>
        <v>=18</v>
      </c>
      <c r="BR30" s="27">
        <f t="shared" ca="1" si="27"/>
        <v>33.29</v>
      </c>
      <c r="BS30" s="27">
        <f ca="1">RANK(BR30,BR$13:BR$31)+COUNTIF(BR$13:BR30,BR30)-1</f>
        <v>13</v>
      </c>
      <c r="BT30" s="27">
        <f t="shared" ca="1" si="28"/>
        <v>8</v>
      </c>
      <c r="BU30" s="27" t="str">
        <f t="shared" ca="1" si="29"/>
        <v>El Salvador</v>
      </c>
      <c r="BV30" s="27">
        <f t="shared" ca="1" si="30"/>
        <v>12.5</v>
      </c>
      <c r="BW30" s="27">
        <f t="shared" ca="1" si="31"/>
        <v>1</v>
      </c>
      <c r="BX30" s="27">
        <f t="shared" ca="1" si="61"/>
        <v>18</v>
      </c>
      <c r="BY30" s="13">
        <f t="shared" ca="1" si="52"/>
        <v>18</v>
      </c>
      <c r="CB30" s="27">
        <f t="shared" ca="1" si="32"/>
        <v>76.22</v>
      </c>
      <c r="CC30" s="27">
        <f ca="1">RANK(CB30,CB$13:CB$31)+COUNTIF(CB$13:CB30,CB30)-1</f>
        <v>3</v>
      </c>
      <c r="CD30" s="27">
        <f t="shared" ca="1" si="33"/>
        <v>9</v>
      </c>
      <c r="CE30" s="27" t="str">
        <f t="shared" ca="1" si="34"/>
        <v>Guatemala</v>
      </c>
      <c r="CF30" s="27">
        <f t="shared" ca="1" si="35"/>
        <v>33.369999999999997</v>
      </c>
      <c r="CG30" s="27">
        <f t="shared" ca="1" si="36"/>
        <v>1</v>
      </c>
      <c r="CH30" s="27">
        <f t="shared" ca="1" si="62"/>
        <v>18</v>
      </c>
      <c r="CI30" s="13">
        <f t="shared" ca="1" si="53"/>
        <v>18</v>
      </c>
      <c r="CL30" s="27">
        <f t="shared" ca="1" si="37"/>
        <v>20.83</v>
      </c>
      <c r="CM30" s="27">
        <f ca="1">RANK(CL30,CL$13:CL$31)+COUNTIF(CL$13:CL30,CL30)-1</f>
        <v>16</v>
      </c>
      <c r="CN30" s="27">
        <f t="shared" ca="1" si="38"/>
        <v>13</v>
      </c>
      <c r="CO30" s="27" t="str">
        <f t="shared" ca="1" si="39"/>
        <v>Nicaragua</v>
      </c>
      <c r="CP30" s="27">
        <f t="shared" ca="1" si="40"/>
        <v>12.5</v>
      </c>
      <c r="CQ30" s="27">
        <f t="shared" ca="1" si="41"/>
        <v>1</v>
      </c>
      <c r="CR30" s="27">
        <f t="shared" ca="1" si="63"/>
        <v>17</v>
      </c>
      <c r="CS30" s="13" t="str">
        <f t="shared" ca="1" si="54"/>
        <v>=17</v>
      </c>
      <c r="CV30" s="27" t="e">
        <f t="shared" ca="1" si="42"/>
        <v>#N/A</v>
      </c>
      <c r="CW30" s="27" t="e">
        <f ca="1">RANK(CV30,CV$13:CV$31)+COUNTIF(CV$13:CV30,CV30)-1</f>
        <v>#N/A</v>
      </c>
      <c r="CX30" s="27" t="e">
        <f t="shared" ca="1" si="43"/>
        <v>#N/A</v>
      </c>
      <c r="CY30" s="27" t="e">
        <f t="shared" ca="1" si="44"/>
        <v>#N/A</v>
      </c>
      <c r="CZ30" s="27" t="e">
        <f t="shared" ca="1" si="45"/>
        <v>#N/A</v>
      </c>
      <c r="DA30" s="27">
        <f t="shared" ca="1" si="46"/>
        <v>0</v>
      </c>
      <c r="DB30" s="27" t="str">
        <f t="shared" ca="1" si="64"/>
        <v/>
      </c>
      <c r="DC30" s="13" t="str">
        <f t="shared" ca="1" si="55"/>
        <v>=</v>
      </c>
    </row>
    <row r="31" spans="1:107">
      <c r="A31" s="25">
        <v>19</v>
      </c>
      <c r="B31" t="str">
        <f ca="1">tblCountries!E24</f>
        <v>Venezuela</v>
      </c>
      <c r="C31">
        <f ca="1">tblCountries!A24</f>
        <v>19</v>
      </c>
      <c r="D31">
        <f ca="1">tblCountries!H24</f>
        <v>1</v>
      </c>
      <c r="O31" s="14">
        <f t="shared" ca="1" si="0"/>
        <v>25</v>
      </c>
      <c r="P31" s="14">
        <f t="shared" ca="1" si="1"/>
        <v>1</v>
      </c>
      <c r="Q31" s="30">
        <f ca="1">RANK(O31,O$13:O$31)+COUNTIF(O$13:O31,O31)-1</f>
        <v>15</v>
      </c>
      <c r="R31" s="27">
        <f t="shared" ca="1" si="2"/>
        <v>13</v>
      </c>
      <c r="S31" s="27" t="str">
        <f t="shared" ca="1" si="3"/>
        <v>Nicaragua</v>
      </c>
      <c r="T31" s="27">
        <f t="shared" ca="1" si="4"/>
        <v>0</v>
      </c>
      <c r="U31" s="13" t="str">
        <f t="shared" ca="1" si="5"/>
        <v>0</v>
      </c>
      <c r="V31" s="27">
        <f t="shared" ca="1" si="6"/>
        <v>1</v>
      </c>
      <c r="W31" s="27">
        <f t="shared" ca="1" si="56"/>
        <v>16</v>
      </c>
      <c r="X31" s="13" t="str">
        <f ca="1">IF(OR(W31=W30,W31=W32),CONCATENATE("=",W31),W31)</f>
        <v>=16</v>
      </c>
      <c r="AB31" s="27">
        <f t="shared" ca="1" si="7"/>
        <v>13.68</v>
      </c>
      <c r="AC31" s="27">
        <f ca="1">RANK(AB31,AB$13:AB$31)+COUNTIF(AB$13:AB31,AB31)-1</f>
        <v>19</v>
      </c>
      <c r="AD31" s="27">
        <f t="shared" ca="1" si="8"/>
        <v>19</v>
      </c>
      <c r="AE31" s="27" t="str">
        <f t="shared" ca="1" si="9"/>
        <v>Venezuela</v>
      </c>
      <c r="AF31" s="27">
        <f t="shared" ca="1" si="10"/>
        <v>13.68</v>
      </c>
      <c r="AG31" s="27">
        <f t="shared" ca="1" si="11"/>
        <v>1</v>
      </c>
      <c r="AH31" s="27">
        <f t="shared" ca="1" si="57"/>
        <v>19</v>
      </c>
      <c r="AI31" s="13">
        <f ca="1">IF(OR(AH31=AH30,AH31=AH32),CONCATENATE("=",AH31),AH31)</f>
        <v>19</v>
      </c>
      <c r="AN31" s="27">
        <f t="shared" ca="1" si="12"/>
        <v>13.68</v>
      </c>
      <c r="AO31" s="27">
        <f ca="1">RANK(AN31,AN$13:AN$31)+COUNTIF(AN$13:AN31,AN31)-1</f>
        <v>19</v>
      </c>
      <c r="AP31" s="27">
        <f t="shared" ca="1" si="13"/>
        <v>19</v>
      </c>
      <c r="AQ31" s="27" t="str">
        <f t="shared" ca="1" si="14"/>
        <v>Venezuela</v>
      </c>
      <c r="AR31" s="27">
        <f t="shared" ca="1" si="15"/>
        <v>13.68</v>
      </c>
      <c r="AS31" s="27">
        <f t="shared" ca="1" si="16"/>
        <v>1</v>
      </c>
      <c r="AT31" s="27">
        <f t="shared" ca="1" si="58"/>
        <v>19</v>
      </c>
      <c r="AU31" s="13">
        <f ca="1">IF(OR(AT31=AT30,AT31=AT32),CONCATENATE("=",AT31),AT31)</f>
        <v>19</v>
      </c>
      <c r="AX31" s="27">
        <f t="shared" ca="1" si="17"/>
        <v>8.33</v>
      </c>
      <c r="AY31" s="27">
        <f ca="1">RANK(AX31,AX$13:AX$31)+COUNTIF(AX$13:AX31,AX31)-1</f>
        <v>17</v>
      </c>
      <c r="AZ31" s="27">
        <f t="shared" ca="1" si="18"/>
        <v>13</v>
      </c>
      <c r="BA31" s="27" t="str">
        <f t="shared" ca="1" si="19"/>
        <v>Nicaragua</v>
      </c>
      <c r="BB31" s="27">
        <f t="shared" ca="1" si="20"/>
        <v>5.56</v>
      </c>
      <c r="BC31" s="27">
        <f t="shared" ca="1" si="21"/>
        <v>1</v>
      </c>
      <c r="BD31" s="27">
        <f t="shared" ca="1" si="59"/>
        <v>18</v>
      </c>
      <c r="BE31" s="13" t="str">
        <f ca="1">IF(OR(BD31=BD30,BD31=BD32),CONCATENATE("=",BD31),BD31)</f>
        <v>=18</v>
      </c>
      <c r="BH31" s="27">
        <f t="shared" ca="1" si="22"/>
        <v>0</v>
      </c>
      <c r="BI31" s="27">
        <f ca="1">RANK(BH31,BH$13:BH$31)+COUNTIF(BH$13:BH31,BH31)-1</f>
        <v>19</v>
      </c>
      <c r="BJ31" s="27">
        <f t="shared" ca="1" si="23"/>
        <v>19</v>
      </c>
      <c r="BK31" s="27" t="str">
        <f t="shared" ca="1" si="24"/>
        <v>Venezuela</v>
      </c>
      <c r="BL31" s="27">
        <f t="shared" ca="1" si="25"/>
        <v>0</v>
      </c>
      <c r="BM31" s="27">
        <f t="shared" ca="1" si="26"/>
        <v>1</v>
      </c>
      <c r="BN31" s="27">
        <f t="shared" ca="1" si="60"/>
        <v>18</v>
      </c>
      <c r="BO31" s="13" t="str">
        <f ca="1">IF(OR(BN31=BN30,BN31=BN32),CONCATENATE("=",BN31),BN31)</f>
        <v>=18</v>
      </c>
      <c r="BR31" s="27">
        <f t="shared" ca="1" si="27"/>
        <v>29.8</v>
      </c>
      <c r="BS31" s="27">
        <f ca="1">RANK(BR31,BR$13:BR$31)+COUNTIF(BR$13:BR31,BR31)-1</f>
        <v>16</v>
      </c>
      <c r="BT31" s="27">
        <f t="shared" ca="1" si="28"/>
        <v>17</v>
      </c>
      <c r="BU31" s="27" t="str">
        <f t="shared" ca="1" si="29"/>
        <v>Trinidad &amp; Tobago</v>
      </c>
      <c r="BV31" s="27">
        <f t="shared" ca="1" si="30"/>
        <v>4.33</v>
      </c>
      <c r="BW31" s="27">
        <f t="shared" ca="1" si="31"/>
        <v>1</v>
      </c>
      <c r="BX31" s="27">
        <f t="shared" ca="1" si="61"/>
        <v>19</v>
      </c>
      <c r="BY31" s="13">
        <f ca="1">IF(OR(BX31=BX30,BX31=BX32),CONCATENATE("=",BX31),BX31)</f>
        <v>19</v>
      </c>
      <c r="CB31" s="27">
        <f t="shared" ca="1" si="32"/>
        <v>37.08</v>
      </c>
      <c r="CC31" s="27">
        <f ca="1">RANK(CB31,CB$13:CB$31)+COUNTIF(CB$13:CB31,CB31)-1</f>
        <v>16</v>
      </c>
      <c r="CD31" s="27">
        <f t="shared" ca="1" si="33"/>
        <v>11</v>
      </c>
      <c r="CE31" s="27" t="str">
        <f t="shared" ca="1" si="34"/>
        <v>Jamaica</v>
      </c>
      <c r="CF31" s="27">
        <f t="shared" ca="1" si="35"/>
        <v>13.32</v>
      </c>
      <c r="CG31" s="27">
        <f t="shared" ca="1" si="36"/>
        <v>1</v>
      </c>
      <c r="CH31" s="27">
        <f t="shared" ca="1" si="62"/>
        <v>19</v>
      </c>
      <c r="CI31" s="13">
        <f ca="1">IF(OR(CH31=CH30,CH31=CH32),CONCATENATE("=",CH31),CH31)</f>
        <v>19</v>
      </c>
      <c r="CL31" s="27">
        <f t="shared" ca="1" si="37"/>
        <v>29.17</v>
      </c>
      <c r="CM31" s="27">
        <f ca="1">RANK(CL31,CL$13:CL$31)+COUNTIF(CL$13:CL31,CL31)-1</f>
        <v>11</v>
      </c>
      <c r="CN31" s="27">
        <f t="shared" ca="1" si="38"/>
        <v>10</v>
      </c>
      <c r="CO31" s="27" t="str">
        <f t="shared" ca="1" si="39"/>
        <v>Honduras</v>
      </c>
      <c r="CP31" s="27">
        <f t="shared" ca="1" si="40"/>
        <v>8.33</v>
      </c>
      <c r="CQ31" s="27">
        <f t="shared" ca="1" si="41"/>
        <v>1</v>
      </c>
      <c r="CR31" s="27">
        <f t="shared" ca="1" si="63"/>
        <v>19</v>
      </c>
      <c r="CS31" s="13">
        <f ca="1">IF(OR(CR31=CR30,CR31=CR32),CONCATENATE("=",CR31),CR31)</f>
        <v>19</v>
      </c>
      <c r="CV31" s="27" t="e">
        <f t="shared" ca="1" si="42"/>
        <v>#N/A</v>
      </c>
      <c r="CW31" s="27" t="e">
        <f ca="1">RANK(CV31,CV$13:CV$31)+COUNTIF(CV$13:CV31,CV31)-1</f>
        <v>#N/A</v>
      </c>
      <c r="CX31" s="27" t="e">
        <f t="shared" ca="1" si="43"/>
        <v>#N/A</v>
      </c>
      <c r="CY31" s="27" t="e">
        <f t="shared" ca="1" si="44"/>
        <v>#N/A</v>
      </c>
      <c r="CZ31" s="27" t="e">
        <f t="shared" ca="1" si="45"/>
        <v>#N/A</v>
      </c>
      <c r="DA31" s="27">
        <f t="shared" ca="1" si="46"/>
        <v>0</v>
      </c>
      <c r="DB31" s="27" t="str">
        <f t="shared" ca="1" si="64"/>
        <v/>
      </c>
      <c r="DC31" s="13" t="str">
        <f ca="1">IF(OR(DB31=DB30,DB31=DB32),CONCATENATE("=",DB31),DB31)</f>
        <v>=</v>
      </c>
    </row>
  </sheetData>
  <phoneticPr fontId="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sheetPr codeName="Sheet7"/>
  <dimension ref="A1:BA96"/>
  <sheetViews>
    <sheetView showGridLines="0" showRowColHeaders="0" zoomScaleNormal="80" workbookViewId="0">
      <pane ySplit="1" topLeftCell="A17" activePane="bottomLeft" state="frozen"/>
      <selection pane="bottomLeft" activeCell="H24" sqref="H24:K24"/>
    </sheetView>
  </sheetViews>
  <sheetFormatPr defaultRowHeight="12.75"/>
  <cols>
    <col min="1" max="1" width="2.140625" customWidth="1"/>
    <col min="2" max="2" width="2.7109375" customWidth="1"/>
    <col min="3" max="3" width="3.42578125" customWidth="1"/>
    <col min="4" max="4" width="33.7109375" customWidth="1"/>
    <col min="5" max="5" width="8.85546875" customWidth="1"/>
    <col min="6" max="6" width="10.28515625" customWidth="1"/>
    <col min="7" max="7" width="2.140625" customWidth="1"/>
    <col min="8" max="8" width="26.7109375" customWidth="1"/>
    <col min="9" max="9" width="5.7109375" customWidth="1"/>
    <col min="10" max="10" width="26.28515625" customWidth="1"/>
    <col min="12" max="12" width="3.42578125" customWidth="1"/>
  </cols>
  <sheetData>
    <row r="1" spans="1:53" s="74" customFormat="1" ht="21" customHeight="1">
      <c r="A1" s="196"/>
      <c r="B1" s="196"/>
      <c r="C1" s="196" t="s">
        <v>375</v>
      </c>
      <c r="D1" s="149"/>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49"/>
      <c r="AJ1" s="149"/>
      <c r="AK1" s="149"/>
      <c r="AL1" s="149"/>
      <c r="AM1" s="149"/>
      <c r="AN1" s="149"/>
      <c r="AO1" s="149"/>
      <c r="AP1" s="149"/>
      <c r="AQ1" s="149"/>
      <c r="AR1" s="149"/>
      <c r="AS1" s="149"/>
      <c r="AT1" s="149"/>
      <c r="AU1" s="149"/>
      <c r="AV1" s="149"/>
      <c r="AW1" s="149"/>
      <c r="AX1" s="149"/>
      <c r="AY1" s="149"/>
      <c r="AZ1" s="149"/>
      <c r="BA1" s="149"/>
    </row>
    <row r="2" spans="1:53" s="79" customFormat="1" ht="1.5" customHeight="1">
      <c r="A2" s="87"/>
      <c r="B2" s="87"/>
    </row>
    <row r="3" spans="1:53" ht="23.25">
      <c r="A3" s="161"/>
      <c r="B3" s="161"/>
      <c r="C3" s="158"/>
      <c r="D3" s="158" t="str">
        <f ca="1">uxb_works!B22</f>
        <v>Mexico</v>
      </c>
      <c r="E3" s="161"/>
      <c r="F3" s="161"/>
      <c r="G3" s="161"/>
      <c r="H3" s="161"/>
      <c r="I3" s="161"/>
      <c r="J3" s="161"/>
      <c r="K3" s="161"/>
      <c r="L3" s="161"/>
      <c r="M3" s="161"/>
    </row>
    <row r="4" spans="1:53" ht="23.25">
      <c r="A4" s="161"/>
      <c r="B4" s="161"/>
      <c r="C4" s="158"/>
      <c r="D4" s="159"/>
      <c r="E4" s="160" t="s">
        <v>391</v>
      </c>
      <c r="F4" s="160" t="s">
        <v>664</v>
      </c>
      <c r="G4" s="159"/>
      <c r="H4" s="159"/>
      <c r="I4" s="161"/>
      <c r="J4" s="161"/>
      <c r="K4" s="161"/>
      <c r="L4" s="161"/>
      <c r="M4" s="161"/>
    </row>
    <row r="5" spans="1:53" ht="14.25" customHeight="1">
      <c r="A5" s="161"/>
      <c r="B5" s="161"/>
      <c r="C5" s="161"/>
      <c r="D5" s="23" t="str">
        <f ca="1">uxb_profile!E6</f>
        <v>OVERALL SCORE</v>
      </c>
      <c r="E5" s="167">
        <f ca="1">uxb_profile!G6</f>
        <v>4</v>
      </c>
      <c r="F5" s="168">
        <f ca="1">uxb_profile!F6</f>
        <v>44.586262953078325</v>
      </c>
      <c r="G5" s="169"/>
      <c r="H5" s="23" t="str">
        <f>REPT("█",F5/5)</f>
        <v>████████</v>
      </c>
      <c r="I5" s="23"/>
      <c r="J5" s="161"/>
      <c r="K5" s="161"/>
      <c r="L5" s="161"/>
      <c r="M5" s="161"/>
    </row>
    <row r="6" spans="1:53" ht="14.25" customHeight="1">
      <c r="A6" s="161"/>
      <c r="B6" s="161"/>
      <c r="C6" s="161"/>
      <c r="D6" s="170" t="str">
        <f ca="1">uxb_profile!E7</f>
        <v>Legal and regulatory framework</v>
      </c>
      <c r="E6" s="171">
        <f ca="1">uxb_profile!G7</f>
        <v>5</v>
      </c>
      <c r="F6" s="172">
        <f ca="1">uxb_profile!F7</f>
        <v>38.888888888888886</v>
      </c>
      <c r="G6" s="169"/>
      <c r="H6" s="72" t="str">
        <f>REPT("█",ABS(F6/5))</f>
        <v>███████</v>
      </c>
      <c r="I6" s="72"/>
      <c r="J6" s="161"/>
      <c r="K6" s="161"/>
      <c r="L6" s="161"/>
      <c r="M6" s="161"/>
    </row>
    <row r="7" spans="1:53" ht="14.25" customHeight="1">
      <c r="A7" s="161"/>
      <c r="B7" s="161"/>
      <c r="C7" s="161"/>
      <c r="D7" s="170" t="str">
        <f ca="1">uxb_profile!E8</f>
        <v>Institutional framework</v>
      </c>
      <c r="E7" s="171">
        <f ca="1">uxb_profile!G8</f>
        <v>4</v>
      </c>
      <c r="F7" s="172">
        <f ca="1">uxb_profile!F8</f>
        <v>37.5</v>
      </c>
      <c r="G7" s="169"/>
      <c r="H7" s="72" t="str">
        <f>REPT("█",ABS(F7/5))</f>
        <v>███████</v>
      </c>
      <c r="I7" s="72"/>
      <c r="J7" s="161"/>
      <c r="K7" s="161"/>
      <c r="L7" s="161"/>
      <c r="M7" s="161"/>
    </row>
    <row r="8" spans="1:53" ht="14.25" customHeight="1">
      <c r="A8" s="161"/>
      <c r="B8" s="161"/>
      <c r="C8" s="161"/>
      <c r="D8" s="170" t="str">
        <f ca="1">uxb_profile!E9</f>
        <v>Operational maturity</v>
      </c>
      <c r="E8" s="171">
        <f ca="1">uxb_profile!G9</f>
        <v>6</v>
      </c>
      <c r="F8" s="172">
        <f ca="1">uxb_profile!F9</f>
        <v>54.061699948796729</v>
      </c>
      <c r="G8" s="169"/>
      <c r="H8" s="72" t="str">
        <f>REPT("█",ABS(F8/5))</f>
        <v>██████████</v>
      </c>
      <c r="I8" s="72"/>
      <c r="J8" s="161"/>
      <c r="K8" s="161"/>
      <c r="L8" s="161"/>
      <c r="M8" s="161"/>
    </row>
    <row r="9" spans="1:53" ht="14.25" customHeight="1">
      <c r="A9" s="161"/>
      <c r="B9" s="161"/>
      <c r="C9" s="161"/>
      <c r="D9" s="170" t="str">
        <f ca="1">uxb_profile!E10</f>
        <v>Investment climate</v>
      </c>
      <c r="E9" s="171">
        <f ca="1">uxb_profile!G10</f>
        <v>5</v>
      </c>
      <c r="F9" s="172">
        <f ca="1">uxb_profile!F10</f>
        <v>65.144555625543859</v>
      </c>
      <c r="G9" s="169"/>
      <c r="H9" s="72" t="str">
        <f>REPT("█",ABS(F9/5))</f>
        <v>█████████████</v>
      </c>
      <c r="I9" s="72"/>
      <c r="J9" s="161"/>
      <c r="K9" s="161"/>
      <c r="L9" s="161"/>
      <c r="M9" s="161"/>
    </row>
    <row r="10" spans="1:53" ht="15" customHeight="1">
      <c r="A10" s="161"/>
      <c r="B10" s="161"/>
      <c r="C10" s="161"/>
      <c r="D10" s="170" t="str">
        <f ca="1">uxb_profile!E11</f>
        <v>Financial facilities</v>
      </c>
      <c r="E10" s="171">
        <f ca="1">uxb_profile!G11</f>
        <v>2</v>
      </c>
      <c r="F10" s="172">
        <f ca="1">uxb_profile!F11</f>
        <v>66.666666666666671</v>
      </c>
      <c r="G10" s="169"/>
      <c r="H10" s="72" t="str">
        <f>REPT("█",ABS(F10/5))</f>
        <v>█████████████</v>
      </c>
      <c r="I10" s="161"/>
      <c r="J10" s="161"/>
      <c r="K10" s="161"/>
      <c r="L10" s="161"/>
      <c r="M10" s="161"/>
    </row>
    <row r="11" spans="1:53">
      <c r="A11" s="161"/>
      <c r="B11" s="161"/>
      <c r="C11" s="161"/>
      <c r="D11" s="163"/>
      <c r="E11" s="161"/>
      <c r="F11" s="161"/>
      <c r="G11" s="161"/>
      <c r="H11" s="164" t="s">
        <v>374</v>
      </c>
      <c r="I11" s="161"/>
      <c r="J11" s="161"/>
      <c r="K11" s="161"/>
      <c r="L11" s="161"/>
      <c r="M11" s="161"/>
    </row>
    <row r="12" spans="1:53" ht="3.75" customHeight="1">
      <c r="A12" s="161"/>
      <c r="B12" s="161"/>
      <c r="C12" s="161"/>
      <c r="D12" s="163"/>
      <c r="E12" s="161"/>
      <c r="F12" s="161"/>
      <c r="G12" s="161"/>
      <c r="H12" s="164"/>
      <c r="I12" s="161"/>
      <c r="J12" s="161"/>
      <c r="K12" s="161"/>
      <c r="L12" s="161"/>
      <c r="M12" s="161"/>
    </row>
    <row r="13" spans="1:53">
      <c r="A13" s="161"/>
      <c r="B13" s="161"/>
      <c r="C13" s="165"/>
      <c r="D13" s="191"/>
      <c r="E13" s="165"/>
      <c r="F13" s="210" t="s">
        <v>664</v>
      </c>
      <c r="G13" s="165"/>
      <c r="H13" s="165"/>
      <c r="I13" s="165"/>
      <c r="J13" s="165"/>
      <c r="K13" s="165"/>
      <c r="L13" s="165"/>
      <c r="M13" s="161"/>
    </row>
    <row r="14" spans="1:53">
      <c r="A14" s="161"/>
      <c r="B14" s="161"/>
      <c r="C14" s="192"/>
      <c r="D14" s="173" t="str">
        <f ca="1">uxb_profile!D52</f>
        <v>Legal and regulatory framework</v>
      </c>
      <c r="E14" s="174"/>
      <c r="F14" s="175">
        <f ca="1">uxb_profile!E52</f>
        <v>38.888888888888886</v>
      </c>
      <c r="G14" s="176"/>
      <c r="H14" s="240" t="str">
        <f ca="1">IF(uxb_profile!F52=0,"",uxb_profile!F52)</f>
        <v/>
      </c>
      <c r="I14" s="240"/>
      <c r="J14" s="240"/>
      <c r="K14" s="240"/>
      <c r="L14" s="193"/>
      <c r="M14" s="161"/>
    </row>
    <row r="15" spans="1:53" ht="84.95" customHeight="1">
      <c r="A15" s="161"/>
      <c r="B15" s="161"/>
      <c r="C15" s="201" t="s">
        <v>714</v>
      </c>
      <c r="D15" s="177" t="str">
        <f ca="1">uxb_profile!D53</f>
        <v>Consistency and quality of PPP regulations</v>
      </c>
      <c r="E15" s="178"/>
      <c r="F15" s="179">
        <f ca="1">uxb_profile!E53</f>
        <v>50</v>
      </c>
      <c r="G15" s="178"/>
      <c r="H15" s="241" t="str">
        <f ca="1">IF(uxb_profile!F53=0,"",uxb_profile!F53)</f>
        <v>Mexico does not have an integrated concession or PPP law for infrastructure sectors. The power to issue a concession or contract for infrastructure projects with the private sector rests with different legal bodies for each sector and level of government. State governments have their own legislation and procedures for approval. This heterogeneous framework is inflexible and difficult for promoting private-sector participation in infrastructure.  To correct this situation, PPP contracts, called Service Project Provision (PPS), have been structured by regulations contained in the Public Acquisitions Law of 1983. However, this is not adequate for infrastructure investment projects because it does not allow for project modifications. The law also establishes the concept of financial equilibrium, which forces the state to take on risks and increases ex-post opportunism. In the transport sector, federal law grants supervisory roles to the departments within the Ministry of Transport for all steps of every project. In the water sanitation sector, PPS contracts can be offered by municipal firms, which are also responsible for the supervision of each project stage. This sector is much atomised, since each municipality is responsible for service provision. In a few metropolitan areas, larger companies have developed to span several municipalities.  The preservation of the autonomy of the states and municipalities complicates the investment process.</v>
      </c>
      <c r="I15" s="241"/>
      <c r="J15" s="241"/>
      <c r="K15" s="241"/>
      <c r="L15" s="194"/>
      <c r="M15" s="161"/>
    </row>
    <row r="16" spans="1:53" ht="84.95" customHeight="1">
      <c r="A16" s="161"/>
      <c r="B16" s="161"/>
      <c r="C16" s="202" t="s">
        <v>715</v>
      </c>
      <c r="D16" s="180" t="str">
        <f ca="1">uxb_profile!D54</f>
        <v>Effective PPP selection and decision making</v>
      </c>
      <c r="E16" s="181"/>
      <c r="F16" s="182">
        <f ca="1">uxb_profile!E54</f>
        <v>25</v>
      </c>
      <c r="G16" s="181"/>
      <c r="H16" s="242" t="str">
        <f ca="1">IF(uxb_profile!F54=0,"",uxb_profile!F54)</f>
        <v>Mexico has a national investment system which is overseen by the Ministry of Finance. The law requires cost-benefit analyses to be conducted when considering public investment projects and concessions. At the federal level, investments in infrastructure are planned for each five-year presidential term.  This process still has a political component that involves negotiation with state and local stakeholders, which reduces the profitability of investments. In the case of road concessions, free alternatives to expensive toll road systems lead to low profitability. There is no evaluation procedure that compares PPP projects and public investment with regard to cost and value. The public accounting system is biased against public investment since debt from deferred payments for PPS is not accounted for in the same way as public investment debt. This is often the fundamental consideration when determining investment modalities. In the water sector, decisions are typically influenced by politics, tariffs do not cover the cost of conserving water systems, and private participation is very complicated.</v>
      </c>
      <c r="I16" s="242"/>
      <c r="J16" s="242"/>
      <c r="K16" s="242"/>
      <c r="L16" s="162"/>
      <c r="M16" s="161"/>
    </row>
    <row r="17" spans="1:13" ht="84.95" customHeight="1">
      <c r="A17" s="161"/>
      <c r="B17" s="161"/>
      <c r="C17" s="201" t="s">
        <v>716</v>
      </c>
      <c r="D17" s="177" t="str">
        <f ca="1">uxb_profile!D55</f>
        <v>Fairness/openness of bids, contract changes</v>
      </c>
      <c r="E17" s="178"/>
      <c r="F17" s="179">
        <f ca="1">uxb_profile!E55</f>
        <v>25</v>
      </c>
      <c r="G17" s="178"/>
      <c r="H17" s="241" t="str">
        <f ca="1">IF(uxb_profile!F55=0,"",uxb_profile!F55)</f>
        <v>Mexico requires that all federal-level projects be tendered, although large projects are negotiated directly in certain cases. In general, the bidding process involves ample public notification, even though contracts and their modifications are not always public. There is no obligation to tender or bid out contract adjustments, although the PPS juridical structure prevents additions to PPS contracts. In the case of concessions, additions are financed with contributions from users, although tariff conditions can be modified without independent mechanisms to ensure transparency.  The Public Comptroller’s office conducts audits, but staff members often do not have the technical knowledge to investigate contracts from a regulatory perspective. At the municipal level, the degree of transparency when private-sector participants are involved is low. Indeed, in many cases projects are negotiated with the private sector, and the Municipal Councils do not exercise an adequate supervisory role. Contract changes are common, but without safeguards for equity or transparency.</v>
      </c>
      <c r="I17" s="241"/>
      <c r="J17" s="241"/>
      <c r="K17" s="241"/>
      <c r="L17" s="194"/>
      <c r="M17" s="161"/>
    </row>
    <row r="18" spans="1:13" ht="84.95" customHeight="1">
      <c r="A18" s="161"/>
      <c r="B18" s="161"/>
      <c r="C18" s="202" t="s">
        <v>717</v>
      </c>
      <c r="D18" s="180" t="str">
        <f ca="1">uxb_profile!D56</f>
        <v>Dispute resolution mechanisms</v>
      </c>
      <c r="E18" s="183"/>
      <c r="F18" s="182">
        <f ca="1">uxb_profile!E56</f>
        <v>50</v>
      </c>
      <c r="G18" s="183"/>
      <c r="H18" s="242" t="str">
        <f ca="1">IF(uxb_profile!F56=0,"",uxb_profile!F56)</f>
        <v>By constitutional requirement, disputes between the federal government and private sector actors must be resolved by the Contencioso-Administrativo tribunals, which enjoy a relative degree of independence. Only technical issues, such as disputes over construction techniques, quality of engineering, cost factors, and the quality of demand measures, can be brought to arbitration. Nevertheless, there is ambiguity over whether certain disputes belong to the courts or to arbitration, especially for decisions that involve political and judicial risk to government officials. Conciliation schemes to guarantee equity and transparency are not in place, and in practice disputes are often resolved by direct negotiations between parties, which avoids the use of tribunals. In the case of water services, the resolution system depends on the terms of each contract. If a municipality enters a concession directly, disputes are resolved by tribunals. However most PPP water projects are contracted by municipal companies, which have the power to establish ad hoc arbitration schemes. Mexico is a signatory of the International Centre for Settlement of Investment Disputes (ICSID).</v>
      </c>
      <c r="I18" s="242"/>
      <c r="J18" s="242"/>
      <c r="K18" s="242"/>
      <c r="L18" s="195"/>
      <c r="M18" s="161"/>
    </row>
    <row r="19" spans="1:13">
      <c r="A19" s="161"/>
      <c r="B19" s="161"/>
      <c r="C19" s="203"/>
      <c r="D19" s="173" t="str">
        <f ca="1">uxb_profile!D57</f>
        <v>Institutional framework</v>
      </c>
      <c r="E19" s="174"/>
      <c r="F19" s="175">
        <f ca="1">uxb_profile!E57</f>
        <v>37.5</v>
      </c>
      <c r="G19" s="176"/>
      <c r="H19" s="243" t="str">
        <f ca="1">IF(uxb_profile!F57=0,"",uxb_profile!F57)</f>
        <v/>
      </c>
      <c r="I19" s="243"/>
      <c r="J19" s="243"/>
      <c r="K19" s="243"/>
      <c r="L19" s="193"/>
      <c r="M19" s="161"/>
    </row>
    <row r="20" spans="1:13" ht="84.95" customHeight="1">
      <c r="A20" s="161"/>
      <c r="B20" s="161"/>
      <c r="C20" s="201" t="s">
        <v>718</v>
      </c>
      <c r="D20" s="177" t="str">
        <f ca="1">uxb_profile!D58</f>
        <v>Quality of institutional design</v>
      </c>
      <c r="E20" s="178"/>
      <c r="F20" s="179">
        <f ca="1">uxb_profile!E58</f>
        <v>25</v>
      </c>
      <c r="G20" s="178"/>
      <c r="H20" s="241" t="str">
        <f ca="1">IF(uxb_profile!F58=0,"",uxb_profile!F58)</f>
        <v>The Mexican institutional system is highly fragmented; each sector and level of government is responsible for planning, implementing and supervising projects. There is no council at the ministerial level that establishes policies and oversees the system. There is no agency to advise on financial or contractual issues, nor is there supervision of service standards and economic regulation. On the other hand, the Ministry of Finance must approve federal level projects, although the ministry still needs to formalise and develop evaluation procedures for fiscal risks and contingencies. This ministry is in charge of the management of the national investment system, which exercises a certain disciplinary role in project supervision and selection.</v>
      </c>
      <c r="I20" s="241"/>
      <c r="J20" s="241"/>
      <c r="K20" s="241"/>
      <c r="L20" s="194"/>
      <c r="M20" s="161"/>
    </row>
    <row r="21" spans="1:13" ht="84.95" customHeight="1">
      <c r="A21" s="161"/>
      <c r="B21" s="161"/>
      <c r="C21" s="202" t="s">
        <v>719</v>
      </c>
      <c r="D21" s="184" t="str">
        <f ca="1">uxb_profile!D59</f>
        <v>PPP contract, hold-up and expropriation risk</v>
      </c>
      <c r="E21" s="185"/>
      <c r="F21" s="186">
        <f ca="1">uxb_profile!E59</f>
        <v>50</v>
      </c>
      <c r="G21" s="185"/>
      <c r="H21" s="244" t="str">
        <f ca="1">IF(uxb_profile!F59=0,"",uxb_profile!F59)</f>
        <v>The general legal framework and the constitution protect property rights, requiring compensation in cases of expropriation for public interest reason.  Tribunals have enough prestige and independence to secure reasonable protection for investors. There are general laws that regulate the termination of contracts with the state and which generate a reasonable level of legal security. Mexico has developed a system called Fideicomiso,  which protects creditors’ rights in case of non-compliance by operators or the state in a particular contract. Transfer mechanisms for concessions are complicated and do not allow an expedited exit from a contract for investors. Regulations for obtaining rights of way for road or other infrastructure projects are extremely bureaucratic and often lead to legal paralysis and opportunism by property owners. Environmental and social issues often generate political conflicts as well, which filter through the judicial system, triggering cumbersome and frustrating legal procedures. The use of judicial procedures to delay projects and increase the value of compensation for property owners is widespread.  The government is planning legislation to speed up this process and reduce hold-up risk.</v>
      </c>
      <c r="I21" s="244"/>
      <c r="J21" s="244"/>
      <c r="K21" s="244"/>
      <c r="L21" s="162"/>
      <c r="M21" s="161"/>
    </row>
    <row r="22" spans="1:13">
      <c r="A22" s="161"/>
      <c r="B22" s="161"/>
      <c r="C22" s="203"/>
      <c r="D22" s="173" t="str">
        <f ca="1">uxb_profile!D60</f>
        <v>Operational maturity</v>
      </c>
      <c r="E22" s="174"/>
      <c r="F22" s="175">
        <f ca="1">uxb_profile!E60</f>
        <v>54.061699948796729</v>
      </c>
      <c r="G22" s="176"/>
      <c r="H22" s="243" t="str">
        <f ca="1">IF(uxb_profile!F60=0,"",uxb_profile!F60)</f>
        <v/>
      </c>
      <c r="I22" s="243"/>
      <c r="J22" s="243"/>
      <c r="K22" s="243"/>
      <c r="L22" s="193"/>
      <c r="M22" s="161"/>
    </row>
    <row r="23" spans="1:13" ht="84.95" customHeight="1">
      <c r="A23" s="161"/>
      <c r="B23" s="161"/>
      <c r="C23" s="201" t="s">
        <v>720</v>
      </c>
      <c r="D23" s="177" t="str">
        <f ca="1">uxb_profile!D61</f>
        <v>Public capacity to plan and oversee PPPs</v>
      </c>
      <c r="E23" s="178"/>
      <c r="F23" s="179">
        <f ca="1">uxb_profile!E61</f>
        <v>25</v>
      </c>
      <c r="G23" s="178"/>
      <c r="H23" s="241" t="str">
        <f ca="1">IF(uxb_profile!F61=0,"",uxb_profile!F61)</f>
        <v>The capacity for project planning and development is very limited at all levels of government. Resources are especially limited at the municipal level, which constitutes a significant bottleneck for implementing PPP programs. The efforts and expertise dedicated to supervision of PPP contracts are minimal. The limited human resources dedicated to public works focus on project preparation rather than oversight of service quality. The fiscal adjustment following the financial crisis of the 1990s led to a dramatic reduction in public investment; this reduced significantly the number of engineers working in project preparation at all levels of government</v>
      </c>
      <c r="I23" s="241"/>
      <c r="J23" s="241"/>
      <c r="K23" s="241"/>
      <c r="L23" s="194"/>
      <c r="M23" s="161"/>
    </row>
    <row r="24" spans="1:13" ht="84.95" customHeight="1">
      <c r="A24" s="161"/>
      <c r="B24" s="161"/>
      <c r="C24" s="202" t="s">
        <v>721</v>
      </c>
      <c r="D24" s="184" t="str">
        <f ca="1">uxb_profile!D62</f>
        <v xml:space="preserve">Methods and criteria for awarding projects </v>
      </c>
      <c r="E24" s="185"/>
      <c r="F24" s="186">
        <f ca="1">uxb_profile!E62</f>
        <v>25</v>
      </c>
      <c r="G24" s="185"/>
      <c r="H24" s="244" t="str">
        <f ca="1">IF(uxb_profile!F62=0,"",uxb_profile!F62)</f>
        <v>In the transport sector, public bidding mechanisms to award PPP investment projects are used at the federal level. The variables for awarding a contract are principally economic in nature, although well-regarded measures such as the present value of revenue are not used. Not using the latter measure, which incorporates the possibility of adjusting the length of the concession when demand falls and shortening it when demand rises, increases the need for renegotiation. Fixed terms imply lost profits when demand is lower than expected and excessive profits when demand is higher than expected. In the case of recent bids for toll highways, such as the Farac project, the unusually high prices and profits demonstrate insufficient planning capacity during bidding. In the sanitary and water sector, processes are not competitive and contract award criteria are highly subjective.</v>
      </c>
      <c r="I24" s="244"/>
      <c r="J24" s="244"/>
      <c r="K24" s="244"/>
      <c r="L24" s="162"/>
      <c r="M24" s="161"/>
    </row>
    <row r="25" spans="1:13" ht="84.95" customHeight="1">
      <c r="A25" s="161"/>
      <c r="B25" s="161"/>
      <c r="C25" s="201" t="s">
        <v>722</v>
      </c>
      <c r="D25" s="177" t="str">
        <f ca="1">uxb_profile!D63</f>
        <v>Regulators' risk allocation record</v>
      </c>
      <c r="E25" s="178"/>
      <c r="F25" s="179">
        <f ca="1">uxb_profile!E63</f>
        <v>25</v>
      </c>
      <c r="G25" s="178"/>
      <c r="H25" s="241" t="str">
        <f ca="1">IF(uxb_profile!F63=0,"",uxb_profile!F63)</f>
        <v xml:space="preserve">Experience with the first generation of concessions has shown that the state has not been able to transfer commercial risk to the private sector as it should. The concept of maintaining financial equilibrium for projects explains this dilemma. In the newer wave of roadway concessions, the present value criteria has not been used; rather, the state has established as award criteria the highest payment to the government promised by the private sector operator or the lowest government subsidy proposed by the concessionaire and do not guarantee income for a minimum traffic level. </v>
      </c>
      <c r="I25" s="241"/>
      <c r="J25" s="241"/>
      <c r="K25" s="241"/>
      <c r="L25" s="194"/>
      <c r="M25" s="161"/>
    </row>
    <row r="26" spans="1:13" ht="80.099999999999994" customHeight="1">
      <c r="A26" s="161"/>
      <c r="B26" s="161"/>
      <c r="C26" s="202" t="s">
        <v>723</v>
      </c>
      <c r="D26" s="184" t="str">
        <f ca="1">uxb_profile!D64</f>
        <v>Experience in transport &amp; water concessions</v>
      </c>
      <c r="E26" s="185"/>
      <c r="F26" s="186">
        <f ca="1">uxb_profile!E64</f>
        <v>59.047619047619051</v>
      </c>
      <c r="G26" s="185"/>
      <c r="H26" s="244" t="str">
        <f ca="1">IF(uxb_profile!F64=0,"",uxb_profile!F64)</f>
        <v xml:space="preserve">According to data from the World Bank, in the past ten years Mexico had a total of 62 projects in the water and transport sectors. Across the four major infrastructure sectors (ie, water, transport, energy and telecoms), transport concessions represented 42% of all projects and water represented 16%. (Figures do not include management and lease contracts or divestitures. Please note that numbers do not necessarily match explanations for other indicators in this index due to different counting methods and time frames.) </v>
      </c>
      <c r="I26" s="244"/>
      <c r="J26" s="244"/>
      <c r="K26" s="244"/>
      <c r="L26" s="162"/>
      <c r="M26" s="161"/>
    </row>
    <row r="27" spans="1:13" ht="39.950000000000003" customHeight="1">
      <c r="A27" s="161"/>
      <c r="B27" s="161"/>
      <c r="C27" s="201" t="s">
        <v>724</v>
      </c>
      <c r="D27" s="177" t="str">
        <f ca="1">uxb_profile!D65</f>
        <v>Quality of transport and water concessions</v>
      </c>
      <c r="E27" s="178"/>
      <c r="F27" s="179">
        <f ca="1">uxb_profile!E65</f>
        <v>95.161290322580655</v>
      </c>
      <c r="G27" s="178"/>
      <c r="H27" s="241" t="str">
        <f ca="1">IF(uxb_profile!F65=0,"",uxb_profile!F65)</f>
        <v>Out of 62 projects in the World Bank PPI database for the transport and water sectors, Mexico had 1 failed/distressed project in transport and 2 failed/distressed projects in the water sector, for an overall failure/distress rate of 4.8%. (Figures do not include management and lease contracts or divestitures. Please note that numbers do not necessarily match explanations for other indicators in this index due to different counting methods and time frames.)</v>
      </c>
      <c r="I27" s="241"/>
      <c r="J27" s="241"/>
      <c r="K27" s="241"/>
      <c r="L27" s="194"/>
      <c r="M27" s="161"/>
    </row>
    <row r="28" spans="1:13">
      <c r="A28" s="161"/>
      <c r="B28" s="161"/>
      <c r="C28" s="204"/>
      <c r="D28" s="173" t="str">
        <f ca="1">uxb_profile!D66</f>
        <v>Investment climate</v>
      </c>
      <c r="E28" s="174"/>
      <c r="F28" s="175">
        <f ca="1">uxb_profile!E66</f>
        <v>65.144555625543859</v>
      </c>
      <c r="G28" s="176"/>
      <c r="H28" s="243" t="str">
        <f ca="1">IF(uxb_profile!F66=0,"",uxb_profile!F66)</f>
        <v/>
      </c>
      <c r="I28" s="243"/>
      <c r="J28" s="243"/>
      <c r="K28" s="243"/>
      <c r="L28" s="193"/>
      <c r="M28" s="161"/>
    </row>
    <row r="29" spans="1:13" ht="84.95" customHeight="1">
      <c r="A29" s="161"/>
      <c r="B29" s="161"/>
      <c r="C29" s="202" t="s">
        <v>725</v>
      </c>
      <c r="D29" s="180" t="str">
        <f ca="1">uxb_profile!D67</f>
        <v>Political distortion</v>
      </c>
      <c r="E29" s="183"/>
      <c r="F29" s="182">
        <f ca="1">uxb_profile!E67</f>
        <v>46.133081820896692</v>
      </c>
      <c r="G29" s="183"/>
      <c r="H29" s="242" t="str">
        <f ca="1">IF(uxb_profile!F67=0,"",uxb_profile!F67)</f>
        <v>Since 2000, Mexico has moved from a system in which political power was highly concentrated in the presidency to one in which the legislature and the state governors have been empowered and the executive weakened. This shift has exposed institutional weaknesses that impair political effectiveness. Once again, no single party has a majority in the Congress elected in 2006. Mr Calderón of the Partido Acción Nacional (PAN), who took office at the end of 2006, faces the same challenges in pushing his agenda through Congress as his predecessor, Vicente Fox. Although governability initially improved under Mr Calderón, looming mid-term elections in July 2009 have since slowed the legislative agenda. Several initiatives have been put forward to tackle pervasive corruption. Advances will be slow, but such efforts may receive impetus from growing media coverage of misconduct. The influence of interest groups remains prevalent despite various efforts to promote more transparent rules.</v>
      </c>
      <c r="I29" s="242"/>
      <c r="J29" s="242"/>
      <c r="K29" s="242"/>
      <c r="L29" s="162"/>
      <c r="M29" s="161"/>
    </row>
    <row r="30" spans="1:13" ht="84.95" customHeight="1">
      <c r="A30" s="161"/>
      <c r="B30" s="161"/>
      <c r="C30" s="201" t="s">
        <v>726</v>
      </c>
      <c r="D30" s="177" t="str">
        <f ca="1">uxb_profile!D68</f>
        <v>Business environment</v>
      </c>
      <c r="E30" s="178"/>
      <c r="F30" s="179">
        <f ca="1">uxb_profile!E68</f>
        <v>79.16774811494497</v>
      </c>
      <c r="G30" s="178"/>
      <c r="H30" s="241" t="str">
        <f ca="1">IF(uxb_profile!F68=0,"",uxb_profile!F68)</f>
        <v>Macroeconomic risk has risen sharply. Although monetary and fiscal policy management has become more disciplined in recent years, Mexico faces the prospect of a sharp economic decline in 2009 as the US - its main trading partner - enters a recession. Worsening external conditions will highlight the extent to which Mexican growth remains acutely vulnerable to economic cycles in the US. Notwithstanding recent capital inflows related to a widening interest rate differential with the US, a further depreciation of the peso is likely in coming months as the external balance weakens. The collapse in domestic demand is at least likely to allow inflation to fall back within the 2-4% target by the end of 2009, even assuming a cycle of monetary easing by the central bank.</v>
      </c>
      <c r="I30" s="241"/>
      <c r="J30" s="241"/>
      <c r="K30" s="241"/>
      <c r="L30" s="194"/>
      <c r="M30" s="161"/>
    </row>
    <row r="31" spans="1:13" ht="84.95" customHeight="1">
      <c r="A31" s="161"/>
      <c r="B31" s="161"/>
      <c r="C31" s="202" t="s">
        <v>727</v>
      </c>
      <c r="D31" s="184" t="str">
        <f ca="1">uxb_profile!D69</f>
        <v>Social attitudes towards privatisation</v>
      </c>
      <c r="E31" s="185"/>
      <c r="F31" s="186">
        <f ca="1">uxb_profile!E69</f>
        <v>67.63869628316688</v>
      </c>
      <c r="G31" s="185"/>
      <c r="H31" s="244" t="str">
        <f ca="1">IF(uxb_profile!F69=0,"",uxb_profile!F69)</f>
        <v>Events surrounding the 2006 presidential election suggest that there is still some risk of social unrest, although there are no direct links between armed rebels and the left-wing political opposition. Protests are a regular occurrence in the capital, but are rarely violent and do not generally obstruct business.</v>
      </c>
      <c r="I31" s="244"/>
      <c r="J31" s="244"/>
      <c r="K31" s="244"/>
      <c r="L31" s="162"/>
      <c r="M31" s="161"/>
    </row>
    <row r="32" spans="1:13">
      <c r="A32" s="161"/>
      <c r="B32" s="161"/>
      <c r="C32" s="204"/>
      <c r="D32" s="173" t="str">
        <f ca="1">uxb_profile!D70</f>
        <v>Financial facilities</v>
      </c>
      <c r="E32" s="174"/>
      <c r="F32" s="175">
        <f ca="1">uxb_profile!E70</f>
        <v>66.666666666666671</v>
      </c>
      <c r="G32" s="176"/>
      <c r="H32" s="243" t="str">
        <f ca="1">IF(uxb_profile!F70=0,"",uxb_profile!F70)</f>
        <v/>
      </c>
      <c r="I32" s="243"/>
      <c r="J32" s="243"/>
      <c r="K32" s="243"/>
      <c r="L32" s="193"/>
      <c r="M32" s="161"/>
    </row>
    <row r="33" spans="1:13" ht="75" customHeight="1">
      <c r="A33" s="161"/>
      <c r="B33" s="161"/>
      <c r="C33" s="201" t="s">
        <v>728</v>
      </c>
      <c r="D33" s="177" t="str">
        <f ca="1">uxb_profile!D71</f>
        <v>Government payment risk</v>
      </c>
      <c r="E33" s="178"/>
      <c r="F33" s="179">
        <f ca="1">uxb_profile!E71</f>
        <v>75</v>
      </c>
      <c r="G33" s="178"/>
      <c r="H33" s="241" t="str">
        <f ca="1">IF(uxb_profile!F71=0,"",uxb_profile!F71)</f>
        <v xml:space="preserve">In general, the federal government has a good track record and fulfills its obligations to PPP projects in a timely manner. The record is more mixed on a sub-national level. However, the structuring of PPP projects usually considers the Fideicomiso as a separate entity managed by a bank trust, to which the government must anticipate the payment of a proportion of future subsidies. The bank trust is responsible for disbursing government subsidies according to the contract specification. This scheme has reduced drastically illiquidity problems for federal and sub-national entities. </v>
      </c>
      <c r="I33" s="241"/>
      <c r="J33" s="241"/>
      <c r="K33" s="241"/>
      <c r="L33" s="194"/>
      <c r="M33" s="161"/>
    </row>
    <row r="34" spans="1:13" ht="75" customHeight="1">
      <c r="A34" s="161"/>
      <c r="B34" s="161"/>
      <c r="C34" s="202" t="s">
        <v>752</v>
      </c>
      <c r="D34" s="184" t="str">
        <f ca="1">uxb_profile!D72</f>
        <v>Capital market: private infrastructure finance</v>
      </c>
      <c r="E34" s="185"/>
      <c r="F34" s="186">
        <f ca="1">uxb_profile!E72</f>
        <v>75</v>
      </c>
      <c r="G34" s="185"/>
      <c r="H34" s="244" t="str">
        <f ca="1">IF(uxb_profile!F72=0,"",uxb_profile!F72)</f>
        <v xml:space="preserve">Mexico’s capital markets are well developed and serve institutional investors linked to the pension system, which invests in long-term instruments. Firms and the state have developed debt instruments that are indexed to inflation for the medium and long term to capture resources from institutional investors. There has been only moderate development of risk diversification instruments that are useful for infrastructure projects. Exchange-rate risk hedging instruments are available, but these are largely short-term. Completion risk markets remain underdeveloped. </v>
      </c>
      <c r="I34" s="244"/>
      <c r="J34" s="244"/>
      <c r="K34" s="244"/>
      <c r="L34" s="162"/>
      <c r="M34" s="161"/>
    </row>
    <row r="35" spans="1:13" ht="75" customHeight="1">
      <c r="A35" s="161"/>
      <c r="B35" s="161"/>
      <c r="C35" s="201" t="s">
        <v>753</v>
      </c>
      <c r="D35" s="177" t="str">
        <f ca="1">uxb_profile!D73</f>
        <v>Marketable debt</v>
      </c>
      <c r="E35" s="178"/>
      <c r="F35" s="179">
        <f ca="1">uxb_profile!E73</f>
        <v>75</v>
      </c>
      <c r="G35" s="178"/>
      <c r="H35" s="241" t="str">
        <f ca="1">IF(uxb_profile!F73=0,"",uxb_profile!F73)</f>
        <v>Commercial banks offer medium and long-term loans. Their market is principally medium-sized and large companies, but penetration of the small-business sector is growing.(In 2005 it issued its first-ever 30-year bond.)  The government is attempting to build a reference yield curve for the private-debt market by issuing longer-term paper. However companies in Mexico with access to dollars generally opt to finance in dollars (for both short- and long-term needs). Three-year fixed-rate loans are the most common for longer-term projects and are typically obtained through a foreign syndicate.</v>
      </c>
      <c r="I35" s="241"/>
      <c r="J35" s="241"/>
      <c r="K35" s="241"/>
      <c r="L35" s="194"/>
      <c r="M35" s="161"/>
    </row>
    <row r="36" spans="1:13" ht="75" customHeight="1">
      <c r="A36" s="161"/>
      <c r="B36" s="161"/>
      <c r="C36" s="205" t="s">
        <v>754</v>
      </c>
      <c r="D36" s="190" t="str">
        <f ca="1">uxb_profile!D74</f>
        <v>Government support for low income users</v>
      </c>
      <c r="E36" s="188"/>
      <c r="F36" s="189">
        <f ca="1">uxb_profile!E74</f>
        <v>25</v>
      </c>
      <c r="G36" s="188"/>
      <c r="H36" s="245" t="str">
        <f ca="1">IF(uxb_profile!F74=0,"",uxb_profile!F74)</f>
        <v xml:space="preserve">In general, the government does not offer demand-based subsidies of basic services for a targeted segment of the poor population; sanitation services are subsidised for the general population. Tariffs are low and do not even pay for replacing the service costs of infrastructure; as a result, there is a chronic deficit that inhibits private participation and equitable access. Public transport is indirectly subsidised by general subsidies for gasoline and the low taxes on diesel. </v>
      </c>
      <c r="I36" s="245"/>
      <c r="J36" s="245"/>
      <c r="K36" s="245"/>
      <c r="L36" s="166"/>
      <c r="M36" s="161"/>
    </row>
    <row r="37" spans="1:13">
      <c r="A37" s="161"/>
      <c r="B37" s="161"/>
      <c r="C37" s="161"/>
      <c r="D37" s="161"/>
      <c r="E37" s="161"/>
      <c r="F37" s="161"/>
      <c r="G37" s="161"/>
      <c r="H37" s="187"/>
      <c r="I37" s="187"/>
      <c r="J37" s="187"/>
      <c r="K37" s="187"/>
      <c r="L37" s="161"/>
      <c r="M37" s="161"/>
    </row>
    <row r="38" spans="1:13">
      <c r="A38" s="161"/>
      <c r="B38" s="161"/>
      <c r="C38" s="161"/>
      <c r="D38" s="161"/>
      <c r="E38" s="161"/>
      <c r="F38" s="161"/>
      <c r="G38" s="161"/>
      <c r="H38" s="187"/>
      <c r="I38" s="187"/>
      <c r="J38" s="187"/>
      <c r="K38" s="187"/>
      <c r="L38" s="161"/>
      <c r="M38" s="161"/>
    </row>
    <row r="39" spans="1:13">
      <c r="A39" s="161"/>
      <c r="B39" s="161"/>
      <c r="C39" s="161"/>
      <c r="D39" s="161"/>
      <c r="E39" s="161"/>
      <c r="F39" s="161"/>
      <c r="G39" s="161"/>
      <c r="H39" s="187"/>
      <c r="I39" s="187"/>
      <c r="J39" s="187"/>
      <c r="K39" s="187"/>
      <c r="L39" s="161"/>
      <c r="M39" s="161"/>
    </row>
    <row r="40" spans="1:13">
      <c r="A40" s="161"/>
      <c r="B40" s="161"/>
      <c r="C40" s="161"/>
      <c r="D40" s="161"/>
      <c r="E40" s="161"/>
      <c r="F40" s="161"/>
      <c r="G40" s="161"/>
      <c r="H40" s="187"/>
      <c r="I40" s="187"/>
      <c r="J40" s="187"/>
      <c r="K40" s="187"/>
      <c r="L40" s="161"/>
      <c r="M40" s="161"/>
    </row>
    <row r="41" spans="1:13">
      <c r="A41" s="161"/>
      <c r="B41" s="161"/>
      <c r="C41" s="161"/>
      <c r="D41" s="161"/>
      <c r="E41" s="161"/>
      <c r="F41" s="161"/>
      <c r="G41" s="161"/>
      <c r="H41" s="187"/>
      <c r="I41" s="187"/>
      <c r="J41" s="187"/>
      <c r="K41" s="187"/>
      <c r="L41" s="161"/>
      <c r="M41" s="161"/>
    </row>
    <row r="42" spans="1:13">
      <c r="H42" s="148"/>
      <c r="I42" s="148"/>
      <c r="J42" s="148"/>
      <c r="K42" s="148"/>
    </row>
    <row r="43" spans="1:13">
      <c r="H43" s="148"/>
      <c r="I43" s="148"/>
      <c r="J43" s="148"/>
      <c r="K43" s="148"/>
    </row>
    <row r="44" spans="1:13">
      <c r="H44" s="148"/>
      <c r="I44" s="148"/>
      <c r="J44" s="148"/>
      <c r="K44" s="148"/>
    </row>
    <row r="45" spans="1:13">
      <c r="H45" s="148"/>
      <c r="I45" s="148"/>
      <c r="J45" s="148"/>
      <c r="K45" s="148"/>
    </row>
    <row r="46" spans="1:13">
      <c r="H46" s="148"/>
      <c r="I46" s="148"/>
      <c r="J46" s="148"/>
      <c r="K46" s="148"/>
    </row>
    <row r="47" spans="1:13">
      <c r="H47" s="148"/>
      <c r="I47" s="148"/>
      <c r="J47" s="148"/>
      <c r="K47" s="148"/>
    </row>
    <row r="48" spans="1:13">
      <c r="H48" s="148"/>
      <c r="I48" s="148"/>
      <c r="J48" s="148"/>
      <c r="K48" s="148"/>
    </row>
    <row r="49" spans="8:11">
      <c r="H49" s="148"/>
      <c r="I49" s="148"/>
      <c r="J49" s="148"/>
      <c r="K49" s="148"/>
    </row>
    <row r="50" spans="8:11">
      <c r="H50" s="148"/>
      <c r="I50" s="148"/>
      <c r="J50" s="148"/>
      <c r="K50" s="148"/>
    </row>
    <row r="51" spans="8:11">
      <c r="H51" s="148"/>
      <c r="I51" s="148"/>
      <c r="J51" s="148"/>
      <c r="K51" s="148"/>
    </row>
    <row r="52" spans="8:11">
      <c r="H52" s="148"/>
      <c r="I52" s="148"/>
      <c r="J52" s="148"/>
      <c r="K52" s="148"/>
    </row>
    <row r="53" spans="8:11">
      <c r="H53" s="148"/>
      <c r="I53" s="148"/>
      <c r="J53" s="148"/>
      <c r="K53" s="148"/>
    </row>
    <row r="54" spans="8:11">
      <c r="H54" s="148"/>
      <c r="I54" s="148"/>
      <c r="J54" s="148"/>
      <c r="K54" s="148"/>
    </row>
    <row r="55" spans="8:11">
      <c r="H55" s="148"/>
      <c r="I55" s="148"/>
      <c r="J55" s="148"/>
      <c r="K55" s="148"/>
    </row>
    <row r="56" spans="8:11">
      <c r="H56" s="148"/>
      <c r="I56" s="148"/>
      <c r="J56" s="148"/>
      <c r="K56" s="148"/>
    </row>
    <row r="57" spans="8:11">
      <c r="H57" s="148"/>
      <c r="I57" s="148"/>
      <c r="J57" s="148"/>
      <c r="K57" s="148"/>
    </row>
    <row r="58" spans="8:11">
      <c r="H58" s="148"/>
      <c r="I58" s="148"/>
      <c r="J58" s="148"/>
      <c r="K58" s="148"/>
    </row>
    <row r="59" spans="8:11">
      <c r="H59" s="148"/>
      <c r="I59" s="148"/>
      <c r="J59" s="148"/>
      <c r="K59" s="148"/>
    </row>
    <row r="60" spans="8:11">
      <c r="H60" s="148"/>
      <c r="I60" s="148"/>
      <c r="J60" s="148"/>
      <c r="K60" s="148"/>
    </row>
    <row r="61" spans="8:11">
      <c r="H61" s="148"/>
      <c r="I61" s="148"/>
      <c r="J61" s="148"/>
      <c r="K61" s="148"/>
    </row>
    <row r="62" spans="8:11">
      <c r="H62" s="148"/>
      <c r="I62" s="148"/>
      <c r="J62" s="148"/>
      <c r="K62" s="148"/>
    </row>
    <row r="63" spans="8:11">
      <c r="H63" s="148"/>
      <c r="I63" s="148"/>
      <c r="J63" s="148"/>
      <c r="K63" s="148"/>
    </row>
    <row r="64" spans="8:11">
      <c r="H64" s="148"/>
      <c r="I64" s="148"/>
      <c r="J64" s="148"/>
      <c r="K64" s="148"/>
    </row>
    <row r="65" spans="8:11">
      <c r="H65" s="148"/>
      <c r="I65" s="148"/>
      <c r="J65" s="148"/>
      <c r="K65" s="148"/>
    </row>
    <row r="66" spans="8:11">
      <c r="H66" s="148"/>
      <c r="I66" s="148"/>
      <c r="J66" s="148"/>
      <c r="K66" s="148"/>
    </row>
    <row r="67" spans="8:11">
      <c r="H67" s="148"/>
      <c r="I67" s="148"/>
      <c r="J67" s="148"/>
      <c r="K67" s="148"/>
    </row>
    <row r="68" spans="8:11">
      <c r="H68" s="148"/>
      <c r="I68" s="148"/>
      <c r="J68" s="148"/>
      <c r="K68" s="148"/>
    </row>
    <row r="69" spans="8:11">
      <c r="H69" s="148"/>
      <c r="I69" s="148"/>
      <c r="J69" s="148"/>
      <c r="K69" s="148"/>
    </row>
    <row r="70" spans="8:11">
      <c r="H70" s="148"/>
      <c r="I70" s="148"/>
      <c r="J70" s="148"/>
      <c r="K70" s="148"/>
    </row>
    <row r="71" spans="8:11">
      <c r="H71" s="148"/>
      <c r="I71" s="148"/>
      <c r="J71" s="148"/>
      <c r="K71" s="148"/>
    </row>
    <row r="72" spans="8:11">
      <c r="H72" s="148"/>
      <c r="I72" s="148"/>
      <c r="J72" s="148"/>
      <c r="K72" s="148"/>
    </row>
    <row r="73" spans="8:11">
      <c r="H73" s="148"/>
      <c r="I73" s="148"/>
      <c r="J73" s="148"/>
      <c r="K73" s="148"/>
    </row>
    <row r="74" spans="8:11">
      <c r="H74" s="148"/>
      <c r="I74" s="148"/>
      <c r="J74" s="148"/>
      <c r="K74" s="148"/>
    </row>
    <row r="75" spans="8:11">
      <c r="H75" s="148"/>
      <c r="I75" s="148"/>
      <c r="J75" s="148"/>
      <c r="K75" s="148"/>
    </row>
    <row r="76" spans="8:11">
      <c r="H76" s="148"/>
      <c r="I76" s="148"/>
      <c r="J76" s="148"/>
      <c r="K76" s="148"/>
    </row>
    <row r="77" spans="8:11">
      <c r="H77" s="148"/>
      <c r="I77" s="148"/>
      <c r="J77" s="148"/>
      <c r="K77" s="148"/>
    </row>
    <row r="78" spans="8:11">
      <c r="H78" s="148"/>
      <c r="I78" s="148"/>
      <c r="J78" s="148"/>
      <c r="K78" s="148"/>
    </row>
    <row r="79" spans="8:11">
      <c r="H79" s="148"/>
      <c r="I79" s="148"/>
      <c r="J79" s="148"/>
      <c r="K79" s="148"/>
    </row>
    <row r="80" spans="8:11">
      <c r="H80" s="148"/>
      <c r="I80" s="148"/>
      <c r="J80" s="148"/>
      <c r="K80" s="148"/>
    </row>
    <row r="81" spans="8:11">
      <c r="H81" s="148"/>
      <c r="I81" s="148"/>
      <c r="J81" s="148"/>
      <c r="K81" s="148"/>
    </row>
    <row r="82" spans="8:11">
      <c r="H82" s="148"/>
      <c r="I82" s="148"/>
      <c r="J82" s="148"/>
      <c r="K82" s="148"/>
    </row>
    <row r="83" spans="8:11">
      <c r="H83" s="148"/>
      <c r="I83" s="148"/>
      <c r="J83" s="148"/>
      <c r="K83" s="148"/>
    </row>
    <row r="84" spans="8:11">
      <c r="H84" s="148"/>
      <c r="I84" s="148"/>
      <c r="J84" s="148"/>
      <c r="K84" s="148"/>
    </row>
    <row r="85" spans="8:11">
      <c r="H85" s="148"/>
      <c r="I85" s="148"/>
      <c r="J85" s="148"/>
      <c r="K85" s="148"/>
    </row>
    <row r="86" spans="8:11">
      <c r="H86" s="148"/>
      <c r="I86" s="148"/>
      <c r="J86" s="148"/>
      <c r="K86" s="148"/>
    </row>
    <row r="87" spans="8:11">
      <c r="H87" s="148"/>
      <c r="I87" s="148"/>
      <c r="J87" s="148"/>
      <c r="K87" s="148"/>
    </row>
    <row r="88" spans="8:11">
      <c r="H88" s="148"/>
      <c r="I88" s="148"/>
      <c r="J88" s="148"/>
      <c r="K88" s="148"/>
    </row>
    <row r="89" spans="8:11">
      <c r="H89" s="148"/>
      <c r="I89" s="148"/>
      <c r="J89" s="148"/>
      <c r="K89" s="148"/>
    </row>
    <row r="90" spans="8:11">
      <c r="H90" s="148"/>
      <c r="I90" s="148"/>
      <c r="J90" s="148"/>
      <c r="K90" s="148"/>
    </row>
    <row r="91" spans="8:11">
      <c r="H91" s="148"/>
      <c r="I91" s="148"/>
      <c r="J91" s="148"/>
      <c r="K91" s="148"/>
    </row>
    <row r="92" spans="8:11">
      <c r="H92" s="148"/>
      <c r="I92" s="148"/>
      <c r="J92" s="148"/>
      <c r="K92" s="148"/>
    </row>
    <row r="93" spans="8:11">
      <c r="H93" s="148"/>
      <c r="I93" s="148"/>
      <c r="J93" s="148"/>
      <c r="K93" s="148"/>
    </row>
    <row r="94" spans="8:11">
      <c r="H94" s="148"/>
      <c r="I94" s="148"/>
      <c r="J94" s="148"/>
      <c r="K94" s="148"/>
    </row>
    <row r="95" spans="8:11">
      <c r="H95" s="148"/>
      <c r="I95" s="148"/>
      <c r="J95" s="148"/>
      <c r="K95" s="148"/>
    </row>
    <row r="96" spans="8:11">
      <c r="H96" s="148"/>
      <c r="I96" s="148"/>
      <c r="J96" s="148"/>
      <c r="K96" s="148"/>
    </row>
  </sheetData>
  <mergeCells count="23">
    <mergeCell ref="H36:K36"/>
    <mergeCell ref="H30:K30"/>
    <mergeCell ref="H31:K31"/>
    <mergeCell ref="H32:K32"/>
    <mergeCell ref="H33:K33"/>
    <mergeCell ref="H26:K26"/>
    <mergeCell ref="H27:K27"/>
    <mergeCell ref="H28:K28"/>
    <mergeCell ref="H29:K29"/>
    <mergeCell ref="H34:K34"/>
    <mergeCell ref="H35:K35"/>
    <mergeCell ref="H20:K20"/>
    <mergeCell ref="H21:K21"/>
    <mergeCell ref="H22:K22"/>
    <mergeCell ref="H23:K23"/>
    <mergeCell ref="H24:K24"/>
    <mergeCell ref="H25:K25"/>
    <mergeCell ref="H14:K14"/>
    <mergeCell ref="H15:K15"/>
    <mergeCell ref="H16:K16"/>
    <mergeCell ref="H17:K17"/>
    <mergeCell ref="H18:K18"/>
    <mergeCell ref="H19:K19"/>
  </mergeCells>
  <phoneticPr fontId="33" type="noConversion"/>
  <pageMargins left="0.7" right="0.7" top="0.75" bottom="0.75" header="0.3" footer="0.3"/>
  <pageSetup orientation="portrait" horizontalDpi="4294967293" r:id="rId1"/>
  <legacyDrawing r:id="rId2"/>
</worksheet>
</file>

<file path=xl/worksheets/sheet9.xml><?xml version="1.0" encoding="utf-8"?>
<worksheet xmlns="http://schemas.openxmlformats.org/spreadsheetml/2006/main" xmlns:r="http://schemas.openxmlformats.org/officeDocument/2006/relationships">
  <sheetPr codeName="Sheet8"/>
  <dimension ref="A1:AI77"/>
  <sheetViews>
    <sheetView zoomScale="70" zoomScaleNormal="70" workbookViewId="0">
      <selection activeCell="O21" sqref="O21"/>
    </sheetView>
  </sheetViews>
  <sheetFormatPr defaultRowHeight="12.75"/>
  <cols>
    <col min="4" max="4" width="28.140625" customWidth="1"/>
    <col min="5" max="5" width="36.5703125" bestFit="1" customWidth="1"/>
    <col min="12" max="12" width="9.5703125" bestFit="1" customWidth="1"/>
    <col min="14" max="14" width="15" bestFit="1" customWidth="1"/>
    <col min="15" max="17" width="13.42578125" bestFit="1" customWidth="1"/>
    <col min="18" max="20" width="15" bestFit="1" customWidth="1"/>
    <col min="26" max="26" width="12.42578125" style="65" customWidth="1"/>
    <col min="27" max="27" width="16.85546875" style="65" customWidth="1"/>
    <col min="28" max="35" width="9.140625" style="65"/>
  </cols>
  <sheetData>
    <row r="1" spans="1:20">
      <c r="A1" s="57" t="s">
        <v>509</v>
      </c>
      <c r="B1">
        <f ca="1">uxb_works!B21</f>
        <v>12</v>
      </c>
    </row>
    <row r="2" spans="1:20">
      <c r="A2" s="57" t="s">
        <v>511</v>
      </c>
      <c r="B2" t="str">
        <f ca="1">uxb_works!B22</f>
        <v>Mexico</v>
      </c>
    </row>
    <row r="3" spans="1:20">
      <c r="A3" s="57"/>
      <c r="H3" s="6" t="s">
        <v>651</v>
      </c>
    </row>
    <row r="4" spans="1:20">
      <c r="L4">
        <f>B1</f>
        <v>12</v>
      </c>
      <c r="N4">
        <v>47</v>
      </c>
      <c r="O4">
        <v>37</v>
      </c>
      <c r="P4">
        <v>51</v>
      </c>
      <c r="Q4">
        <v>5</v>
      </c>
      <c r="R4">
        <v>48</v>
      </c>
      <c r="S4">
        <v>50</v>
      </c>
      <c r="T4">
        <v>49</v>
      </c>
    </row>
    <row r="5" spans="1:20">
      <c r="B5" s="57" t="s">
        <v>646</v>
      </c>
      <c r="D5" s="57" t="s">
        <v>650</v>
      </c>
      <c r="H5" s="57" t="s">
        <v>647</v>
      </c>
      <c r="I5" s="57" t="s">
        <v>648</v>
      </c>
      <c r="J5" s="57" t="s">
        <v>649</v>
      </c>
      <c r="K5" s="57"/>
      <c r="L5" t="str">
        <f>B2</f>
        <v>Mexico</v>
      </c>
      <c r="N5" t="e">
        <f t="shared" ref="N5:T5" ca="1" si="0">INDEX(cityName,N4)</f>
        <v>#REF!</v>
      </c>
      <c r="O5" t="e">
        <f t="shared" ca="1" si="0"/>
        <v>#REF!</v>
      </c>
      <c r="P5" t="e">
        <f t="shared" ca="1" si="0"/>
        <v>#REF!</v>
      </c>
      <c r="Q5">
        <f t="shared" ca="1" si="0"/>
        <v>0</v>
      </c>
      <c r="R5" t="e">
        <f t="shared" ca="1" si="0"/>
        <v>#REF!</v>
      </c>
      <c r="S5" t="e">
        <f t="shared" ca="1" si="0"/>
        <v>#REF!</v>
      </c>
      <c r="T5" t="e">
        <f t="shared" ca="1" si="0"/>
        <v>#REF!</v>
      </c>
    </row>
    <row r="6" spans="1:20">
      <c r="B6" s="33" t="str">
        <f ca="1">tblSections!A2</f>
        <v>TOTL</v>
      </c>
      <c r="C6">
        <f t="shared" ref="C6:C13" ca="1" si="1">MATCH(B6,score_indicode,0)</f>
        <v>1</v>
      </c>
      <c r="D6">
        <f t="shared" ref="D6:D13" ca="1" si="2">MATCH(B6,indi_code,0)</f>
        <v>1</v>
      </c>
      <c r="E6" t="str">
        <f t="shared" ref="E6:E13" ca="1" si="3">INDEX(indi_short,D6)</f>
        <v>OVERALL SCORE</v>
      </c>
      <c r="F6" s="14">
        <f t="shared" ref="F6:F13" ca="1" si="4">INDEX(scores,C6,$B$1)</f>
        <v>44.586262953078325</v>
      </c>
      <c r="G6" s="27">
        <f t="shared" ref="G6:G13" ca="1" si="5">RANK(F6,(OFFSET(scores,$C6-1,0,1,100)))</f>
        <v>4</v>
      </c>
      <c r="H6" s="4" t="s">
        <v>641</v>
      </c>
      <c r="I6" t="e">
        <f t="shared" ref="I6:I15" ca="1" si="6">MATCH(H6,score_indicode,0)</f>
        <v>#N/A</v>
      </c>
      <c r="J6">
        <f t="shared" ref="J6:J15" ca="1" si="7">MATCH(H6,indi_code,0)</f>
        <v>34</v>
      </c>
      <c r="K6" t="str">
        <f t="shared" ref="K6:K15" ca="1" si="8">INDEX(indi_short,J6)</f>
        <v>Fairness of judicial process</v>
      </c>
      <c r="L6" t="e">
        <f t="shared" ref="L6:L15" ca="1" si="9">INDEX(data,$I6,L$4)</f>
        <v>#N/A</v>
      </c>
      <c r="N6" s="48" t="e">
        <f t="shared" ref="N6:T15" ca="1" si="10">INDEX(data,$I6,N$4)</f>
        <v>#N/A</v>
      </c>
      <c r="O6" s="48" t="e">
        <f t="shared" ca="1" si="10"/>
        <v>#N/A</v>
      </c>
      <c r="P6" s="48" t="e">
        <f t="shared" ca="1" si="10"/>
        <v>#N/A</v>
      </c>
      <c r="Q6" s="48" t="e">
        <f t="shared" ca="1" si="10"/>
        <v>#N/A</v>
      </c>
      <c r="R6" s="48" t="e">
        <f t="shared" ca="1" si="10"/>
        <v>#N/A</v>
      </c>
      <c r="S6" s="48" t="e">
        <f t="shared" ca="1" si="10"/>
        <v>#N/A</v>
      </c>
      <c r="T6" s="48" t="e">
        <f t="shared" ca="1" si="10"/>
        <v>#N/A</v>
      </c>
    </row>
    <row r="7" spans="1:20">
      <c r="B7" s="33" t="str">
        <f ca="1">tblSections!A3</f>
        <v>LEGF</v>
      </c>
      <c r="C7">
        <f t="shared" ca="1" si="1"/>
        <v>2</v>
      </c>
      <c r="D7">
        <f t="shared" ca="1" si="2"/>
        <v>2</v>
      </c>
      <c r="E7" t="str">
        <f t="shared" ca="1" si="3"/>
        <v>Legal and regulatory framework</v>
      </c>
      <c r="F7" s="14">
        <f t="shared" ca="1" si="4"/>
        <v>38.888888888888886</v>
      </c>
      <c r="G7" s="27">
        <f t="shared" ca="1" si="5"/>
        <v>5</v>
      </c>
      <c r="H7" s="4" t="s">
        <v>541</v>
      </c>
      <c r="I7" t="e">
        <f t="shared" ca="1" si="6"/>
        <v>#N/A</v>
      </c>
      <c r="J7" t="e">
        <f t="shared" ca="1" si="7"/>
        <v>#N/A</v>
      </c>
      <c r="K7" t="e">
        <f t="shared" ca="1" si="8"/>
        <v>#N/A</v>
      </c>
      <c r="L7" t="e">
        <f t="shared" ca="1" si="9"/>
        <v>#N/A</v>
      </c>
      <c r="N7" t="e">
        <f t="shared" ca="1" si="10"/>
        <v>#N/A</v>
      </c>
      <c r="O7" t="e">
        <f t="shared" ca="1" si="10"/>
        <v>#N/A</v>
      </c>
      <c r="P7" t="e">
        <f t="shared" ca="1" si="10"/>
        <v>#N/A</v>
      </c>
      <c r="Q7" t="e">
        <f t="shared" ca="1" si="10"/>
        <v>#N/A</v>
      </c>
      <c r="R7" t="e">
        <f t="shared" ca="1" si="10"/>
        <v>#N/A</v>
      </c>
      <c r="S7" t="e">
        <f t="shared" ca="1" si="10"/>
        <v>#N/A</v>
      </c>
      <c r="T7" t="e">
        <f t="shared" ca="1" si="10"/>
        <v>#N/A</v>
      </c>
    </row>
    <row r="8" spans="1:20">
      <c r="B8" s="33" t="str">
        <f ca="1">tblSections!A4</f>
        <v>INST</v>
      </c>
      <c r="C8">
        <f t="shared" ca="1" si="1"/>
        <v>7</v>
      </c>
      <c r="D8">
        <f t="shared" ca="1" si="2"/>
        <v>7</v>
      </c>
      <c r="E8" t="str">
        <f t="shared" ca="1" si="3"/>
        <v>Institutional framework</v>
      </c>
      <c r="F8" s="14">
        <f t="shared" ca="1" si="4"/>
        <v>37.5</v>
      </c>
      <c r="G8" s="27">
        <f t="shared" ca="1" si="5"/>
        <v>4</v>
      </c>
      <c r="H8" s="4" t="s">
        <v>643</v>
      </c>
      <c r="I8" t="e">
        <f t="shared" ca="1" si="6"/>
        <v>#N/A</v>
      </c>
      <c r="J8">
        <f t="shared" ca="1" si="7"/>
        <v>35</v>
      </c>
      <c r="K8" t="str">
        <f t="shared" ca="1" si="8"/>
        <v>Speediness of judicial process</v>
      </c>
      <c r="L8" t="e">
        <f t="shared" ca="1" si="9"/>
        <v>#N/A</v>
      </c>
      <c r="N8" t="e">
        <f t="shared" ca="1" si="10"/>
        <v>#N/A</v>
      </c>
      <c r="O8" t="e">
        <f t="shared" ca="1" si="10"/>
        <v>#N/A</v>
      </c>
      <c r="P8" t="e">
        <f t="shared" ca="1" si="10"/>
        <v>#N/A</v>
      </c>
      <c r="Q8" t="e">
        <f t="shared" ca="1" si="10"/>
        <v>#N/A</v>
      </c>
      <c r="R8" t="e">
        <f t="shared" ca="1" si="10"/>
        <v>#N/A</v>
      </c>
      <c r="S8" t="e">
        <f t="shared" ca="1" si="10"/>
        <v>#N/A</v>
      </c>
      <c r="T8" t="e">
        <f t="shared" ca="1" si="10"/>
        <v>#N/A</v>
      </c>
    </row>
    <row r="9" spans="1:20">
      <c r="B9" s="33" t="str">
        <f ca="1">tblSections!A5</f>
        <v>OPER</v>
      </c>
      <c r="C9">
        <f t="shared" ca="1" si="1"/>
        <v>10</v>
      </c>
      <c r="D9">
        <f t="shared" ca="1" si="2"/>
        <v>10</v>
      </c>
      <c r="E9" t="str">
        <f t="shared" ca="1" si="3"/>
        <v>Operational maturity</v>
      </c>
      <c r="F9" s="14">
        <f t="shared" ca="1" si="4"/>
        <v>54.061699948796729</v>
      </c>
      <c r="G9" s="27">
        <f t="shared" ca="1" si="5"/>
        <v>6</v>
      </c>
      <c r="H9" s="4" t="s">
        <v>540</v>
      </c>
      <c r="I9" t="e">
        <f t="shared" ca="1" si="6"/>
        <v>#N/A</v>
      </c>
      <c r="J9" t="e">
        <f t="shared" ca="1" si="7"/>
        <v>#N/A</v>
      </c>
      <c r="K9" t="e">
        <f t="shared" ca="1" si="8"/>
        <v>#N/A</v>
      </c>
      <c r="L9" t="e">
        <f t="shared" ca="1" si="9"/>
        <v>#N/A</v>
      </c>
      <c r="N9" t="e">
        <f t="shared" ca="1" si="10"/>
        <v>#N/A</v>
      </c>
      <c r="O9" t="e">
        <f t="shared" ca="1" si="10"/>
        <v>#N/A</v>
      </c>
      <c r="P9" t="e">
        <f t="shared" ca="1" si="10"/>
        <v>#N/A</v>
      </c>
      <c r="Q9" t="e">
        <f t="shared" ca="1" si="10"/>
        <v>#N/A</v>
      </c>
      <c r="R9" t="e">
        <f t="shared" ca="1" si="10"/>
        <v>#N/A</v>
      </c>
      <c r="S9" t="e">
        <f t="shared" ca="1" si="10"/>
        <v>#N/A</v>
      </c>
      <c r="T9" t="e">
        <f t="shared" ca="1" si="10"/>
        <v>#N/A</v>
      </c>
    </row>
    <row r="10" spans="1:20">
      <c r="B10" s="33" t="str">
        <f ca="1">tblSections!A6</f>
        <v>INVT</v>
      </c>
      <c r="C10">
        <f t="shared" ca="1" si="1"/>
        <v>16</v>
      </c>
      <c r="D10">
        <f t="shared" ca="1" si="2"/>
        <v>16</v>
      </c>
      <c r="E10" t="str">
        <f t="shared" ca="1" si="3"/>
        <v>Investment climate</v>
      </c>
      <c r="F10" s="14">
        <f t="shared" ca="1" si="4"/>
        <v>65.144555625543859</v>
      </c>
      <c r="G10" s="27">
        <f t="shared" ca="1" si="5"/>
        <v>5</v>
      </c>
      <c r="H10" s="4" t="s">
        <v>543</v>
      </c>
      <c r="I10" t="e">
        <f t="shared" ca="1" si="6"/>
        <v>#N/A</v>
      </c>
      <c r="J10" t="e">
        <f t="shared" ca="1" si="7"/>
        <v>#N/A</v>
      </c>
      <c r="K10" t="e">
        <f t="shared" ca="1" si="8"/>
        <v>#N/A</v>
      </c>
      <c r="L10" t="e">
        <f t="shared" ca="1" si="9"/>
        <v>#N/A</v>
      </c>
      <c r="N10" t="e">
        <f t="shared" ca="1" si="10"/>
        <v>#N/A</v>
      </c>
      <c r="O10" t="e">
        <f t="shared" ca="1" si="10"/>
        <v>#N/A</v>
      </c>
      <c r="P10" t="e">
        <f t="shared" ca="1" si="10"/>
        <v>#N/A</v>
      </c>
      <c r="Q10" t="e">
        <f t="shared" ca="1" si="10"/>
        <v>#N/A</v>
      </c>
      <c r="R10" t="e">
        <f t="shared" ca="1" si="10"/>
        <v>#N/A</v>
      </c>
      <c r="S10" t="e">
        <f t="shared" ca="1" si="10"/>
        <v>#N/A</v>
      </c>
      <c r="T10" t="e">
        <f t="shared" ca="1" si="10"/>
        <v>#N/A</v>
      </c>
    </row>
    <row r="11" spans="1:20">
      <c r="B11" s="33" t="str">
        <f ca="1">tblSections!A7</f>
        <v>FINC</v>
      </c>
      <c r="C11">
        <f t="shared" ca="1" si="1"/>
        <v>20</v>
      </c>
      <c r="D11">
        <f t="shared" ca="1" si="2"/>
        <v>20</v>
      </c>
      <c r="E11" t="str">
        <f t="shared" ca="1" si="3"/>
        <v>Financial facilities</v>
      </c>
      <c r="F11" s="14">
        <f t="shared" ca="1" si="4"/>
        <v>66.666666666666671</v>
      </c>
      <c r="G11" s="27">
        <f t="shared" ca="1" si="5"/>
        <v>2</v>
      </c>
      <c r="H11" s="4" t="s">
        <v>544</v>
      </c>
      <c r="I11" t="e">
        <f t="shared" ca="1" si="6"/>
        <v>#N/A</v>
      </c>
      <c r="J11" t="e">
        <f t="shared" ca="1" si="7"/>
        <v>#N/A</v>
      </c>
      <c r="K11" t="e">
        <f t="shared" ca="1" si="8"/>
        <v>#N/A</v>
      </c>
      <c r="L11" t="e">
        <f t="shared" ca="1" si="9"/>
        <v>#N/A</v>
      </c>
      <c r="N11" t="e">
        <f t="shared" ca="1" si="10"/>
        <v>#N/A</v>
      </c>
      <c r="O11" t="e">
        <f t="shared" ca="1" si="10"/>
        <v>#N/A</v>
      </c>
      <c r="P11" t="e">
        <f t="shared" ca="1" si="10"/>
        <v>#N/A</v>
      </c>
      <c r="Q11" t="e">
        <f t="shared" ca="1" si="10"/>
        <v>#N/A</v>
      </c>
      <c r="R11" t="e">
        <f t="shared" ca="1" si="10"/>
        <v>#N/A</v>
      </c>
      <c r="S11" t="e">
        <f t="shared" ca="1" si="10"/>
        <v>#N/A</v>
      </c>
      <c r="T11" t="e">
        <f t="shared" ca="1" si="10"/>
        <v>#N/A</v>
      </c>
    </row>
    <row r="12" spans="1:20">
      <c r="B12" s="33">
        <f ca="1">tblSections!A8</f>
        <v>0</v>
      </c>
      <c r="C12" t="e">
        <f t="shared" ca="1" si="1"/>
        <v>#N/A</v>
      </c>
      <c r="D12" t="e">
        <f t="shared" ca="1" si="2"/>
        <v>#N/A</v>
      </c>
      <c r="E12" t="e">
        <f t="shared" ca="1" si="3"/>
        <v>#N/A</v>
      </c>
      <c r="F12" s="14" t="e">
        <f t="shared" ca="1" si="4"/>
        <v>#N/A</v>
      </c>
      <c r="G12" s="27" t="e">
        <f t="shared" ca="1" si="5"/>
        <v>#N/A</v>
      </c>
      <c r="H12" s="4" t="s">
        <v>545</v>
      </c>
      <c r="I12" t="e">
        <f t="shared" ca="1" si="6"/>
        <v>#N/A</v>
      </c>
      <c r="J12" t="e">
        <f t="shared" ca="1" si="7"/>
        <v>#N/A</v>
      </c>
      <c r="K12" t="e">
        <f t="shared" ca="1" si="8"/>
        <v>#N/A</v>
      </c>
      <c r="L12" t="e">
        <f t="shared" ca="1" si="9"/>
        <v>#N/A</v>
      </c>
      <c r="N12" t="e">
        <f t="shared" ca="1" si="10"/>
        <v>#N/A</v>
      </c>
      <c r="O12" t="e">
        <f t="shared" ca="1" si="10"/>
        <v>#N/A</v>
      </c>
      <c r="P12" t="e">
        <f t="shared" ca="1" si="10"/>
        <v>#N/A</v>
      </c>
      <c r="Q12" t="e">
        <f t="shared" ca="1" si="10"/>
        <v>#N/A</v>
      </c>
      <c r="R12" t="e">
        <f t="shared" ca="1" si="10"/>
        <v>#N/A</v>
      </c>
      <c r="S12" t="e">
        <f t="shared" ca="1" si="10"/>
        <v>#N/A</v>
      </c>
      <c r="T12" t="e">
        <f t="shared" ca="1" si="10"/>
        <v>#N/A</v>
      </c>
    </row>
    <row r="13" spans="1:20">
      <c r="B13" s="33">
        <f ca="1">tblSections!A9</f>
        <v>0</v>
      </c>
      <c r="C13" t="e">
        <f t="shared" ca="1" si="1"/>
        <v>#N/A</v>
      </c>
      <c r="D13" t="e">
        <f t="shared" ca="1" si="2"/>
        <v>#N/A</v>
      </c>
      <c r="E13" t="e">
        <f t="shared" ca="1" si="3"/>
        <v>#N/A</v>
      </c>
      <c r="F13" s="14" t="e">
        <f t="shared" ca="1" si="4"/>
        <v>#N/A</v>
      </c>
      <c r="G13" s="27" t="e">
        <f t="shared" ca="1" si="5"/>
        <v>#N/A</v>
      </c>
      <c r="H13" s="4" t="s">
        <v>546</v>
      </c>
      <c r="I13" t="e">
        <f t="shared" ca="1" si="6"/>
        <v>#N/A</v>
      </c>
      <c r="J13" t="e">
        <f t="shared" ca="1" si="7"/>
        <v>#N/A</v>
      </c>
      <c r="K13" t="e">
        <f t="shared" ca="1" si="8"/>
        <v>#N/A</v>
      </c>
      <c r="L13" t="e">
        <f t="shared" ca="1" si="9"/>
        <v>#N/A</v>
      </c>
      <c r="N13" t="e">
        <f t="shared" ca="1" si="10"/>
        <v>#N/A</v>
      </c>
      <c r="O13" t="e">
        <f t="shared" ca="1" si="10"/>
        <v>#N/A</v>
      </c>
      <c r="P13" t="e">
        <f t="shared" ca="1" si="10"/>
        <v>#N/A</v>
      </c>
      <c r="Q13" t="e">
        <f t="shared" ca="1" si="10"/>
        <v>#N/A</v>
      </c>
      <c r="R13" t="e">
        <f t="shared" ca="1" si="10"/>
        <v>#N/A</v>
      </c>
      <c r="S13" t="e">
        <f t="shared" ca="1" si="10"/>
        <v>#N/A</v>
      </c>
      <c r="T13" t="e">
        <f t="shared" ca="1" si="10"/>
        <v>#N/A</v>
      </c>
    </row>
    <row r="14" spans="1:20">
      <c r="B14" s="6"/>
      <c r="H14" s="4" t="s">
        <v>547</v>
      </c>
      <c r="I14" t="e">
        <f t="shared" ca="1" si="6"/>
        <v>#N/A</v>
      </c>
      <c r="J14" t="e">
        <f t="shared" ca="1" si="7"/>
        <v>#N/A</v>
      </c>
      <c r="K14" t="e">
        <f t="shared" ca="1" si="8"/>
        <v>#N/A</v>
      </c>
      <c r="L14" t="e">
        <f t="shared" ca="1" si="9"/>
        <v>#N/A</v>
      </c>
      <c r="N14" t="e">
        <f t="shared" ca="1" si="10"/>
        <v>#N/A</v>
      </c>
      <c r="O14" t="e">
        <f t="shared" ca="1" si="10"/>
        <v>#N/A</v>
      </c>
      <c r="P14" t="e">
        <f t="shared" ca="1" si="10"/>
        <v>#N/A</v>
      </c>
      <c r="Q14" t="e">
        <f t="shared" ca="1" si="10"/>
        <v>#N/A</v>
      </c>
      <c r="R14" t="e">
        <f t="shared" ca="1" si="10"/>
        <v>#N/A</v>
      </c>
      <c r="S14" t="e">
        <f t="shared" ca="1" si="10"/>
        <v>#N/A</v>
      </c>
      <c r="T14" t="e">
        <f t="shared" ca="1" si="10"/>
        <v>#N/A</v>
      </c>
    </row>
    <row r="15" spans="1:20">
      <c r="H15" s="4" t="s">
        <v>542</v>
      </c>
      <c r="I15" t="e">
        <f t="shared" ca="1" si="6"/>
        <v>#N/A</v>
      </c>
      <c r="J15" t="e">
        <f t="shared" ca="1" si="7"/>
        <v>#N/A</v>
      </c>
      <c r="K15" t="e">
        <f t="shared" ca="1" si="8"/>
        <v>#N/A</v>
      </c>
      <c r="L15" t="e">
        <f t="shared" ca="1" si="9"/>
        <v>#N/A</v>
      </c>
      <c r="N15" t="e">
        <f t="shared" ca="1" si="10"/>
        <v>#N/A</v>
      </c>
      <c r="O15" t="e">
        <f t="shared" ca="1" si="10"/>
        <v>#N/A</v>
      </c>
      <c r="P15" t="e">
        <f t="shared" ca="1" si="10"/>
        <v>#N/A</v>
      </c>
      <c r="Q15" t="e">
        <f t="shared" ca="1" si="10"/>
        <v>#N/A</v>
      </c>
      <c r="R15" t="e">
        <f t="shared" ca="1" si="10"/>
        <v>#N/A</v>
      </c>
      <c r="S15" t="e">
        <f t="shared" ca="1" si="10"/>
        <v>#N/A</v>
      </c>
      <c r="T15" t="e">
        <f t="shared" ca="1" si="10"/>
        <v>#N/A</v>
      </c>
    </row>
    <row r="17" spans="1:35">
      <c r="A17" s="27"/>
      <c r="B17" s="27"/>
      <c r="C17" s="27"/>
      <c r="D17" s="27"/>
      <c r="E17" s="27"/>
      <c r="F17" s="27"/>
      <c r="G17" s="61" t="s">
        <v>652</v>
      </c>
      <c r="H17" s="61" t="s">
        <v>653</v>
      </c>
      <c r="I17" s="61" t="s">
        <v>550</v>
      </c>
      <c r="J17" s="27"/>
      <c r="K17" s="27"/>
      <c r="L17" s="27"/>
      <c r="M17" s="27"/>
      <c r="N17" s="27"/>
      <c r="O17" s="61" t="s">
        <v>654</v>
      </c>
      <c r="P17" s="61"/>
      <c r="Q17" s="61" t="s">
        <v>644</v>
      </c>
      <c r="R17" s="27"/>
      <c r="S17" s="27"/>
      <c r="T17" s="27"/>
      <c r="U17" s="27"/>
      <c r="V17" s="27"/>
      <c r="W17" s="62" t="s">
        <v>655</v>
      </c>
      <c r="X17" s="62"/>
      <c r="Y17" s="62"/>
      <c r="Z17" s="62"/>
      <c r="AA17" s="62"/>
      <c r="AB17" s="62"/>
    </row>
    <row r="18" spans="1:35">
      <c r="A18" s="27">
        <f ca="1">tblIndicators!C2</f>
        <v>0</v>
      </c>
      <c r="B18" s="27" t="str">
        <f ca="1">tblIndicators!A2</f>
        <v>TOTL</v>
      </c>
      <c r="C18" s="27">
        <f ca="1">MATCH(B18,score_indicode,0)</f>
        <v>1</v>
      </c>
      <c r="D18" s="27" t="str">
        <f ca="1">IF(A18=2,tblIndicators!H2,"")</f>
        <v/>
      </c>
      <c r="E18" s="27">
        <f t="shared" ref="E18:E24" ca="1" si="11">INDEX(scores,C18,$B$1)</f>
        <v>44.586262953078325</v>
      </c>
      <c r="F18" s="27"/>
      <c r="G18" s="63" t="str">
        <f t="shared" ref="G18:G24" si="12">IF(E18&lt;=100/3,D18,"")</f>
        <v/>
      </c>
      <c r="H18" s="63" t="str">
        <f t="shared" ref="H18:H26" si="13">IF(AND(E18&gt;100/3,E18&lt;200/3),D18,"")</f>
        <v/>
      </c>
      <c r="I18" s="63" t="str">
        <f t="shared" ref="I18:I26" si="14">IF(E18&gt;=200/3,D18,"")</f>
        <v/>
      </c>
      <c r="J18" s="27"/>
      <c r="K18" s="27"/>
      <c r="L18" s="66" t="s">
        <v>656</v>
      </c>
      <c r="M18" s="27"/>
      <c r="N18" s="27"/>
      <c r="O18" s="27"/>
      <c r="P18" s="27"/>
      <c r="Q18" s="27"/>
      <c r="R18" s="63" t="e">
        <f>IF(ISERROR(L18),"",INDEX(G18:G$67,L18))</f>
        <v>#VALUE!</v>
      </c>
      <c r="S18" s="63" t="str">
        <f>IF(ISERROR(M18),"",INDEX(H18:H$67,M18))</f>
        <v/>
      </c>
      <c r="T18" s="63" t="str">
        <f>IF(ISERROR(N18),"",INDEX(I18:I$67,N18))</f>
        <v/>
      </c>
      <c r="U18" s="27"/>
      <c r="V18" s="27"/>
      <c r="W18" s="62"/>
      <c r="X18" s="62"/>
      <c r="Y18" s="62"/>
      <c r="Z18" s="62"/>
      <c r="AA18" s="62"/>
      <c r="AB18" s="62"/>
    </row>
    <row r="19" spans="1:35" s="134" customFormat="1">
      <c r="A19" s="132">
        <f ca="1">tblIndicators!C3</f>
        <v>1</v>
      </c>
      <c r="B19" s="132" t="str">
        <f ca="1">tblIndicators!A3</f>
        <v>LEGF</v>
      </c>
      <c r="C19" s="132">
        <f ca="1">MATCH(B19,score_indicode,0)</f>
        <v>2</v>
      </c>
      <c r="D19" s="132" t="str">
        <f ca="1">tblIndicators!H3</f>
        <v>Legal and regulatory framework</v>
      </c>
      <c r="E19" s="132">
        <f t="shared" ca="1" si="11"/>
        <v>38.888888888888886</v>
      </c>
      <c r="F19" s="132"/>
      <c r="G19" s="133" t="str">
        <f t="shared" si="12"/>
        <v/>
      </c>
      <c r="H19" s="133" t="str">
        <f t="shared" si="13"/>
        <v>Legal and regulatory framework</v>
      </c>
      <c r="I19" s="133" t="str">
        <f t="shared" si="14"/>
        <v/>
      </c>
      <c r="J19" s="132"/>
      <c r="K19" s="132"/>
      <c r="L19" s="132"/>
      <c r="M19" s="132"/>
      <c r="N19" s="132"/>
      <c r="O19" s="132">
        <v>1</v>
      </c>
      <c r="P19" s="132">
        <f t="shared" ref="P19:P25" si="15">IF(Q19&lt;2,O19,IF(AND(R19="",S19="",T19=""),100000+O19,O19))</f>
        <v>1</v>
      </c>
      <c r="Q19" s="132">
        <f t="shared" ref="Q19:Q25" si="16">A19</f>
        <v>1</v>
      </c>
      <c r="R19" s="133" t="str">
        <f>D19</f>
        <v>Legal and regulatory framework</v>
      </c>
      <c r="S19" s="133"/>
      <c r="T19" s="133"/>
      <c r="U19" s="132"/>
      <c r="V19" s="132"/>
      <c r="W19" s="132">
        <f t="shared" ref="W19:W44" ca="1" si="17">RANK(P19,P$19:P$67,1)</f>
        <v>1</v>
      </c>
      <c r="X19" s="132">
        <f t="shared" ref="X19:X44" ca="1" si="18">MATCH(O19,W$19:W$67,0)</f>
        <v>1</v>
      </c>
      <c r="Y19" s="132">
        <f ca="1">OFFSET(Q$18,$X19,0)</f>
        <v>1</v>
      </c>
      <c r="Z19" s="62" t="str">
        <f ca="1">IF(OFFSET(R$18,$X19,0)="","",OFFSET(R$18,$X19,0))</f>
        <v>Legal and regulatory framework</v>
      </c>
      <c r="AA19" s="62" t="str">
        <f ca="1">IF(OFFSET(S$18,$X19,0)="","",OFFSET(S$18,$X19,0))</f>
        <v/>
      </c>
      <c r="AB19" s="62" t="str">
        <f ca="1">IF(OFFSET(T$18,$X19,0)="","",OFFSET(T$18,$X19,0))</f>
        <v/>
      </c>
      <c r="AC19" s="65"/>
      <c r="AD19" s="65"/>
      <c r="AE19" s="65"/>
      <c r="AF19" s="65"/>
      <c r="AG19" s="65"/>
      <c r="AH19" s="65"/>
      <c r="AI19" s="65"/>
    </row>
    <row r="20" spans="1:35" s="65" customFormat="1">
      <c r="A20" s="62">
        <f ca="1">tblIndicators!C4</f>
        <v>2</v>
      </c>
      <c r="B20" s="62" t="str">
        <f ca="1">tblIndicators!A4</f>
        <v>LEGF01</v>
      </c>
      <c r="C20" s="62">
        <f t="shared" ref="C20:C44" ca="1" si="19">MATCH(B20,score_indicode,0)</f>
        <v>3</v>
      </c>
      <c r="D20" s="62" t="str">
        <f ca="1">tblIndicators!H4</f>
        <v>Consistency and quality of PPP regulations</v>
      </c>
      <c r="E20" s="62">
        <f t="shared" ca="1" si="11"/>
        <v>50</v>
      </c>
      <c r="F20" s="62"/>
      <c r="G20" s="64" t="str">
        <f t="shared" si="12"/>
        <v/>
      </c>
      <c r="H20" s="64" t="str">
        <f t="shared" si="13"/>
        <v>Consistency and quality of PPP regulations</v>
      </c>
      <c r="I20" s="64" t="str">
        <f t="shared" si="14"/>
        <v/>
      </c>
      <c r="J20" s="62"/>
      <c r="K20" s="62"/>
      <c r="L20" s="62" t="e">
        <f t="array" aca="1" ref="L20" ca="1">SMALL(IF(G20:G44="","",ROW()),ROW(INDIRECT("1:"&amp;COUNTA(G20:G44))))-(ROW()-1)</f>
        <v>#N/A</v>
      </c>
      <c r="M20" s="62" t="e">
        <f t="array" aca="1" ref="M20" ca="1">SMALL(IF(H20:H44="","",ROW()),ROW(INDIRECT("1:"&amp;COUNTA(H20:H44))))-(ROW()-1)</f>
        <v>#N/A</v>
      </c>
      <c r="N20" s="62" t="e">
        <f t="array" aca="1" ref="N20" ca="1">SMALL(IF(I20:I44="","",ROW()),ROW(INDIRECT("1:"&amp;COUNTA(I20:I44))))-(ROW()-1)</f>
        <v>#N/A</v>
      </c>
      <c r="O20" s="62">
        <v>2</v>
      </c>
      <c r="P20" s="62">
        <f t="shared" ca="1" si="15"/>
        <v>100002</v>
      </c>
      <c r="Q20" s="62">
        <f t="shared" si="16"/>
        <v>2</v>
      </c>
      <c r="R20" s="64" t="str">
        <f ca="1">IF(ISERROR(L20),"",INDEX(G20:G$69,L20))</f>
        <v/>
      </c>
      <c r="S20" s="64" t="str">
        <f ca="1">IF(ISERROR(M20),"",INDEX(H20:H$69,M20))</f>
        <v/>
      </c>
      <c r="T20" s="64" t="str">
        <f ca="1">IF(ISERROR(N20),"",INDEX(I20:I$69,N20))</f>
        <v/>
      </c>
      <c r="U20" s="62"/>
      <c r="V20" s="62"/>
      <c r="W20" s="62">
        <f t="shared" ca="1" si="17"/>
        <v>8</v>
      </c>
      <c r="X20" s="62">
        <f t="shared" ca="1" si="18"/>
        <v>6</v>
      </c>
      <c r="Y20" s="62">
        <f t="shared" ref="Y20:Y44" ca="1" si="20">OFFSET(Q$18,$X20,0)</f>
        <v>1</v>
      </c>
      <c r="Z20" s="62" t="str">
        <f t="shared" ref="Z20:Z44" ca="1" si="21">IF(OFFSET(R$18,$X20,0)="","",OFFSET(R$18,$X20,0))</f>
        <v/>
      </c>
      <c r="AA20" s="62" t="str">
        <f t="shared" ref="AA20:AA44" ca="1" si="22">IF(OFFSET(S$18,$X20,0)="","",OFFSET(S$18,$X20,0))</f>
        <v/>
      </c>
      <c r="AB20" s="62" t="str">
        <f t="shared" ref="AB20:AB44" ca="1" si="23">IF(OFFSET(T$18,$X20,0)="","",OFFSET(T$18,$X20,0))</f>
        <v/>
      </c>
    </row>
    <row r="21" spans="1:35" s="65" customFormat="1">
      <c r="A21" s="62">
        <f ca="1">tblIndicators!C5</f>
        <v>2</v>
      </c>
      <c r="B21" s="62" t="str">
        <f ca="1">tblIndicators!A5</f>
        <v>LEGF02</v>
      </c>
      <c r="C21" s="62">
        <f t="shared" ca="1" si="19"/>
        <v>4</v>
      </c>
      <c r="D21" s="62" t="str">
        <f ca="1">tblIndicators!H5</f>
        <v>Effective PPP selection and decision making</v>
      </c>
      <c r="E21" s="62">
        <f t="shared" ca="1" si="11"/>
        <v>25</v>
      </c>
      <c r="F21" s="62"/>
      <c r="G21" s="64" t="str">
        <f t="shared" si="12"/>
        <v>Effective PPP selection and decision making</v>
      </c>
      <c r="H21" s="64" t="str">
        <f t="shared" si="13"/>
        <v/>
      </c>
      <c r="I21" s="64" t="str">
        <f t="shared" si="14"/>
        <v/>
      </c>
      <c r="J21" s="62"/>
      <c r="K21" s="62"/>
      <c r="L21" s="62" t="e">
        <f t="array" aca="1" ref="L21" ca="1">SMALL(IF(G21:G45="","",ROW()),ROW(INDIRECT("1:"&amp;COUNTA(G21:G45))))-(ROW()-1)</f>
        <v>#N/A</v>
      </c>
      <c r="M21" s="62" t="e">
        <f t="array" aca="1" ref="M21" ca="1">SMALL(IF(H21:H45="","",ROW()),ROW(INDIRECT("1:"&amp;COUNTA(H21:H45))))-(ROW()-1)</f>
        <v>#N/A</v>
      </c>
      <c r="N21" s="62" t="e">
        <f t="array" aca="1" ref="N21" ca="1">SMALL(IF(I21:I45="","",ROW()),ROW(INDIRECT("1:"&amp;COUNTA(I21:I45))))-(ROW()-1)</f>
        <v>#N/A</v>
      </c>
      <c r="O21" s="62">
        <v>3</v>
      </c>
      <c r="P21" s="62">
        <f t="shared" ca="1" si="15"/>
        <v>100003</v>
      </c>
      <c r="Q21" s="62">
        <f t="shared" si="16"/>
        <v>2</v>
      </c>
      <c r="R21" s="64" t="str">
        <f ca="1">IF(ISERROR(L21),"",INDEX(G21:G$69,L21))</f>
        <v/>
      </c>
      <c r="S21" s="64" t="str">
        <f ca="1">IF(ISERROR(M21),"",INDEX(H21:H$69,M21))</f>
        <v/>
      </c>
      <c r="T21" s="64" t="str">
        <f ca="1">IF(ISERROR(N21),"",INDEX(I21:I$69,N21))</f>
        <v/>
      </c>
      <c r="U21" s="62"/>
      <c r="V21" s="62"/>
      <c r="W21" s="62">
        <f t="shared" ca="1" si="17"/>
        <v>9</v>
      </c>
      <c r="X21" s="62">
        <f t="shared" ca="1" si="18"/>
        <v>9</v>
      </c>
      <c r="Y21" s="62">
        <f t="shared" ca="1" si="20"/>
        <v>1</v>
      </c>
      <c r="Z21" s="62" t="str">
        <f t="shared" ca="1" si="21"/>
        <v/>
      </c>
      <c r="AA21" s="62" t="str">
        <f t="shared" ca="1" si="22"/>
        <v/>
      </c>
      <c r="AB21" s="62" t="str">
        <f t="shared" ca="1" si="23"/>
        <v/>
      </c>
    </row>
    <row r="22" spans="1:35" s="65" customFormat="1">
      <c r="A22" s="62">
        <f ca="1">tblIndicators!C6</f>
        <v>2</v>
      </c>
      <c r="B22" s="62" t="str">
        <f ca="1">tblIndicators!A6</f>
        <v>LEGF03</v>
      </c>
      <c r="C22" s="62">
        <f t="shared" ca="1" si="19"/>
        <v>5</v>
      </c>
      <c r="D22" s="62" t="str">
        <f ca="1">tblIndicators!H6</f>
        <v>Fairness/openness of bids, contract changes</v>
      </c>
      <c r="E22" s="62">
        <f t="shared" ca="1" si="11"/>
        <v>25</v>
      </c>
      <c r="F22" s="62"/>
      <c r="G22" s="64" t="str">
        <f t="shared" si="12"/>
        <v>Fairness/openness of bids, contract changes</v>
      </c>
      <c r="H22" s="64" t="str">
        <f t="shared" si="13"/>
        <v/>
      </c>
      <c r="I22" s="64" t="str">
        <f t="shared" si="14"/>
        <v/>
      </c>
      <c r="J22" s="62"/>
      <c r="K22" s="62"/>
      <c r="L22" s="62" t="e">
        <f t="array" aca="1" ref="L22" ca="1">SMALL(IF(G22:G46="","",ROW()),ROW(INDIRECT("1:"&amp;COUNTA(G22:G46))))-(ROW()-1)</f>
        <v>#N/A</v>
      </c>
      <c r="M22" s="62" t="e">
        <f t="array" aca="1" ref="M22" ca="1">SMALL(IF(H22:H46="","",ROW()),ROW(INDIRECT("1:"&amp;COUNTA(H22:H46))))-(ROW()-1)</f>
        <v>#N/A</v>
      </c>
      <c r="N22" s="62" t="e">
        <f t="array" aca="1" ref="N22" ca="1">SMALL(IF(I22:I46="","",ROW()),ROW(INDIRECT("1:"&amp;COUNTA(I22:I46))))-(ROW()-1)</f>
        <v>#N/A</v>
      </c>
      <c r="O22" s="62">
        <v>4</v>
      </c>
      <c r="P22" s="62">
        <f t="shared" ca="1" si="15"/>
        <v>100004</v>
      </c>
      <c r="Q22" s="62">
        <f t="shared" si="16"/>
        <v>2</v>
      </c>
      <c r="R22" s="64" t="str">
        <f ca="1">IF(ISERROR(L22),"",INDEX(G22:G$69,L22))</f>
        <v/>
      </c>
      <c r="S22" s="64" t="str">
        <f ca="1">IF(ISERROR(M22),"",INDEX(H22:H$69,M22))</f>
        <v/>
      </c>
      <c r="T22" s="64" t="str">
        <f ca="1">IF(ISERROR(N22),"",INDEX(I22:I$69,N22))</f>
        <v/>
      </c>
      <c r="U22" s="62"/>
      <c r="V22" s="62"/>
      <c r="W22" s="62">
        <f t="shared" ca="1" si="17"/>
        <v>10</v>
      </c>
      <c r="X22" s="62">
        <f t="shared" ca="1" si="18"/>
        <v>15</v>
      </c>
      <c r="Y22" s="62">
        <f t="shared" ca="1" si="20"/>
        <v>1</v>
      </c>
      <c r="Z22" s="62" t="str">
        <f t="shared" ca="1" si="21"/>
        <v/>
      </c>
      <c r="AA22" s="62" t="str">
        <f t="shared" ca="1" si="22"/>
        <v/>
      </c>
      <c r="AB22" s="62" t="str">
        <f t="shared" ca="1" si="23"/>
        <v/>
      </c>
    </row>
    <row r="23" spans="1:35" s="65" customFormat="1">
      <c r="A23" s="62">
        <f ca="1">tblIndicators!C7</f>
        <v>2</v>
      </c>
      <c r="B23" s="62" t="str">
        <f ca="1">tblIndicators!A7</f>
        <v>LEGF04</v>
      </c>
      <c r="C23" s="62">
        <f t="shared" ca="1" si="19"/>
        <v>6</v>
      </c>
      <c r="D23" s="62" t="str">
        <f ca="1">tblIndicators!H7</f>
        <v>Dispute resolution mechanisms</v>
      </c>
      <c r="E23" s="62">
        <f t="shared" ca="1" si="11"/>
        <v>50</v>
      </c>
      <c r="F23" s="62"/>
      <c r="G23" s="64" t="str">
        <f t="shared" si="12"/>
        <v/>
      </c>
      <c r="H23" s="64" t="str">
        <f t="shared" si="13"/>
        <v>Dispute resolution mechanisms</v>
      </c>
      <c r="I23" s="64" t="str">
        <f t="shared" si="14"/>
        <v/>
      </c>
      <c r="J23" s="62"/>
      <c r="K23" s="62"/>
      <c r="L23" s="62" t="e">
        <f t="array" aca="1" ref="L23" ca="1">SMALL(IF(G23:G47="","",ROW()),ROW(INDIRECT("1:"&amp;COUNTA(G23:G47))))-(ROW()-1)</f>
        <v>#N/A</v>
      </c>
      <c r="M23" s="62" t="e">
        <f t="array" aca="1" ref="M23" ca="1">SMALL(IF(H23:H47="","",ROW()),ROW(INDIRECT("1:"&amp;COUNTA(H23:H47))))-(ROW()-1)</f>
        <v>#N/A</v>
      </c>
      <c r="N23" s="62" t="e">
        <f t="array" aca="1" ref="N23" ca="1">SMALL(IF(I23:I47="","",ROW()),ROW(INDIRECT("1:"&amp;COUNTA(I23:I47))))-(ROW()-1)</f>
        <v>#N/A</v>
      </c>
      <c r="O23" s="62">
        <v>5</v>
      </c>
      <c r="P23" s="62">
        <f t="shared" ca="1" si="15"/>
        <v>100005</v>
      </c>
      <c r="Q23" s="62">
        <f t="shared" si="16"/>
        <v>2</v>
      </c>
      <c r="R23" s="64" t="str">
        <f ca="1">IF(ISERROR(L23),"",INDEX(G23:G$69,L23))</f>
        <v/>
      </c>
      <c r="S23" s="64" t="str">
        <f ca="1">IF(ISERROR(M23),"",INDEX(H23:H$69,M23))</f>
        <v/>
      </c>
      <c r="T23" s="64" t="str">
        <f ca="1">IF(ISERROR(N23),"",INDEX(I23:I$69,N23))</f>
        <v/>
      </c>
      <c r="U23" s="62"/>
      <c r="V23" s="62"/>
      <c r="W23" s="62">
        <f t="shared" ca="1" si="17"/>
        <v>11</v>
      </c>
      <c r="X23" s="62">
        <f t="shared" ca="1" si="18"/>
        <v>19</v>
      </c>
      <c r="Y23" s="62">
        <f t="shared" ca="1" si="20"/>
        <v>1</v>
      </c>
      <c r="Z23" s="62" t="str">
        <f t="shared" ca="1" si="21"/>
        <v/>
      </c>
      <c r="AA23" s="62" t="str">
        <f t="shared" ca="1" si="22"/>
        <v/>
      </c>
      <c r="AB23" s="62" t="str">
        <f t="shared" ca="1" si="23"/>
        <v/>
      </c>
    </row>
    <row r="24" spans="1:35" s="65" customFormat="1">
      <c r="A24" s="62">
        <f ca="1">tblIndicators!C8</f>
        <v>1</v>
      </c>
      <c r="B24" s="62" t="str">
        <f ca="1">tblIndicators!A8</f>
        <v>INST</v>
      </c>
      <c r="C24" s="62">
        <f t="shared" ca="1" si="19"/>
        <v>7</v>
      </c>
      <c r="D24" s="62" t="str">
        <f ca="1">tblIndicators!H8</f>
        <v>Institutional framework</v>
      </c>
      <c r="E24" s="62">
        <f t="shared" ca="1" si="11"/>
        <v>37.5</v>
      </c>
      <c r="F24" s="62"/>
      <c r="G24" s="64" t="str">
        <f t="shared" si="12"/>
        <v/>
      </c>
      <c r="H24" s="64" t="str">
        <f t="shared" si="13"/>
        <v>Institutional framework</v>
      </c>
      <c r="I24" s="64" t="str">
        <f t="shared" si="14"/>
        <v/>
      </c>
      <c r="J24" s="62"/>
      <c r="K24" s="62"/>
      <c r="L24" s="62" t="e">
        <f t="array" aca="1" ref="L24" ca="1">SMALL(IF(G24:G48="","",ROW()),ROW(INDIRECT("1:"&amp;COUNTA(G24:G48))))-(ROW()-1)</f>
        <v>#N/A</v>
      </c>
      <c r="M24" s="62" t="e">
        <f t="array" aca="1" ref="M24" ca="1">SMALL(IF(H24:H48="","",ROW()),ROW(INDIRECT("1:"&amp;COUNTA(H24:H48))))-(ROW()-1)</f>
        <v>#N/A</v>
      </c>
      <c r="N24" s="62" t="e">
        <f t="array" aca="1" ref="N24" ca="1">SMALL(IF(I24:I48="","",ROW()),ROW(INDIRECT("1:"&amp;COUNTA(I24:I48))))-(ROW()-1)</f>
        <v>#N/A</v>
      </c>
      <c r="O24" s="62">
        <v>6</v>
      </c>
      <c r="P24" s="62">
        <f t="shared" si="15"/>
        <v>6</v>
      </c>
      <c r="Q24" s="62">
        <f t="shared" si="16"/>
        <v>1</v>
      </c>
      <c r="R24" s="64" t="str">
        <f ca="1">IF(ISERROR(L24),"",INDEX(G24:G$69,L24))</f>
        <v/>
      </c>
      <c r="S24" s="64" t="str">
        <f ca="1">IF(ISERROR(M24),"",INDEX(H24:H$69,M24))</f>
        <v/>
      </c>
      <c r="T24" s="64" t="str">
        <f ca="1">IF(ISERROR(N24),"",INDEX(I24:I$69,N24))</f>
        <v/>
      </c>
      <c r="U24" s="62"/>
      <c r="V24" s="62"/>
      <c r="W24" s="62">
        <f t="shared" ca="1" si="17"/>
        <v>2</v>
      </c>
      <c r="X24" s="62">
        <f t="shared" ca="1" si="18"/>
        <v>24</v>
      </c>
      <c r="Y24" s="62">
        <f t="shared" ca="1" si="20"/>
        <v>1</v>
      </c>
      <c r="Z24" s="62" t="str">
        <f t="shared" ca="1" si="21"/>
        <v/>
      </c>
      <c r="AA24" s="62" t="str">
        <f t="shared" ca="1" si="22"/>
        <v/>
      </c>
      <c r="AB24" s="62" t="str">
        <f t="shared" ca="1" si="23"/>
        <v/>
      </c>
    </row>
    <row r="25" spans="1:35" s="65" customFormat="1">
      <c r="A25" s="62">
        <f ca="1">tblIndicators!C9</f>
        <v>2</v>
      </c>
      <c r="B25" s="62" t="str">
        <f ca="1">tblIndicators!A9</f>
        <v>INST01</v>
      </c>
      <c r="C25" s="62">
        <f t="shared" ca="1" si="19"/>
        <v>8</v>
      </c>
      <c r="D25" s="62" t="str">
        <f ca="1">tblIndicators!H9</f>
        <v>Quality of institutional design</v>
      </c>
      <c r="E25" s="62">
        <f t="shared" ref="E25:E44" ca="1" si="24">INDEX(scores,C25,$B$1)</f>
        <v>25</v>
      </c>
      <c r="F25" s="62"/>
      <c r="G25" s="64" t="str">
        <f t="shared" ref="G25:G44" si="25">IF(E25&lt;=100/3,D25,"")</f>
        <v>Quality of institutional design</v>
      </c>
      <c r="H25" s="64" t="str">
        <f t="shared" si="13"/>
        <v/>
      </c>
      <c r="I25" s="64" t="str">
        <f t="shared" si="14"/>
        <v/>
      </c>
      <c r="J25" s="62"/>
      <c r="K25" s="62"/>
      <c r="L25" s="62" t="e">
        <f t="array" aca="1" ref="L25" ca="1">SMALL(IF(G25:G49="","",ROW()),ROW(INDIRECT("1:"&amp;COUNTA(G25:G49))))-(ROW()-1)</f>
        <v>#N/A</v>
      </c>
      <c r="M25" s="62" t="e">
        <f t="array" aca="1" ref="M25" ca="1">SMALL(IF(H25:H49="","",ROW()),ROW(INDIRECT("1:"&amp;COUNTA(H25:H49))))-(ROW()-1)</f>
        <v>#N/A</v>
      </c>
      <c r="N25" s="62" t="e">
        <f t="array" aca="1" ref="N25" ca="1">SMALL(IF(I25:I49="","",ROW()),ROW(INDIRECT("1:"&amp;COUNTA(I25:I49))))-(ROW()-1)</f>
        <v>#N/A</v>
      </c>
      <c r="O25" s="62">
        <v>7</v>
      </c>
      <c r="P25" s="62">
        <f t="shared" ca="1" si="15"/>
        <v>100007</v>
      </c>
      <c r="Q25" s="62">
        <f t="shared" si="16"/>
        <v>2</v>
      </c>
      <c r="R25" s="64" t="str">
        <f ca="1">IF(ISERROR(L25),"",INDEX(G25:G$69,L25))</f>
        <v/>
      </c>
      <c r="S25" s="64" t="str">
        <f ca="1">IF(ISERROR(M25),"",INDEX(H25:H$69,M25))</f>
        <v/>
      </c>
      <c r="T25" s="64" t="str">
        <f ca="1">IF(ISERROR(N25),"",INDEX(I25:I$69,N25))</f>
        <v/>
      </c>
      <c r="U25" s="62"/>
      <c r="V25" s="62"/>
      <c r="W25" s="62">
        <f t="shared" ca="1" si="17"/>
        <v>12</v>
      </c>
      <c r="X25" s="62">
        <f t="shared" ca="1" si="18"/>
        <v>25</v>
      </c>
      <c r="Y25" s="62">
        <f t="shared" ca="1" si="20"/>
        <v>0</v>
      </c>
      <c r="Z25" s="62" t="str">
        <f t="shared" ca="1" si="21"/>
        <v/>
      </c>
      <c r="AA25" s="62" t="str">
        <f t="shared" ca="1" si="22"/>
        <v/>
      </c>
      <c r="AB25" s="62" t="str">
        <f t="shared" ca="1" si="23"/>
        <v/>
      </c>
    </row>
    <row r="26" spans="1:35" s="134" customFormat="1">
      <c r="A26" s="62">
        <f ca="1">tblIndicators!C10</f>
        <v>2</v>
      </c>
      <c r="B26" s="62" t="str">
        <f ca="1">tblIndicators!A10</f>
        <v>INST02</v>
      </c>
      <c r="C26" s="62">
        <f t="shared" ca="1" si="19"/>
        <v>9</v>
      </c>
      <c r="D26" s="62" t="str">
        <f ca="1">tblIndicators!H10</f>
        <v>PPP contract, hold-up and expropriation risk</v>
      </c>
      <c r="E26" s="62">
        <f t="shared" ca="1" si="24"/>
        <v>50</v>
      </c>
      <c r="F26" s="62"/>
      <c r="G26" s="64" t="str">
        <f t="shared" si="25"/>
        <v/>
      </c>
      <c r="H26" s="64" t="str">
        <f t="shared" si="13"/>
        <v>PPP contract, hold-up and expropriation risk</v>
      </c>
      <c r="I26" s="64" t="str">
        <f t="shared" si="14"/>
        <v/>
      </c>
      <c r="J26" s="62"/>
      <c r="K26" s="62"/>
      <c r="L26" s="62" t="e">
        <f t="array" aca="1" ref="L26" ca="1">SMALL(IF(G26:G50="","",ROW()),ROW(INDIRECT("1:"&amp;COUNTA(G26:G50))))-(ROW()-1)</f>
        <v>#N/A</v>
      </c>
      <c r="M26" s="62" t="e">
        <f t="array" aca="1" ref="M26" ca="1">SMALL(IF(H26:H50="","",ROW()),ROW(INDIRECT("1:"&amp;COUNTA(H26:H50))))-(ROW()-1)</f>
        <v>#N/A</v>
      </c>
      <c r="N26" s="62" t="e">
        <f t="array" aca="1" ref="N26" ca="1">SMALL(IF(I26:I50="","",ROW()),ROW(INDIRECT("1:"&amp;COUNTA(I26:I50))))-(ROW()-1)</f>
        <v>#N/A</v>
      </c>
      <c r="O26" s="62">
        <v>8</v>
      </c>
      <c r="P26" s="62">
        <f t="shared" ref="P26:P44" ca="1" si="26">IF(Q26&lt;2,O26,IF(AND(R26="",S26="",T26=""),100000+O26,O26))</f>
        <v>100008</v>
      </c>
      <c r="Q26" s="62">
        <f t="shared" ref="Q26:Q44" si="27">A26</f>
        <v>2</v>
      </c>
      <c r="R26" s="64" t="str">
        <f ca="1">IF(ISERROR(L26),"",INDEX(G26:G$69,L26))</f>
        <v/>
      </c>
      <c r="S26" s="64" t="str">
        <f ca="1">IF(ISERROR(M26),"",INDEX(H26:H$69,M26))</f>
        <v/>
      </c>
      <c r="T26" s="64" t="str">
        <f ca="1">IF(ISERROR(N26),"",INDEX(I26:I$69,N26))</f>
        <v/>
      </c>
      <c r="U26" s="62"/>
      <c r="V26" s="62"/>
      <c r="W26" s="132">
        <f t="shared" ca="1" si="17"/>
        <v>13</v>
      </c>
      <c r="X26" s="132">
        <f t="shared" ca="1" si="18"/>
        <v>2</v>
      </c>
      <c r="Y26" s="132">
        <f t="shared" ca="1" si="20"/>
        <v>2</v>
      </c>
      <c r="Z26" s="62" t="str">
        <f t="shared" ca="1" si="21"/>
        <v/>
      </c>
      <c r="AA26" s="62" t="str">
        <f t="shared" ca="1" si="22"/>
        <v/>
      </c>
      <c r="AB26" s="62" t="str">
        <f t="shared" ca="1" si="23"/>
        <v/>
      </c>
      <c r="AC26" s="65"/>
      <c r="AD26" s="65"/>
      <c r="AE26" s="65"/>
      <c r="AF26" s="65"/>
      <c r="AG26" s="65"/>
      <c r="AH26" s="65"/>
      <c r="AI26" s="65"/>
    </row>
    <row r="27" spans="1:35" s="65" customFormat="1">
      <c r="A27" s="62">
        <f ca="1">tblIndicators!C11</f>
        <v>1</v>
      </c>
      <c r="B27" s="62" t="str">
        <f ca="1">tblIndicators!A11</f>
        <v>OPER</v>
      </c>
      <c r="C27" s="62">
        <f t="shared" ca="1" si="19"/>
        <v>10</v>
      </c>
      <c r="D27" s="62" t="str">
        <f ca="1">tblIndicators!H11</f>
        <v>Operational maturity</v>
      </c>
      <c r="E27" s="62">
        <f t="shared" ca="1" si="24"/>
        <v>54.061699948796729</v>
      </c>
      <c r="F27" s="62"/>
      <c r="G27" s="64" t="str">
        <f t="shared" si="25"/>
        <v/>
      </c>
      <c r="H27" s="64" t="str">
        <f t="shared" ref="H27:H44" si="28">IF(AND(E27&gt;100/3,E27&lt;200/3),D27,"")</f>
        <v>Operational maturity</v>
      </c>
      <c r="I27" s="64" t="str">
        <f t="shared" ref="I27:I44" si="29">IF(E27&gt;=200/3,D27,"")</f>
        <v/>
      </c>
      <c r="J27" s="62"/>
      <c r="K27" s="62"/>
      <c r="L27" s="62" t="e">
        <f t="array" aca="1" ref="L27" ca="1">SMALL(IF(G27:G51="","",ROW()),ROW(INDIRECT("1:"&amp;COUNTA(G27:G51))))-(ROW()-1)</f>
        <v>#N/A</v>
      </c>
      <c r="M27" s="62" t="e">
        <f t="array" aca="1" ref="M27" ca="1">SMALL(IF(H27:H51="","",ROW()),ROW(INDIRECT("1:"&amp;COUNTA(H27:H51))))-(ROW()-1)</f>
        <v>#N/A</v>
      </c>
      <c r="N27" s="62" t="e">
        <f t="array" aca="1" ref="N27" ca="1">SMALL(IF(I27:I51="","",ROW()),ROW(INDIRECT("1:"&amp;COUNTA(I27:I51))))-(ROW()-1)</f>
        <v>#N/A</v>
      </c>
      <c r="O27" s="62">
        <v>9</v>
      </c>
      <c r="P27" s="62">
        <f t="shared" si="26"/>
        <v>9</v>
      </c>
      <c r="Q27" s="62">
        <f t="shared" si="27"/>
        <v>1</v>
      </c>
      <c r="R27" s="64" t="str">
        <f ca="1">IF(ISERROR(L27),"",INDEX(G27:G$69,L27))</f>
        <v/>
      </c>
      <c r="S27" s="64" t="str">
        <f ca="1">IF(ISERROR(M27),"",INDEX(H27:H$69,M27))</f>
        <v/>
      </c>
      <c r="T27" s="64" t="str">
        <f ca="1">IF(ISERROR(N27),"",INDEX(I27:I$69,N27))</f>
        <v/>
      </c>
      <c r="U27" s="62"/>
      <c r="V27" s="62"/>
      <c r="W27" s="62">
        <f t="shared" ca="1" si="17"/>
        <v>3</v>
      </c>
      <c r="X27" s="62">
        <f t="shared" ca="1" si="18"/>
        <v>3</v>
      </c>
      <c r="Y27" s="62">
        <f t="shared" ca="1" si="20"/>
        <v>2</v>
      </c>
      <c r="Z27" s="62" t="str">
        <f t="shared" ca="1" si="21"/>
        <v/>
      </c>
      <c r="AA27" s="62" t="str">
        <f t="shared" ca="1" si="22"/>
        <v/>
      </c>
      <c r="AB27" s="62" t="str">
        <f t="shared" ca="1" si="23"/>
        <v/>
      </c>
    </row>
    <row r="28" spans="1:35" s="65" customFormat="1">
      <c r="A28" s="62">
        <f ca="1">tblIndicators!C12</f>
        <v>2</v>
      </c>
      <c r="B28" s="62" t="str">
        <f ca="1">tblIndicators!A12</f>
        <v>OPER01</v>
      </c>
      <c r="C28" s="62">
        <f t="shared" ca="1" si="19"/>
        <v>11</v>
      </c>
      <c r="D28" s="62" t="str">
        <f ca="1">tblIndicators!H12</f>
        <v>Public capacity to plan and oversee PPPs</v>
      </c>
      <c r="E28" s="62">
        <f t="shared" ca="1" si="24"/>
        <v>25</v>
      </c>
      <c r="F28" s="62"/>
      <c r="G28" s="64" t="str">
        <f t="shared" si="25"/>
        <v>Public capacity to plan and oversee PPPs</v>
      </c>
      <c r="H28" s="64" t="str">
        <f t="shared" si="28"/>
        <v/>
      </c>
      <c r="I28" s="64" t="str">
        <f t="shared" si="29"/>
        <v/>
      </c>
      <c r="J28" s="62"/>
      <c r="K28" s="62"/>
      <c r="L28" s="62" t="e">
        <f t="array" aca="1" ref="L28" ca="1">SMALL(IF(G28:G52="","",ROW()),ROW(INDIRECT("1:"&amp;COUNTA(G28:G52))))-(ROW()-1)</f>
        <v>#N/A</v>
      </c>
      <c r="M28" s="62" t="e">
        <f t="array" aca="1" ref="M28" ca="1">SMALL(IF(H28:H52="","",ROW()),ROW(INDIRECT("1:"&amp;COUNTA(H28:H52))))-(ROW()-1)</f>
        <v>#N/A</v>
      </c>
      <c r="N28" s="62" t="e">
        <f t="array" aca="1" ref="N28" ca="1">SMALL(IF(I28:I52="","",ROW()),ROW(INDIRECT("1:"&amp;COUNTA(I28:I52))))-(ROW()-1)</f>
        <v>#N/A</v>
      </c>
      <c r="O28" s="62">
        <v>10</v>
      </c>
      <c r="P28" s="62">
        <f t="shared" ca="1" si="26"/>
        <v>100010</v>
      </c>
      <c r="Q28" s="62">
        <f t="shared" si="27"/>
        <v>2</v>
      </c>
      <c r="R28" s="64" t="str">
        <f ca="1">IF(ISERROR(L28),"",INDEX(G28:G$69,L28))</f>
        <v/>
      </c>
      <c r="S28" s="64" t="str">
        <f ca="1">IF(ISERROR(M28),"",INDEX(H28:H$69,M28))</f>
        <v/>
      </c>
      <c r="T28" s="64" t="str">
        <f ca="1">IF(ISERROR(N28),"",INDEX(I28:I$69,N28))</f>
        <v/>
      </c>
      <c r="U28" s="62"/>
      <c r="V28" s="62"/>
      <c r="W28" s="62">
        <f t="shared" ca="1" si="17"/>
        <v>14</v>
      </c>
      <c r="X28" s="62">
        <f t="shared" ca="1" si="18"/>
        <v>4</v>
      </c>
      <c r="Y28" s="62">
        <f t="shared" ca="1" si="20"/>
        <v>2</v>
      </c>
      <c r="Z28" s="62" t="str">
        <f t="shared" ca="1" si="21"/>
        <v/>
      </c>
      <c r="AA28" s="62" t="str">
        <f t="shared" ca="1" si="22"/>
        <v/>
      </c>
      <c r="AB28" s="62" t="str">
        <f t="shared" ca="1" si="23"/>
        <v/>
      </c>
    </row>
    <row r="29" spans="1:35" s="65" customFormat="1">
      <c r="A29" s="62">
        <f ca="1">tblIndicators!C13</f>
        <v>2</v>
      </c>
      <c r="B29" s="62" t="str">
        <f ca="1">tblIndicators!A13</f>
        <v>OPER02</v>
      </c>
      <c r="C29" s="62">
        <f t="shared" ca="1" si="19"/>
        <v>12</v>
      </c>
      <c r="D29" s="62" t="str">
        <f ca="1">tblIndicators!H13</f>
        <v xml:space="preserve">Methods and criteria for awarding projects </v>
      </c>
      <c r="E29" s="62">
        <f t="shared" ca="1" si="24"/>
        <v>25</v>
      </c>
      <c r="F29" s="62"/>
      <c r="G29" s="64" t="str">
        <f t="shared" si="25"/>
        <v xml:space="preserve">Methods and criteria for awarding projects </v>
      </c>
      <c r="H29" s="64" t="str">
        <f t="shared" si="28"/>
        <v/>
      </c>
      <c r="I29" s="64" t="str">
        <f t="shared" si="29"/>
        <v/>
      </c>
      <c r="J29" s="62"/>
      <c r="K29" s="62"/>
      <c r="L29" s="62" t="e">
        <f t="array" aca="1" ref="L29" ca="1">SMALL(IF(G29:G53="","",ROW()),ROW(INDIRECT("1:"&amp;COUNTA(G29:G53))))-(ROW()-1)</f>
        <v>#N/A</v>
      </c>
      <c r="M29" s="62" t="e">
        <f t="array" aca="1" ref="M29" ca="1">SMALL(IF(H29:H53="","",ROW()),ROW(INDIRECT("1:"&amp;COUNTA(H29:H53))))-(ROW()-1)</f>
        <v>#N/A</v>
      </c>
      <c r="N29" s="62" t="e">
        <f t="array" aca="1" ref="N29" ca="1">SMALL(IF(I29:I53="","",ROW()),ROW(INDIRECT("1:"&amp;COUNTA(I29:I53))))-(ROW()-1)</f>
        <v>#N/A</v>
      </c>
      <c r="O29" s="62">
        <v>11</v>
      </c>
      <c r="P29" s="62">
        <f t="shared" ca="1" si="26"/>
        <v>100011</v>
      </c>
      <c r="Q29" s="62">
        <f t="shared" si="27"/>
        <v>2</v>
      </c>
      <c r="R29" s="64" t="str">
        <f ca="1">IF(ISERROR(L29),"",INDEX(G29:G$69,L29))</f>
        <v/>
      </c>
      <c r="S29" s="64" t="str">
        <f ca="1">IF(ISERROR(M29),"",INDEX(H29:H$69,M29))</f>
        <v/>
      </c>
      <c r="T29" s="64" t="str">
        <f ca="1">IF(ISERROR(N29),"",INDEX(I29:I$69,N29))</f>
        <v/>
      </c>
      <c r="U29" s="62"/>
      <c r="V29" s="62"/>
      <c r="W29" s="62">
        <f t="shared" ca="1" si="17"/>
        <v>15</v>
      </c>
      <c r="X29" s="62">
        <f t="shared" ca="1" si="18"/>
        <v>5</v>
      </c>
      <c r="Y29" s="62">
        <f t="shared" ca="1" si="20"/>
        <v>2</v>
      </c>
      <c r="Z29" s="62" t="str">
        <f t="shared" ca="1" si="21"/>
        <v/>
      </c>
      <c r="AA29" s="62" t="str">
        <f t="shared" ca="1" si="22"/>
        <v/>
      </c>
      <c r="AB29" s="62" t="str">
        <f t="shared" ca="1" si="23"/>
        <v/>
      </c>
    </row>
    <row r="30" spans="1:35" s="65" customFormat="1">
      <c r="A30" s="62">
        <f ca="1">tblIndicators!C14</f>
        <v>2</v>
      </c>
      <c r="B30" s="62" t="str">
        <f ca="1">tblIndicators!A14</f>
        <v>OPER03</v>
      </c>
      <c r="C30" s="62">
        <f t="shared" ca="1" si="19"/>
        <v>13</v>
      </c>
      <c r="D30" s="62" t="str">
        <f ca="1">tblIndicators!H14</f>
        <v>Regulators' risk allocation record</v>
      </c>
      <c r="E30" s="62">
        <f t="shared" ca="1" si="24"/>
        <v>25</v>
      </c>
      <c r="F30" s="62"/>
      <c r="G30" s="64" t="str">
        <f t="shared" si="25"/>
        <v>Regulators' risk allocation record</v>
      </c>
      <c r="H30" s="64" t="str">
        <f t="shared" si="28"/>
        <v/>
      </c>
      <c r="I30" s="64" t="str">
        <f t="shared" si="29"/>
        <v/>
      </c>
      <c r="J30" s="62"/>
      <c r="K30" s="62"/>
      <c r="L30" s="62" t="e">
        <f t="array" aca="1" ref="L30" ca="1">SMALL(IF(G30:G54="","",ROW()),ROW(INDIRECT("1:"&amp;COUNTA(G30:G54))))-(ROW()-1)</f>
        <v>#N/A</v>
      </c>
      <c r="M30" s="62" t="e">
        <f t="array" aca="1" ref="M30" ca="1">SMALL(IF(H30:H54="","",ROW()),ROW(INDIRECT("1:"&amp;COUNTA(H30:H54))))-(ROW()-1)</f>
        <v>#N/A</v>
      </c>
      <c r="N30" s="62" t="e">
        <f t="array" aca="1" ref="N30" ca="1">SMALL(IF(I30:I54="","",ROW()),ROW(INDIRECT("1:"&amp;COUNTA(I30:I54))))-(ROW()-1)</f>
        <v>#N/A</v>
      </c>
      <c r="O30" s="62">
        <v>12</v>
      </c>
      <c r="P30" s="62">
        <f t="shared" ca="1" si="26"/>
        <v>100012</v>
      </c>
      <c r="Q30" s="62">
        <f t="shared" si="27"/>
        <v>2</v>
      </c>
      <c r="R30" s="64" t="str">
        <f ca="1">IF(ISERROR(L30),"",INDEX(G30:G$69,L30))</f>
        <v/>
      </c>
      <c r="S30" s="64" t="str">
        <f ca="1">IF(ISERROR(M30),"",INDEX(H30:H$69,M30))</f>
        <v/>
      </c>
      <c r="T30" s="64" t="str">
        <f ca="1">IF(ISERROR(N30),"",INDEX(I30:I$69,N30))</f>
        <v/>
      </c>
      <c r="U30" s="62"/>
      <c r="V30" s="62"/>
      <c r="W30" s="62">
        <f t="shared" ca="1" si="17"/>
        <v>16</v>
      </c>
      <c r="X30" s="62">
        <f t="shared" ca="1" si="18"/>
        <v>7</v>
      </c>
      <c r="Y30" s="62">
        <f t="shared" ca="1" si="20"/>
        <v>2</v>
      </c>
      <c r="Z30" s="62" t="str">
        <f t="shared" ca="1" si="21"/>
        <v/>
      </c>
      <c r="AA30" s="62" t="str">
        <f t="shared" ca="1" si="22"/>
        <v/>
      </c>
      <c r="AB30" s="62" t="str">
        <f t="shared" ca="1" si="23"/>
        <v/>
      </c>
    </row>
    <row r="31" spans="1:35" s="65" customFormat="1">
      <c r="A31" s="62">
        <f ca="1">tblIndicators!C15</f>
        <v>2</v>
      </c>
      <c r="B31" s="62" t="str">
        <f ca="1">tblIndicators!A15</f>
        <v>OPER04</v>
      </c>
      <c r="C31" s="62">
        <f t="shared" ca="1" si="19"/>
        <v>14</v>
      </c>
      <c r="D31" s="62" t="str">
        <f ca="1">tblIndicators!H15</f>
        <v>Experience in transport &amp; water concessions</v>
      </c>
      <c r="E31" s="62">
        <f t="shared" ca="1" si="24"/>
        <v>59.047619047619051</v>
      </c>
      <c r="F31" s="62"/>
      <c r="G31" s="64" t="str">
        <f t="shared" si="25"/>
        <v/>
      </c>
      <c r="H31" s="64" t="str">
        <f t="shared" si="28"/>
        <v>Experience in transport &amp; water concessions</v>
      </c>
      <c r="I31" s="64" t="str">
        <f t="shared" si="29"/>
        <v/>
      </c>
      <c r="J31" s="62"/>
      <c r="K31" s="62"/>
      <c r="L31" s="62" t="e">
        <f t="array" aca="1" ref="L31" ca="1">SMALL(IF(G31:G55="","",ROW()),ROW(INDIRECT("1:"&amp;COUNTA(G31:G55))))-(ROW()-1)</f>
        <v>#N/A</v>
      </c>
      <c r="M31" s="62" t="e">
        <f t="array" aca="1" ref="M31" ca="1">SMALL(IF(H31:H55="","",ROW()),ROW(INDIRECT("1:"&amp;COUNTA(H31:H55))))-(ROW()-1)</f>
        <v>#N/A</v>
      </c>
      <c r="N31" s="62" t="e">
        <f t="array" aca="1" ref="N31" ca="1">SMALL(IF(I31:I55="","",ROW()),ROW(INDIRECT("1:"&amp;COUNTA(I31:I55))))-(ROW()-1)</f>
        <v>#N/A</v>
      </c>
      <c r="O31" s="62">
        <v>13</v>
      </c>
      <c r="P31" s="62">
        <f t="shared" ca="1" si="26"/>
        <v>100013</v>
      </c>
      <c r="Q31" s="62">
        <f t="shared" si="27"/>
        <v>2</v>
      </c>
      <c r="R31" s="64" t="str">
        <f ca="1">IF(ISERROR(L31),"",INDEX(G31:G$69,L31))</f>
        <v/>
      </c>
      <c r="S31" s="64" t="str">
        <f ca="1">IF(ISERROR(M31),"",INDEX(H31:H$69,M31))</f>
        <v/>
      </c>
      <c r="T31" s="64" t="str">
        <f ca="1">IF(ISERROR(N31),"",INDEX(I31:I$69,N31))</f>
        <v/>
      </c>
      <c r="U31" s="62"/>
      <c r="V31" s="62"/>
      <c r="W31" s="62">
        <f t="shared" ca="1" si="17"/>
        <v>17</v>
      </c>
      <c r="X31" s="62">
        <f t="shared" ca="1" si="18"/>
        <v>8</v>
      </c>
      <c r="Y31" s="62">
        <f t="shared" ca="1" si="20"/>
        <v>2</v>
      </c>
      <c r="Z31" s="62" t="str">
        <f t="shared" ca="1" si="21"/>
        <v/>
      </c>
      <c r="AA31" s="62" t="str">
        <f t="shared" ca="1" si="22"/>
        <v/>
      </c>
      <c r="AB31" s="62" t="str">
        <f t="shared" ca="1" si="23"/>
        <v/>
      </c>
    </row>
    <row r="32" spans="1:35" s="134" customFormat="1">
      <c r="A32" s="62">
        <f ca="1">tblIndicators!C16</f>
        <v>2</v>
      </c>
      <c r="B32" s="62" t="str">
        <f ca="1">tblIndicators!A16</f>
        <v>OPER05</v>
      </c>
      <c r="C32" s="62">
        <f t="shared" ca="1" si="19"/>
        <v>15</v>
      </c>
      <c r="D32" s="62" t="str">
        <f ca="1">tblIndicators!H16</f>
        <v>Quality of transport and water concessions</v>
      </c>
      <c r="E32" s="62">
        <f t="shared" ca="1" si="24"/>
        <v>95.161290322580655</v>
      </c>
      <c r="F32" s="62"/>
      <c r="G32" s="64" t="str">
        <f t="shared" si="25"/>
        <v/>
      </c>
      <c r="H32" s="64" t="str">
        <f t="shared" si="28"/>
        <v/>
      </c>
      <c r="I32" s="64" t="str">
        <f t="shared" si="29"/>
        <v>Quality of transport and water concessions</v>
      </c>
      <c r="J32" s="62"/>
      <c r="K32" s="62"/>
      <c r="L32" s="62" t="e">
        <f t="array" aca="1" ref="L32" ca="1">SMALL(IF(G32:G56="","",ROW()),ROW(INDIRECT("1:"&amp;COUNTA(G32:G56))))-(ROW()-1)</f>
        <v>#N/A</v>
      </c>
      <c r="M32" s="62" t="e">
        <f t="array" aca="1" ref="M32" ca="1">SMALL(IF(H32:H56="","",ROW()),ROW(INDIRECT("1:"&amp;COUNTA(H32:H56))))-(ROW()-1)</f>
        <v>#N/A</v>
      </c>
      <c r="N32" s="62" t="e">
        <f t="array" aca="1" ref="N32" ca="1">SMALL(IF(I32:I56="","",ROW()),ROW(INDIRECT("1:"&amp;COUNTA(I32:I56))))-(ROW()-1)</f>
        <v>#N/A</v>
      </c>
      <c r="O32" s="62">
        <v>14</v>
      </c>
      <c r="P32" s="62">
        <f t="shared" ca="1" si="26"/>
        <v>100014</v>
      </c>
      <c r="Q32" s="62">
        <f t="shared" si="27"/>
        <v>2</v>
      </c>
      <c r="R32" s="64" t="str">
        <f ca="1">IF(ISERROR(L32),"",INDEX(G32:G$69,L32))</f>
        <v/>
      </c>
      <c r="S32" s="64" t="str">
        <f ca="1">IF(ISERROR(M32),"",INDEX(H32:H$69,M32))</f>
        <v/>
      </c>
      <c r="T32" s="64" t="str">
        <f ca="1">IF(ISERROR(N32),"",INDEX(I32:I$69,N32))</f>
        <v/>
      </c>
      <c r="U32" s="62"/>
      <c r="V32" s="62"/>
      <c r="W32" s="132">
        <f t="shared" ca="1" si="17"/>
        <v>18</v>
      </c>
      <c r="X32" s="132">
        <f t="shared" ca="1" si="18"/>
        <v>10</v>
      </c>
      <c r="Y32" s="132">
        <f t="shared" ca="1" si="20"/>
        <v>2</v>
      </c>
      <c r="Z32" s="62" t="str">
        <f t="shared" ca="1" si="21"/>
        <v/>
      </c>
      <c r="AA32" s="62" t="str">
        <f t="shared" ca="1" si="22"/>
        <v/>
      </c>
      <c r="AB32" s="62" t="str">
        <f t="shared" ca="1" si="23"/>
        <v/>
      </c>
      <c r="AC32" s="65"/>
      <c r="AD32" s="65"/>
      <c r="AE32" s="65"/>
      <c r="AF32" s="65"/>
      <c r="AG32" s="65"/>
      <c r="AH32" s="65"/>
      <c r="AI32" s="65"/>
    </row>
    <row r="33" spans="1:35" s="65" customFormat="1">
      <c r="A33" s="62">
        <f ca="1">tblIndicators!C17</f>
        <v>1</v>
      </c>
      <c r="B33" s="62" t="str">
        <f ca="1">tblIndicators!A17</f>
        <v>INVT</v>
      </c>
      <c r="C33" s="62">
        <f t="shared" ca="1" si="19"/>
        <v>16</v>
      </c>
      <c r="D33" s="62" t="str">
        <f ca="1">tblIndicators!H17</f>
        <v>Investment climate</v>
      </c>
      <c r="E33" s="62">
        <f t="shared" ca="1" si="24"/>
        <v>65.144555625543859</v>
      </c>
      <c r="F33" s="62"/>
      <c r="G33" s="64" t="str">
        <f t="shared" si="25"/>
        <v/>
      </c>
      <c r="H33" s="64" t="str">
        <f t="shared" si="28"/>
        <v>Investment climate</v>
      </c>
      <c r="I33" s="64" t="str">
        <f t="shared" si="29"/>
        <v/>
      </c>
      <c r="J33" s="62"/>
      <c r="K33" s="62"/>
      <c r="L33" s="62" t="e">
        <f t="array" aca="1" ref="L33" ca="1">SMALL(IF(G33:G57="","",ROW()),ROW(INDIRECT("1:"&amp;COUNTA(G33:G57))))-(ROW()-1)</f>
        <v>#N/A</v>
      </c>
      <c r="M33" s="62" t="e">
        <f t="array" aca="1" ref="M33" ca="1">SMALL(IF(H33:H57="","",ROW()),ROW(INDIRECT("1:"&amp;COUNTA(H33:H57))))-(ROW()-1)</f>
        <v>#N/A</v>
      </c>
      <c r="N33" s="62" t="e">
        <f t="array" aca="1" ref="N33" ca="1">SMALL(IF(I33:I57="","",ROW()),ROW(INDIRECT("1:"&amp;COUNTA(I33:I57))))-(ROW()-1)</f>
        <v>#N/A</v>
      </c>
      <c r="O33" s="62">
        <v>15</v>
      </c>
      <c r="P33" s="62">
        <f t="shared" si="26"/>
        <v>15</v>
      </c>
      <c r="Q33" s="62">
        <f t="shared" si="27"/>
        <v>1</v>
      </c>
      <c r="R33" s="64" t="str">
        <f ca="1">IF(ISERROR(L33),"",INDEX(G33:G$69,L33))</f>
        <v/>
      </c>
      <c r="S33" s="64" t="str">
        <f ca="1">IF(ISERROR(M33),"",INDEX(H33:H$69,M33))</f>
        <v/>
      </c>
      <c r="T33" s="64" t="str">
        <f ca="1">IF(ISERROR(N33),"",INDEX(I33:I$69,N33))</f>
        <v/>
      </c>
      <c r="U33" s="62"/>
      <c r="V33" s="62"/>
      <c r="W33" s="62">
        <f t="shared" ca="1" si="17"/>
        <v>4</v>
      </c>
      <c r="X33" s="62">
        <f t="shared" ca="1" si="18"/>
        <v>11</v>
      </c>
      <c r="Y33" s="62">
        <f t="shared" ca="1" si="20"/>
        <v>2</v>
      </c>
      <c r="Z33" s="62" t="str">
        <f t="shared" ca="1" si="21"/>
        <v/>
      </c>
      <c r="AA33" s="62" t="str">
        <f t="shared" ca="1" si="22"/>
        <v/>
      </c>
      <c r="AB33" s="62" t="str">
        <f t="shared" ca="1" si="23"/>
        <v/>
      </c>
    </row>
    <row r="34" spans="1:35" s="65" customFormat="1">
      <c r="A34" s="62">
        <f ca="1">tblIndicators!C18</f>
        <v>2</v>
      </c>
      <c r="B34" s="62" t="str">
        <f ca="1">tblIndicators!A18</f>
        <v>INVT01</v>
      </c>
      <c r="C34" s="62">
        <f t="shared" ca="1" si="19"/>
        <v>17</v>
      </c>
      <c r="D34" s="62" t="str">
        <f ca="1">tblIndicators!H18</f>
        <v>Political distortion</v>
      </c>
      <c r="E34" s="62">
        <f t="shared" ca="1" si="24"/>
        <v>46.133081820896692</v>
      </c>
      <c r="F34" s="62"/>
      <c r="G34" s="64" t="str">
        <f t="shared" si="25"/>
        <v/>
      </c>
      <c r="H34" s="64" t="str">
        <f t="shared" si="28"/>
        <v>Political distortion</v>
      </c>
      <c r="I34" s="64" t="str">
        <f t="shared" si="29"/>
        <v/>
      </c>
      <c r="J34" s="62"/>
      <c r="K34" s="62"/>
      <c r="L34" s="62" t="e">
        <f t="array" aca="1" ref="L34" ca="1">SMALL(IF(G34:G58="","",ROW()),ROW(INDIRECT("1:"&amp;COUNTA(G34:G58))))-(ROW()-1)</f>
        <v>#N/A</v>
      </c>
      <c r="M34" s="62" t="e">
        <f t="array" aca="1" ref="M34" ca="1">SMALL(IF(H34:H58="","",ROW()),ROW(INDIRECT("1:"&amp;COUNTA(H34:H58))))-(ROW()-1)</f>
        <v>#N/A</v>
      </c>
      <c r="N34" s="62" t="e">
        <f t="array" aca="1" ref="N34" ca="1">SMALL(IF(I34:I58="","",ROW()),ROW(INDIRECT("1:"&amp;COUNTA(I34:I58))))-(ROW()-1)</f>
        <v>#N/A</v>
      </c>
      <c r="O34" s="62">
        <v>16</v>
      </c>
      <c r="P34" s="62">
        <f t="shared" ca="1" si="26"/>
        <v>100016</v>
      </c>
      <c r="Q34" s="62">
        <f t="shared" si="27"/>
        <v>2</v>
      </c>
      <c r="R34" s="64" t="str">
        <f ca="1">IF(ISERROR(L34),"",INDEX(G34:G$69,L34))</f>
        <v/>
      </c>
      <c r="S34" s="64" t="str">
        <f ca="1">IF(ISERROR(M34),"",INDEX(H34:H$69,M34))</f>
        <v/>
      </c>
      <c r="T34" s="64" t="str">
        <f ca="1">IF(ISERROR(N34),"",INDEX(I34:I$69,N34))</f>
        <v/>
      </c>
      <c r="U34" s="62"/>
      <c r="V34" s="62"/>
      <c r="W34" s="62">
        <f t="shared" ca="1" si="17"/>
        <v>19</v>
      </c>
      <c r="X34" s="62">
        <f t="shared" ca="1" si="18"/>
        <v>12</v>
      </c>
      <c r="Y34" s="62">
        <f ca="1">OFFSET(Q$18,$X34,0)</f>
        <v>2</v>
      </c>
      <c r="Z34" s="62" t="str">
        <f t="shared" ref="Z34:Z39" ca="1" si="30">IF(OFFSET(R$18,$X34,0)="","",OFFSET(R$18,$X34,0))</f>
        <v/>
      </c>
      <c r="AA34" s="62" t="str">
        <f t="shared" ref="AA34:AA39" ca="1" si="31">IF(OFFSET(S$18,$X34,0)="","",OFFSET(S$18,$X34,0))</f>
        <v/>
      </c>
      <c r="AB34" s="62" t="str">
        <f t="shared" ref="AB34:AB39" ca="1" si="32">IF(OFFSET(T$18,$X34,0)="","",OFFSET(T$18,$X34,0))</f>
        <v/>
      </c>
    </row>
    <row r="35" spans="1:35" s="65" customFormat="1">
      <c r="A35" s="62">
        <f ca="1">tblIndicators!C19</f>
        <v>2</v>
      </c>
      <c r="B35" s="62" t="str">
        <f ca="1">tblIndicators!A19</f>
        <v>INVT02</v>
      </c>
      <c r="C35" s="62">
        <f t="shared" ca="1" si="19"/>
        <v>18</v>
      </c>
      <c r="D35" s="62" t="str">
        <f ca="1">tblIndicators!H19</f>
        <v>Business environment</v>
      </c>
      <c r="E35" s="62">
        <f t="shared" ca="1" si="24"/>
        <v>79.16774811494497</v>
      </c>
      <c r="F35" s="62"/>
      <c r="G35" s="64" t="str">
        <f t="shared" si="25"/>
        <v/>
      </c>
      <c r="H35" s="64" t="str">
        <f t="shared" si="28"/>
        <v/>
      </c>
      <c r="I35" s="64" t="str">
        <f t="shared" si="29"/>
        <v>Business environment</v>
      </c>
      <c r="J35" s="62"/>
      <c r="K35" s="62"/>
      <c r="L35" s="62" t="e">
        <f t="array" aca="1" ref="L35" ca="1">SMALL(IF(G35:G59="","",ROW()),ROW(INDIRECT("1:"&amp;COUNTA(G35:G59))))-(ROW()-1)</f>
        <v>#N/A</v>
      </c>
      <c r="M35" s="62" t="e">
        <f t="array" aca="1" ref="M35" ca="1">SMALL(IF(H35:H59="","",ROW()),ROW(INDIRECT("1:"&amp;COUNTA(H35:H59))))-(ROW()-1)</f>
        <v>#N/A</v>
      </c>
      <c r="N35" s="62" t="e">
        <f t="array" aca="1" ref="N35" ca="1">SMALL(IF(I35:I59="","",ROW()),ROW(INDIRECT("1:"&amp;COUNTA(I35:I59))))-(ROW()-1)</f>
        <v>#N/A</v>
      </c>
      <c r="O35" s="62">
        <v>17</v>
      </c>
      <c r="P35" s="62">
        <f t="shared" ca="1" si="26"/>
        <v>100017</v>
      </c>
      <c r="Q35" s="62">
        <f t="shared" si="27"/>
        <v>2</v>
      </c>
      <c r="R35" s="64" t="str">
        <f ca="1">IF(ISERROR(L35),"",INDEX(G35:G$69,L35))</f>
        <v/>
      </c>
      <c r="S35" s="64" t="str">
        <f ca="1">IF(ISERROR(M35),"",INDEX(H35:H$69,M35))</f>
        <v/>
      </c>
      <c r="T35" s="64" t="str">
        <f ca="1">IF(ISERROR(N35),"",INDEX(I35:I$69,N35))</f>
        <v/>
      </c>
      <c r="U35" s="62"/>
      <c r="V35" s="62"/>
      <c r="W35" s="62">
        <f t="shared" ca="1" si="17"/>
        <v>20</v>
      </c>
      <c r="X35" s="62">
        <f t="shared" ca="1" si="18"/>
        <v>13</v>
      </c>
      <c r="Y35" s="62">
        <f t="shared" ca="1" si="20"/>
        <v>2</v>
      </c>
      <c r="Z35" s="62" t="str">
        <f t="shared" ca="1" si="30"/>
        <v/>
      </c>
      <c r="AA35" s="62" t="str">
        <f t="shared" ca="1" si="31"/>
        <v/>
      </c>
      <c r="AB35" s="62" t="str">
        <f t="shared" ca="1" si="32"/>
        <v/>
      </c>
    </row>
    <row r="36" spans="1:35" s="65" customFormat="1">
      <c r="A36" s="62">
        <f ca="1">tblIndicators!C20</f>
        <v>2</v>
      </c>
      <c r="B36" s="62" t="str">
        <f ca="1">tblIndicators!A20</f>
        <v>INVT03</v>
      </c>
      <c r="C36" s="62">
        <f t="shared" ca="1" si="19"/>
        <v>19</v>
      </c>
      <c r="D36" s="62" t="str">
        <f ca="1">tblIndicators!H20</f>
        <v>Social attitudes towards privatisation</v>
      </c>
      <c r="E36" s="62">
        <f t="shared" ca="1" si="24"/>
        <v>67.63869628316688</v>
      </c>
      <c r="F36" s="62"/>
      <c r="G36" s="64" t="str">
        <f t="shared" si="25"/>
        <v/>
      </c>
      <c r="H36" s="64" t="str">
        <f t="shared" si="28"/>
        <v/>
      </c>
      <c r="I36" s="64" t="str">
        <f t="shared" si="29"/>
        <v>Social attitudes towards privatisation</v>
      </c>
      <c r="J36" s="62"/>
      <c r="K36" s="62"/>
      <c r="L36" s="62" t="e">
        <f t="array" aca="1" ref="L36" ca="1">SMALL(IF(G36:G60="","",ROW()),ROW(INDIRECT("1:"&amp;COUNTA(G36:G60))))-(ROW()-1)</f>
        <v>#N/A</v>
      </c>
      <c r="M36" s="62" t="e">
        <f t="array" aca="1" ref="M36" ca="1">SMALL(IF(H36:H60="","",ROW()),ROW(INDIRECT("1:"&amp;COUNTA(H36:H60))))-(ROW()-1)</f>
        <v>#N/A</v>
      </c>
      <c r="N36" s="62" t="e">
        <f t="array" aca="1" ref="N36" ca="1">SMALL(IF(I36:I60="","",ROW()),ROW(INDIRECT("1:"&amp;COUNTA(I36:I60))))-(ROW()-1)</f>
        <v>#N/A</v>
      </c>
      <c r="O36" s="62">
        <v>18</v>
      </c>
      <c r="P36" s="62">
        <f t="shared" ca="1" si="26"/>
        <v>100018</v>
      </c>
      <c r="Q36" s="62">
        <f t="shared" si="27"/>
        <v>2</v>
      </c>
      <c r="R36" s="64" t="str">
        <f ca="1">IF(ISERROR(L36),"",INDEX(G36:G$69,L36))</f>
        <v/>
      </c>
      <c r="S36" s="64" t="str">
        <f ca="1">IF(ISERROR(M36),"",INDEX(H36:H$69,M36))</f>
        <v/>
      </c>
      <c r="T36" s="64" t="str">
        <f ca="1">IF(ISERROR(N36),"",INDEX(I36:I$69,N36))</f>
        <v/>
      </c>
      <c r="U36" s="62"/>
      <c r="V36" s="62"/>
      <c r="W36" s="62">
        <f t="shared" ca="1" si="17"/>
        <v>21</v>
      </c>
      <c r="X36" s="62">
        <f t="shared" ca="1" si="18"/>
        <v>14</v>
      </c>
      <c r="Y36" s="62">
        <f t="shared" ca="1" si="20"/>
        <v>2</v>
      </c>
      <c r="Z36" s="62" t="str">
        <f t="shared" ca="1" si="30"/>
        <v/>
      </c>
      <c r="AA36" s="62" t="str">
        <f t="shared" ca="1" si="31"/>
        <v/>
      </c>
      <c r="AB36" s="62" t="str">
        <f t="shared" ca="1" si="32"/>
        <v/>
      </c>
    </row>
    <row r="37" spans="1:35" s="65" customFormat="1">
      <c r="A37" s="62">
        <f ca="1">tblIndicators!C21</f>
        <v>1</v>
      </c>
      <c r="B37" s="62" t="str">
        <f ca="1">tblIndicators!A21</f>
        <v>FINC</v>
      </c>
      <c r="C37" s="62">
        <f t="shared" ca="1" si="19"/>
        <v>20</v>
      </c>
      <c r="D37" s="62" t="str">
        <f ca="1">tblIndicators!H21</f>
        <v>Financial facilities</v>
      </c>
      <c r="E37" s="62">
        <f t="shared" ca="1" si="24"/>
        <v>66.666666666666671</v>
      </c>
      <c r="F37" s="62"/>
      <c r="G37" s="64" t="str">
        <f t="shared" si="25"/>
        <v/>
      </c>
      <c r="H37" s="64" t="str">
        <f t="shared" si="28"/>
        <v/>
      </c>
      <c r="I37" s="64" t="str">
        <f t="shared" si="29"/>
        <v>Financial facilities</v>
      </c>
      <c r="J37" s="62"/>
      <c r="K37" s="62"/>
      <c r="L37" s="62" t="e">
        <f t="array" aca="1" ref="L37" ca="1">SMALL(IF(G37:G61="","",ROW()),ROW(INDIRECT("1:"&amp;COUNTA(G37:G61))))-(ROW()-1)</f>
        <v>#N/A</v>
      </c>
      <c r="M37" s="62" t="e">
        <f t="array" aca="1" ref="M37" ca="1">SMALL(IF(H37:H61="","",ROW()),ROW(INDIRECT("1:"&amp;COUNTA(H37:H61))))-(ROW()-1)</f>
        <v>#N/A</v>
      </c>
      <c r="N37" s="62" t="e">
        <f t="array" aca="1" ref="N37" ca="1">SMALL(IF(I37:I61="","",ROW()),ROW(INDIRECT("1:"&amp;COUNTA(I37:I61))))-(ROW()-1)</f>
        <v>#N/A</v>
      </c>
      <c r="O37" s="62">
        <v>19</v>
      </c>
      <c r="P37" s="62">
        <f t="shared" si="26"/>
        <v>19</v>
      </c>
      <c r="Q37" s="62">
        <f t="shared" si="27"/>
        <v>1</v>
      </c>
      <c r="R37" s="64" t="str">
        <f ca="1">IF(ISERROR(L37),"",INDEX(G37:G$69,L37))</f>
        <v/>
      </c>
      <c r="S37" s="64" t="str">
        <f ca="1">IF(ISERROR(M37),"",INDEX(H37:H$69,M37))</f>
        <v/>
      </c>
      <c r="T37" s="64" t="str">
        <f ca="1">IF(ISERROR(N37),"",INDEX(I37:I$69,N37))</f>
        <v/>
      </c>
      <c r="U37" s="62"/>
      <c r="V37" s="62"/>
      <c r="W37" s="62">
        <f t="shared" ca="1" si="17"/>
        <v>5</v>
      </c>
      <c r="X37" s="62">
        <f t="shared" ca="1" si="18"/>
        <v>16</v>
      </c>
      <c r="Y37" s="62">
        <f t="shared" ca="1" si="20"/>
        <v>2</v>
      </c>
      <c r="Z37" s="62" t="str">
        <f t="shared" ca="1" si="30"/>
        <v/>
      </c>
      <c r="AA37" s="62" t="str">
        <f t="shared" ca="1" si="31"/>
        <v/>
      </c>
      <c r="AB37" s="62" t="str">
        <f t="shared" ca="1" si="32"/>
        <v/>
      </c>
    </row>
    <row r="38" spans="1:35" s="65" customFormat="1">
      <c r="A38" s="62">
        <f ca="1">tblIndicators!C22</f>
        <v>2</v>
      </c>
      <c r="B38" s="62" t="str">
        <f ca="1">tblIndicators!A22</f>
        <v>FINC01</v>
      </c>
      <c r="C38" s="62">
        <f t="shared" ca="1" si="19"/>
        <v>21</v>
      </c>
      <c r="D38" s="62" t="str">
        <f ca="1">tblIndicators!H22</f>
        <v>Government payment risk</v>
      </c>
      <c r="E38" s="62">
        <f t="shared" ca="1" si="24"/>
        <v>75</v>
      </c>
      <c r="F38" s="62"/>
      <c r="G38" s="64" t="str">
        <f t="shared" si="25"/>
        <v/>
      </c>
      <c r="H38" s="64" t="str">
        <f t="shared" si="28"/>
        <v/>
      </c>
      <c r="I38" s="64" t="str">
        <f t="shared" si="29"/>
        <v>Government payment risk</v>
      </c>
      <c r="J38" s="62"/>
      <c r="K38" s="62"/>
      <c r="L38" s="62" t="e">
        <f t="array" aca="1" ref="L38" ca="1">SMALL(IF(G38:G62="","",ROW()),ROW(INDIRECT("1:"&amp;COUNTA(G38:G62))))-(ROW()-1)</f>
        <v>#N/A</v>
      </c>
      <c r="M38" s="62" t="e">
        <f t="array" aca="1" ref="M38" ca="1">SMALL(IF(H38:H62="","",ROW()),ROW(INDIRECT("1:"&amp;COUNTA(H38:H62))))-(ROW()-1)</f>
        <v>#N/A</v>
      </c>
      <c r="N38" s="62" t="e">
        <f t="array" aca="1" ref="N38" ca="1">SMALL(IF(I38:I62="","",ROW()),ROW(INDIRECT("1:"&amp;COUNTA(I38:I62))))-(ROW()-1)</f>
        <v>#N/A</v>
      </c>
      <c r="O38" s="62">
        <v>20</v>
      </c>
      <c r="P38" s="62">
        <f t="shared" ca="1" si="26"/>
        <v>100020</v>
      </c>
      <c r="Q38" s="62">
        <f t="shared" si="27"/>
        <v>2</v>
      </c>
      <c r="R38" s="64" t="str">
        <f ca="1">IF(ISERROR(L38),"",INDEX(G38:G$69,L38))</f>
        <v/>
      </c>
      <c r="S38" s="64" t="str">
        <f ca="1">IF(ISERROR(M38),"",INDEX(H38:H$69,M38))</f>
        <v/>
      </c>
      <c r="T38" s="64" t="str">
        <f ca="1">IF(ISERROR(N38),"",INDEX(I38:I$69,N38))</f>
        <v/>
      </c>
      <c r="U38" s="62"/>
      <c r="V38" s="62"/>
      <c r="W38" s="62">
        <f t="shared" ca="1" si="17"/>
        <v>22</v>
      </c>
      <c r="X38" s="62">
        <f t="shared" ca="1" si="18"/>
        <v>17</v>
      </c>
      <c r="Y38" s="62">
        <f t="shared" ca="1" si="20"/>
        <v>2</v>
      </c>
      <c r="Z38" s="62" t="str">
        <f t="shared" ca="1" si="30"/>
        <v/>
      </c>
      <c r="AA38" s="62" t="str">
        <f t="shared" ca="1" si="31"/>
        <v/>
      </c>
      <c r="AB38" s="62" t="str">
        <f t="shared" ca="1" si="32"/>
        <v/>
      </c>
    </row>
    <row r="39" spans="1:35" s="65" customFormat="1">
      <c r="A39" s="62">
        <f ca="1">tblIndicators!C23</f>
        <v>2</v>
      </c>
      <c r="B39" s="62" t="str">
        <f ca="1">tblIndicators!A23</f>
        <v>FINC02</v>
      </c>
      <c r="C39" s="62">
        <f t="shared" ca="1" si="19"/>
        <v>22</v>
      </c>
      <c r="D39" s="62" t="str">
        <f ca="1">tblIndicators!H23</f>
        <v>Capital market: private infrastructure finance</v>
      </c>
      <c r="E39" s="62">
        <f t="shared" ca="1" si="24"/>
        <v>75</v>
      </c>
      <c r="F39" s="62"/>
      <c r="G39" s="64" t="str">
        <f t="shared" si="25"/>
        <v/>
      </c>
      <c r="H39" s="64" t="str">
        <f t="shared" si="28"/>
        <v/>
      </c>
      <c r="I39" s="64" t="str">
        <f t="shared" si="29"/>
        <v>Capital market: private infrastructure finance</v>
      </c>
      <c r="J39" s="62"/>
      <c r="K39" s="62"/>
      <c r="L39" s="62" t="e">
        <f t="array" aca="1" ref="L39" ca="1">SMALL(IF(G39:G63="","",ROW()),ROW(INDIRECT("1:"&amp;COUNTA(G39:G63))))-(ROW()-1)</f>
        <v>#N/A</v>
      </c>
      <c r="M39" s="62" t="e">
        <f t="array" aca="1" ref="M39" ca="1">SMALL(IF(H39:H63="","",ROW()),ROW(INDIRECT("1:"&amp;COUNTA(H39:H63))))-(ROW()-1)</f>
        <v>#N/A</v>
      </c>
      <c r="N39" s="62" t="e">
        <f t="array" aca="1" ref="N39" ca="1">SMALL(IF(I39:I63="","",ROW()),ROW(INDIRECT("1:"&amp;COUNTA(I39:I63))))-(ROW()-1)</f>
        <v>#N/A</v>
      </c>
      <c r="O39" s="62">
        <v>21</v>
      </c>
      <c r="P39" s="62">
        <f t="shared" ca="1" si="26"/>
        <v>100021</v>
      </c>
      <c r="Q39" s="62">
        <f t="shared" si="27"/>
        <v>2</v>
      </c>
      <c r="R39" s="64" t="str">
        <f ca="1">IF(ISERROR(L39),"",INDEX(G39:G$69,L39))</f>
        <v/>
      </c>
      <c r="S39" s="64" t="str">
        <f ca="1">IF(ISERROR(M39),"",INDEX(H39:H$69,M39))</f>
        <v/>
      </c>
      <c r="T39" s="64" t="str">
        <f ca="1">IF(ISERROR(N39),"",INDEX(I39:I$69,N39))</f>
        <v/>
      </c>
      <c r="U39" s="62"/>
      <c r="V39" s="62"/>
      <c r="W39" s="62">
        <f t="shared" ca="1" si="17"/>
        <v>23</v>
      </c>
      <c r="X39" s="62">
        <f t="shared" ca="1" si="18"/>
        <v>18</v>
      </c>
      <c r="Y39" s="62">
        <f t="shared" ca="1" si="20"/>
        <v>2</v>
      </c>
      <c r="Z39" s="62" t="str">
        <f t="shared" ca="1" si="30"/>
        <v/>
      </c>
      <c r="AA39" s="62" t="str">
        <f t="shared" ca="1" si="31"/>
        <v/>
      </c>
      <c r="AB39" s="62" t="str">
        <f t="shared" ca="1" si="32"/>
        <v/>
      </c>
    </row>
    <row r="40" spans="1:35" s="134" customFormat="1">
      <c r="A40" s="62">
        <f ca="1">tblIndicators!C24</f>
        <v>2</v>
      </c>
      <c r="B40" s="62" t="str">
        <f ca="1">tblIndicators!A24</f>
        <v>FINC03</v>
      </c>
      <c r="C40" s="62">
        <f t="shared" ca="1" si="19"/>
        <v>23</v>
      </c>
      <c r="D40" s="62" t="str">
        <f ca="1">tblIndicators!H24</f>
        <v>Marketable debt</v>
      </c>
      <c r="E40" s="62">
        <f t="shared" ca="1" si="24"/>
        <v>75</v>
      </c>
      <c r="F40" s="62"/>
      <c r="G40" s="64" t="str">
        <f t="shared" si="25"/>
        <v/>
      </c>
      <c r="H40" s="64" t="str">
        <f t="shared" si="28"/>
        <v/>
      </c>
      <c r="I40" s="64" t="str">
        <f t="shared" si="29"/>
        <v>Marketable debt</v>
      </c>
      <c r="J40" s="62"/>
      <c r="K40" s="62"/>
      <c r="L40" s="62" t="e">
        <f t="array" aca="1" ref="L40" ca="1">SMALL(IF(G40:G64="","",ROW()),ROW(INDIRECT("1:"&amp;COUNTA(G40:G64))))-(ROW()-1)</f>
        <v>#N/A</v>
      </c>
      <c r="M40" s="62" t="e">
        <f t="array" aca="1" ref="M40" ca="1">SMALL(IF(H40:H64="","",ROW()),ROW(INDIRECT("1:"&amp;COUNTA(H40:H64))))-(ROW()-1)</f>
        <v>#N/A</v>
      </c>
      <c r="N40" s="62" t="e">
        <f t="array" aca="1" ref="N40" ca="1">SMALL(IF(I40:I64="","",ROW()),ROW(INDIRECT("1:"&amp;COUNTA(I40:I64))))-(ROW()-1)</f>
        <v>#N/A</v>
      </c>
      <c r="O40" s="62">
        <v>22</v>
      </c>
      <c r="P40" s="62">
        <f t="shared" ca="1" si="26"/>
        <v>100022</v>
      </c>
      <c r="Q40" s="62">
        <f t="shared" si="27"/>
        <v>2</v>
      </c>
      <c r="R40" s="64" t="str">
        <f ca="1">IF(ISERROR(L40),"",INDEX(G40:G$69,L40))</f>
        <v/>
      </c>
      <c r="S40" s="64" t="str">
        <f ca="1">IF(ISERROR(M40),"",INDEX(H40:H$69,M40))</f>
        <v/>
      </c>
      <c r="T40" s="64" t="str">
        <f ca="1">IF(ISERROR(N40),"",INDEX(I40:I$69,N40))</f>
        <v/>
      </c>
      <c r="U40" s="62"/>
      <c r="V40" s="62"/>
      <c r="W40" s="132">
        <f t="shared" ca="1" si="17"/>
        <v>24</v>
      </c>
      <c r="X40" s="132">
        <f t="shared" ca="1" si="18"/>
        <v>20</v>
      </c>
      <c r="Y40" s="132">
        <f t="shared" ca="1" si="20"/>
        <v>2</v>
      </c>
      <c r="Z40" s="62" t="str">
        <f t="shared" ca="1" si="21"/>
        <v/>
      </c>
      <c r="AA40" s="62" t="str">
        <f t="shared" ca="1" si="22"/>
        <v/>
      </c>
      <c r="AB40" s="62" t="str">
        <f t="shared" ca="1" si="23"/>
        <v/>
      </c>
      <c r="AC40" s="65"/>
      <c r="AD40" s="65"/>
      <c r="AE40" s="65"/>
      <c r="AF40" s="65"/>
      <c r="AG40" s="65"/>
      <c r="AH40" s="65"/>
      <c r="AI40" s="65"/>
    </row>
    <row r="41" spans="1:35" s="65" customFormat="1">
      <c r="A41" s="62">
        <f ca="1">tblIndicators!C25</f>
        <v>2</v>
      </c>
      <c r="B41" s="62" t="str">
        <f ca="1">tblIndicators!A25</f>
        <v>FINC04</v>
      </c>
      <c r="C41" s="62">
        <f t="shared" ca="1" si="19"/>
        <v>24</v>
      </c>
      <c r="D41" s="62" t="str">
        <f ca="1">tblIndicators!H25</f>
        <v>Government support for low income users</v>
      </c>
      <c r="E41" s="62">
        <f t="shared" ca="1" si="24"/>
        <v>25</v>
      </c>
      <c r="F41" s="62"/>
      <c r="G41" s="64" t="str">
        <f t="shared" si="25"/>
        <v>Government support for low income users</v>
      </c>
      <c r="H41" s="64" t="str">
        <f t="shared" si="28"/>
        <v/>
      </c>
      <c r="I41" s="64" t="str">
        <f t="shared" si="29"/>
        <v/>
      </c>
      <c r="J41" s="62"/>
      <c r="K41" s="62"/>
      <c r="L41" s="62" t="e">
        <f t="array" aca="1" ref="L41" ca="1">SMALL(IF(G41:G65="","",ROW()),ROW(INDIRECT("1:"&amp;COUNTA(G41:G65))))-(ROW()-1)</f>
        <v>#N/A</v>
      </c>
      <c r="M41" s="62" t="e">
        <f t="array" aca="1" ref="M41" ca="1">SMALL(IF(H41:H65="","",ROW()),ROW(INDIRECT("1:"&amp;COUNTA(H41:H65))))-(ROW()-1)</f>
        <v>#N/A</v>
      </c>
      <c r="N41" s="62" t="e">
        <f t="array" aca="1" ref="N41" ca="1">SMALL(IF(I41:I65="","",ROW()),ROW(INDIRECT("1:"&amp;COUNTA(I41:I65))))-(ROW()-1)</f>
        <v>#N/A</v>
      </c>
      <c r="O41" s="62">
        <v>23</v>
      </c>
      <c r="P41" s="62">
        <f t="shared" ca="1" si="26"/>
        <v>100023</v>
      </c>
      <c r="Q41" s="62">
        <f t="shared" si="27"/>
        <v>2</v>
      </c>
      <c r="R41" s="64" t="str">
        <f ca="1">IF(ISERROR(L41),"",INDEX(G41:G$69,L41))</f>
        <v/>
      </c>
      <c r="S41" s="64" t="str">
        <f ca="1">IF(ISERROR(M41),"",INDEX(H41:H$69,M41))</f>
        <v/>
      </c>
      <c r="T41" s="64" t="str">
        <f ca="1">IF(ISERROR(N41),"",INDEX(I41:I$69,N41))</f>
        <v/>
      </c>
      <c r="U41" s="62"/>
      <c r="V41" s="62"/>
      <c r="W41" s="62">
        <f t="shared" ca="1" si="17"/>
        <v>25</v>
      </c>
      <c r="X41" s="62">
        <f t="shared" ca="1" si="18"/>
        <v>21</v>
      </c>
      <c r="Y41" s="62">
        <f t="shared" ca="1" si="20"/>
        <v>2</v>
      </c>
      <c r="Z41" s="62" t="str">
        <f t="shared" ca="1" si="21"/>
        <v/>
      </c>
      <c r="AA41" s="62" t="str">
        <f t="shared" ca="1" si="22"/>
        <v/>
      </c>
      <c r="AB41" s="62" t="str">
        <f t="shared" ca="1" si="23"/>
        <v/>
      </c>
    </row>
    <row r="42" spans="1:35" s="65" customFormat="1">
      <c r="A42" s="62">
        <f ca="1">tblIndicators!C26</f>
        <v>1</v>
      </c>
      <c r="B42" s="62" t="str">
        <f ca="1">tblIndicators!A26</f>
        <v>ENDX</v>
      </c>
      <c r="C42" s="62" t="e">
        <f t="shared" ca="1" si="19"/>
        <v>#N/A</v>
      </c>
      <c r="D42" s="62" t="str">
        <f ca="1">tblIndicators!H26</f>
        <v>END</v>
      </c>
      <c r="E42" s="62" t="e">
        <f t="shared" ca="1" si="24"/>
        <v>#N/A</v>
      </c>
      <c r="F42" s="62"/>
      <c r="G42" s="64" t="e">
        <f t="shared" si="25"/>
        <v>#N/A</v>
      </c>
      <c r="H42" s="64" t="e">
        <f t="shared" si="28"/>
        <v>#N/A</v>
      </c>
      <c r="I42" s="64" t="e">
        <f t="shared" si="29"/>
        <v>#N/A</v>
      </c>
      <c r="J42" s="62"/>
      <c r="K42" s="62"/>
      <c r="L42" s="62" t="e">
        <f t="array" aca="1" ref="L42" ca="1">SMALL(IF(G42:G66="","",ROW()),ROW(INDIRECT("1:"&amp;COUNTA(G42:G66))))-(ROW()-1)</f>
        <v>#N/A</v>
      </c>
      <c r="M42" s="62" t="e">
        <f t="array" aca="1" ref="M42" ca="1">SMALL(IF(H42:H66="","",ROW()),ROW(INDIRECT("1:"&amp;COUNTA(H42:H66))))-(ROW()-1)</f>
        <v>#N/A</v>
      </c>
      <c r="N42" s="62" t="e">
        <f t="array" aca="1" ref="N42" ca="1">SMALL(IF(I42:I66="","",ROW()),ROW(INDIRECT("1:"&amp;COUNTA(I42:I66))))-(ROW()-1)</f>
        <v>#N/A</v>
      </c>
      <c r="O42" s="62">
        <v>24</v>
      </c>
      <c r="P42" s="62">
        <f t="shared" si="26"/>
        <v>24</v>
      </c>
      <c r="Q42" s="62">
        <f t="shared" si="27"/>
        <v>1</v>
      </c>
      <c r="R42" s="64" t="str">
        <f ca="1">IF(ISERROR(L42),"",INDEX(G42:G$69,L42))</f>
        <v/>
      </c>
      <c r="S42" s="64" t="str">
        <f ca="1">IF(ISERROR(M42),"",INDEX(H42:H$69,M42))</f>
        <v/>
      </c>
      <c r="T42" s="64" t="str">
        <f ca="1">IF(ISERROR(N42),"",INDEX(I42:I$69,N42))</f>
        <v/>
      </c>
      <c r="U42" s="62"/>
      <c r="V42" s="62"/>
      <c r="W42" s="62">
        <f t="shared" ca="1" si="17"/>
        <v>6</v>
      </c>
      <c r="X42" s="62">
        <f t="shared" ca="1" si="18"/>
        <v>22</v>
      </c>
      <c r="Y42" s="62">
        <f t="shared" ca="1" si="20"/>
        <v>2</v>
      </c>
      <c r="Z42" s="62" t="str">
        <f t="shared" ca="1" si="21"/>
        <v/>
      </c>
      <c r="AA42" s="62" t="str">
        <f t="shared" ca="1" si="22"/>
        <v/>
      </c>
      <c r="AB42" s="62" t="str">
        <f t="shared" ca="1" si="23"/>
        <v/>
      </c>
    </row>
    <row r="43" spans="1:35" s="65" customFormat="1">
      <c r="A43" s="62">
        <f ca="1">tblIndicators!C27</f>
        <v>0</v>
      </c>
      <c r="B43" s="62">
        <f ca="1">tblIndicators!A27</f>
        <v>0</v>
      </c>
      <c r="C43" s="62" t="e">
        <f t="shared" ca="1" si="19"/>
        <v>#N/A</v>
      </c>
      <c r="D43" s="62">
        <f ca="1">tblIndicators!H27</f>
        <v>0</v>
      </c>
      <c r="E43" s="62" t="e">
        <f t="shared" ca="1" si="24"/>
        <v>#N/A</v>
      </c>
      <c r="F43" s="62"/>
      <c r="G43" s="64" t="e">
        <f t="shared" si="25"/>
        <v>#N/A</v>
      </c>
      <c r="H43" s="64" t="e">
        <f t="shared" si="28"/>
        <v>#N/A</v>
      </c>
      <c r="I43" s="64" t="e">
        <f t="shared" si="29"/>
        <v>#N/A</v>
      </c>
      <c r="J43" s="62"/>
      <c r="K43" s="62"/>
      <c r="L43" s="62" t="e">
        <f t="array" aca="1" ref="L43" ca="1">SMALL(IF(G43:G67="","",ROW()),ROW(INDIRECT("1:"&amp;COUNTA(G43:G67))))-(ROW()-1)</f>
        <v>#N/A</v>
      </c>
      <c r="M43" s="62" t="e">
        <f t="array" aca="1" ref="M43" ca="1">SMALL(IF(H43:H67="","",ROW()),ROW(INDIRECT("1:"&amp;COUNTA(H43:H67))))-(ROW()-1)</f>
        <v>#N/A</v>
      </c>
      <c r="N43" s="62" t="e">
        <f t="array" aca="1" ref="N43" ca="1">SMALL(IF(I43:I67="","",ROW()),ROW(INDIRECT("1:"&amp;COUNTA(I43:I67))))-(ROW()-1)</f>
        <v>#N/A</v>
      </c>
      <c r="O43" s="62">
        <v>25</v>
      </c>
      <c r="P43" s="62">
        <f t="shared" si="26"/>
        <v>25</v>
      </c>
      <c r="Q43" s="62">
        <f t="shared" si="27"/>
        <v>0</v>
      </c>
      <c r="R43" s="64" t="str">
        <f ca="1">IF(ISERROR(L43),"",INDEX(G43:G$69,L43))</f>
        <v/>
      </c>
      <c r="S43" s="64" t="str">
        <f ca="1">IF(ISERROR(M43),"",INDEX(H43:H$69,M43))</f>
        <v/>
      </c>
      <c r="T43" s="64" t="str">
        <f ca="1">IF(ISERROR(N43),"",INDEX(I43:I$69,N43))</f>
        <v/>
      </c>
      <c r="U43" s="62"/>
      <c r="V43" s="62"/>
      <c r="W43" s="62">
        <f t="shared" ca="1" si="17"/>
        <v>7</v>
      </c>
      <c r="X43" s="62">
        <f t="shared" ca="1" si="18"/>
        <v>23</v>
      </c>
      <c r="Y43" s="62">
        <f t="shared" ca="1" si="20"/>
        <v>2</v>
      </c>
      <c r="Z43" s="62" t="str">
        <f t="shared" ca="1" si="21"/>
        <v/>
      </c>
      <c r="AA43" s="62" t="str">
        <f t="shared" ca="1" si="22"/>
        <v/>
      </c>
      <c r="AB43" s="62" t="str">
        <f t="shared" ca="1" si="23"/>
        <v/>
      </c>
    </row>
    <row r="44" spans="1:35" s="65" customFormat="1">
      <c r="A44" s="62">
        <f ca="1">tblIndicators!C28</f>
        <v>2</v>
      </c>
      <c r="B44" s="62" t="str">
        <f ca="1">tblIndicators!A28</f>
        <v>ENDX03</v>
      </c>
      <c r="C44" s="62" t="e">
        <f t="shared" ca="1" si="19"/>
        <v>#N/A</v>
      </c>
      <c r="D44" s="62" t="str">
        <f ca="1">tblIndicators!H28</f>
        <v>Spare</v>
      </c>
      <c r="E44" s="62" t="e">
        <f t="shared" ca="1" si="24"/>
        <v>#N/A</v>
      </c>
      <c r="F44" s="62"/>
      <c r="G44" s="64" t="e">
        <f t="shared" si="25"/>
        <v>#N/A</v>
      </c>
      <c r="H44" s="64" t="e">
        <f t="shared" si="28"/>
        <v>#N/A</v>
      </c>
      <c r="I44" s="64" t="e">
        <f t="shared" si="29"/>
        <v>#N/A</v>
      </c>
      <c r="J44" s="62"/>
      <c r="K44" s="62"/>
      <c r="L44" s="62" t="e">
        <f t="array" aca="1" ref="L44" ca="1">SMALL(IF(G44:G68="","",ROW()),ROW(INDIRECT("1:"&amp;COUNTA(G44:G68))))-(ROW()-1)</f>
        <v>#N/A</v>
      </c>
      <c r="M44" s="62" t="e">
        <f t="array" aca="1" ref="M44" ca="1">SMALL(IF(H44:H68="","",ROW()),ROW(INDIRECT("1:"&amp;COUNTA(H44:H68))))-(ROW()-1)</f>
        <v>#N/A</v>
      </c>
      <c r="N44" s="62" t="e">
        <f t="array" aca="1" ref="N44" ca="1">SMALL(IF(I44:I68="","",ROW()),ROW(INDIRECT("1:"&amp;COUNTA(I44:I68))))-(ROW()-1)</f>
        <v>#N/A</v>
      </c>
      <c r="O44" s="62">
        <v>26</v>
      </c>
      <c r="P44" s="62">
        <f t="shared" ca="1" si="26"/>
        <v>100026</v>
      </c>
      <c r="Q44" s="62">
        <f t="shared" si="27"/>
        <v>2</v>
      </c>
      <c r="R44" s="64" t="str">
        <f ca="1">IF(ISERROR(L44),"",INDEX(G44:G$69,L44))</f>
        <v/>
      </c>
      <c r="S44" s="64" t="str">
        <f ca="1">IF(ISERROR(M44),"",INDEX(H44:H$69,M44))</f>
        <v/>
      </c>
      <c r="T44" s="64" t="str">
        <f ca="1">IF(ISERROR(N44),"",INDEX(I44:I$69,N44))</f>
        <v/>
      </c>
      <c r="U44" s="62"/>
      <c r="V44" s="62"/>
      <c r="W44" s="62">
        <f t="shared" ca="1" si="17"/>
        <v>26</v>
      </c>
      <c r="X44" s="62">
        <f t="shared" ca="1" si="18"/>
        <v>26</v>
      </c>
      <c r="Y44" s="62">
        <f t="shared" ca="1" si="20"/>
        <v>2</v>
      </c>
      <c r="Z44" s="62" t="str">
        <f t="shared" ca="1" si="21"/>
        <v/>
      </c>
      <c r="AA44" s="62" t="str">
        <f t="shared" ca="1" si="22"/>
        <v/>
      </c>
      <c r="AB44" s="62" t="str">
        <f t="shared" ca="1" si="23"/>
        <v/>
      </c>
    </row>
    <row r="45" spans="1:35" s="65" customFormat="1">
      <c r="A45" s="62"/>
      <c r="B45" s="62"/>
      <c r="C45" s="62"/>
      <c r="D45" s="62"/>
      <c r="E45" s="62"/>
      <c r="F45" s="62"/>
      <c r="G45" s="64"/>
      <c r="H45" s="64" t="str">
        <f>IF(AND(E45&gt;100/3,E45&lt;200/3),D45,"")</f>
        <v/>
      </c>
      <c r="I45" s="64" t="str">
        <f>IF(E45&gt;=200/3,D45,"")</f>
        <v/>
      </c>
      <c r="J45" s="62"/>
      <c r="K45" s="62"/>
      <c r="L45" s="62"/>
      <c r="M45" s="62"/>
      <c r="N45" s="62"/>
      <c r="O45" s="62"/>
      <c r="P45" s="62"/>
      <c r="Q45" s="62"/>
      <c r="R45" s="64"/>
      <c r="S45" s="64" t="str">
        <f>IF(ISERROR(M45),"",INDEX(H45:H$69,M45))</f>
        <v/>
      </c>
      <c r="T45" s="64" t="str">
        <f>IF(ISERROR(N45),"",INDEX(I45:I$69,N45))</f>
        <v/>
      </c>
      <c r="U45" s="62"/>
      <c r="V45" s="62"/>
      <c r="W45" s="62"/>
      <c r="X45" s="62"/>
      <c r="Y45" s="62"/>
      <c r="Z45" s="62"/>
      <c r="AA45" s="62"/>
      <c r="AB45" s="62"/>
    </row>
    <row r="46" spans="1:35" s="65" customFormat="1">
      <c r="A46" s="62"/>
      <c r="B46" s="62"/>
      <c r="C46" s="62"/>
      <c r="D46" s="62"/>
      <c r="E46" s="62"/>
      <c r="F46" s="62"/>
      <c r="G46" s="64"/>
      <c r="H46" s="64" t="str">
        <f>IF(AND(E46&gt;100/3,E46&lt;200/3),D46,"")</f>
        <v/>
      </c>
      <c r="I46" s="64" t="str">
        <f>IF(E46&gt;=200/3,D46,"")</f>
        <v/>
      </c>
      <c r="J46" s="62"/>
      <c r="K46" s="62"/>
      <c r="L46" s="62"/>
      <c r="M46" s="62"/>
      <c r="N46" s="62"/>
      <c r="O46" s="62"/>
      <c r="P46" s="62"/>
      <c r="Q46" s="62"/>
      <c r="R46" s="64"/>
      <c r="S46" s="64" t="str">
        <f>IF(ISERROR(M46),"",INDEX(H46:H$69,M46))</f>
        <v/>
      </c>
      <c r="T46" s="64" t="str">
        <f>IF(ISERROR(N46),"",INDEX(I46:I$69,N46))</f>
        <v/>
      </c>
      <c r="U46" s="62"/>
      <c r="V46" s="62"/>
      <c r="W46" s="62"/>
      <c r="X46" s="62"/>
      <c r="Y46" s="62"/>
      <c r="Z46" s="62"/>
      <c r="AA46" s="62"/>
      <c r="AB46" s="62"/>
    </row>
    <row r="47" spans="1:35" s="65" customFormat="1">
      <c r="A47" s="62"/>
      <c r="B47" s="62"/>
      <c r="C47" s="62"/>
      <c r="D47" s="62"/>
      <c r="E47" s="62"/>
      <c r="F47" s="62"/>
      <c r="G47" s="64"/>
      <c r="H47" s="64" t="str">
        <f>IF(AND(E47&gt;100/3,E47&lt;200/3),D47,"")</f>
        <v/>
      </c>
      <c r="I47" s="64" t="str">
        <f>IF(E47&gt;=200/3,D47,"")</f>
        <v/>
      </c>
      <c r="J47" s="62"/>
      <c r="K47" s="62"/>
      <c r="L47" s="62"/>
      <c r="M47" s="62"/>
      <c r="N47" s="62"/>
      <c r="O47" s="62"/>
      <c r="P47" s="62"/>
      <c r="Q47" s="62"/>
      <c r="R47" s="64"/>
      <c r="S47" s="64" t="str">
        <f>IF(ISERROR(M47),"",INDEX(H47:H$69,M47))</f>
        <v/>
      </c>
      <c r="T47" s="64" t="str">
        <f>IF(ISERROR(N47),"",INDEX(I47:I$69,N47))</f>
        <v/>
      </c>
      <c r="U47" s="62"/>
      <c r="V47" s="62"/>
      <c r="W47" s="62"/>
      <c r="X47" s="62"/>
      <c r="Y47" s="62"/>
      <c r="Z47" s="62"/>
      <c r="AA47" s="62"/>
      <c r="AB47" s="62"/>
    </row>
    <row r="48" spans="1:35" s="65" customFormat="1">
      <c r="A48" s="62"/>
      <c r="B48" s="62"/>
      <c r="C48" s="62"/>
      <c r="D48" s="62"/>
      <c r="E48" s="62"/>
      <c r="F48" s="62"/>
      <c r="G48" s="64"/>
      <c r="H48" s="64"/>
      <c r="I48" s="64"/>
      <c r="J48" s="62"/>
      <c r="K48" s="62"/>
      <c r="L48" s="62"/>
      <c r="M48" s="62"/>
      <c r="N48" s="62"/>
      <c r="O48" s="62"/>
      <c r="P48" s="62"/>
      <c r="Q48" s="62"/>
      <c r="R48" s="64"/>
      <c r="S48" s="64"/>
      <c r="T48" s="64"/>
      <c r="U48" s="62"/>
      <c r="V48" s="62"/>
      <c r="W48" s="62"/>
      <c r="X48" s="62"/>
      <c r="Y48" s="62"/>
      <c r="Z48" s="62"/>
      <c r="AA48" s="62"/>
      <c r="AB48" s="62"/>
    </row>
    <row r="49" spans="1:35" s="134" customFormat="1">
      <c r="A49" s="132"/>
      <c r="B49" s="132"/>
      <c r="C49" s="132"/>
      <c r="D49" s="132"/>
      <c r="E49" s="132"/>
      <c r="F49" s="132"/>
      <c r="G49" s="133"/>
      <c r="H49" s="133"/>
      <c r="I49" s="133"/>
      <c r="J49" s="132"/>
      <c r="K49" s="132"/>
      <c r="L49" s="132"/>
      <c r="M49" s="132"/>
      <c r="N49" s="132"/>
      <c r="O49" s="132"/>
      <c r="P49" s="132"/>
      <c r="Q49" s="132"/>
      <c r="R49" s="133"/>
      <c r="S49" s="133"/>
      <c r="T49" s="133"/>
      <c r="U49" s="132"/>
      <c r="V49" s="132"/>
      <c r="W49" s="132"/>
      <c r="X49" s="132"/>
      <c r="Y49" s="132"/>
      <c r="Z49" s="62"/>
      <c r="AA49" s="62"/>
      <c r="AB49" s="62"/>
      <c r="AC49" s="65"/>
      <c r="AD49" s="65"/>
      <c r="AE49" s="65"/>
      <c r="AF49" s="65"/>
      <c r="AG49" s="65"/>
      <c r="AH49" s="65"/>
      <c r="AI49" s="65"/>
    </row>
    <row r="50" spans="1:35" s="65" customFormat="1">
      <c r="A50" s="62"/>
      <c r="B50" s="62"/>
      <c r="C50" s="62"/>
      <c r="D50" s="62"/>
      <c r="E50" s="62"/>
      <c r="F50" s="62"/>
      <c r="G50" s="64"/>
      <c r="H50" s="64"/>
      <c r="I50" s="64"/>
      <c r="J50" s="62"/>
      <c r="K50" s="62"/>
      <c r="L50" s="62"/>
      <c r="M50" s="62"/>
      <c r="N50" s="62"/>
      <c r="O50" s="62"/>
      <c r="P50" s="62"/>
      <c r="Q50" s="62"/>
      <c r="R50" s="64"/>
      <c r="S50" s="64"/>
      <c r="T50" s="64"/>
      <c r="U50" s="62"/>
      <c r="V50" s="62"/>
      <c r="W50" s="62"/>
      <c r="X50" s="62"/>
      <c r="Y50" s="62"/>
      <c r="Z50" s="62"/>
      <c r="AA50" s="62"/>
      <c r="AB50" s="62"/>
    </row>
    <row r="51" spans="1:35" s="65" customFormat="1">
      <c r="A51" s="62"/>
      <c r="B51" s="62"/>
      <c r="C51" s="62"/>
      <c r="D51" s="62"/>
      <c r="E51" s="62"/>
      <c r="F51" s="62"/>
      <c r="G51" s="64"/>
      <c r="H51" s="64"/>
      <c r="I51" s="64"/>
      <c r="J51" s="62"/>
      <c r="K51" s="62"/>
      <c r="L51" s="62"/>
      <c r="M51" s="62"/>
      <c r="N51" s="62"/>
      <c r="O51" s="62"/>
      <c r="P51" s="62"/>
      <c r="Q51" s="62"/>
      <c r="R51" s="64"/>
      <c r="S51" s="64"/>
      <c r="T51" s="64"/>
      <c r="U51" s="62"/>
      <c r="V51" s="62"/>
      <c r="W51" s="62"/>
      <c r="X51" s="62"/>
      <c r="Y51" s="62"/>
      <c r="Z51" s="62"/>
      <c r="AA51" s="62"/>
      <c r="AB51" s="62"/>
    </row>
    <row r="52" spans="1:35" s="65" customFormat="1">
      <c r="A52" s="62">
        <f ca="1">tblIndicators!C3</f>
        <v>1</v>
      </c>
      <c r="B52" s="62" t="str">
        <f ca="1">tblIndicators!A3</f>
        <v>LEGF</v>
      </c>
      <c r="C52" s="62">
        <f t="shared" ref="C52:C77" ca="1" si="33">MATCH(B52,score_indicode,0)</f>
        <v>2</v>
      </c>
      <c r="D52" s="62" t="str">
        <f ca="1">tblIndicators!H3</f>
        <v>Legal and regulatory framework</v>
      </c>
      <c r="E52" s="62">
        <f t="shared" ref="E52:E77" ca="1" si="34">INDEX(scores,C52,$B$1)</f>
        <v>38.888888888888886</v>
      </c>
      <c r="F52" s="62">
        <f t="shared" ref="F52:F77" ca="1" si="35">INDEX(text,C52,$B$1)</f>
        <v>0</v>
      </c>
      <c r="G52" s="64"/>
      <c r="H52" s="64"/>
      <c r="I52" s="64"/>
      <c r="J52" s="62"/>
      <c r="K52" s="62"/>
      <c r="L52" s="62"/>
      <c r="M52" s="62"/>
      <c r="N52" s="62"/>
      <c r="O52" s="62"/>
      <c r="P52" s="62"/>
      <c r="Q52" s="62"/>
      <c r="R52" s="64"/>
      <c r="S52" s="64"/>
      <c r="T52" s="64"/>
      <c r="U52" s="62"/>
      <c r="V52" s="62"/>
      <c r="W52" s="62"/>
      <c r="X52" s="62"/>
      <c r="Y52" s="62"/>
      <c r="Z52" s="62"/>
      <c r="AA52" s="62"/>
      <c r="AB52" s="62"/>
    </row>
    <row r="53" spans="1:35" s="65" customFormat="1">
      <c r="A53" s="62">
        <f ca="1">tblIndicators!C4</f>
        <v>2</v>
      </c>
      <c r="B53" s="62" t="str">
        <f ca="1">tblIndicators!A4</f>
        <v>LEGF01</v>
      </c>
      <c r="C53" s="62">
        <f t="shared" ca="1" si="33"/>
        <v>3</v>
      </c>
      <c r="D53" s="62" t="str">
        <f ca="1">tblIndicators!H4</f>
        <v>Consistency and quality of PPP regulations</v>
      </c>
      <c r="E53" s="62">
        <f t="shared" ca="1" si="34"/>
        <v>50</v>
      </c>
      <c r="F53" s="62" t="str">
        <f t="shared" ca="1" si="35"/>
        <v>Mexico does not have an integrated concession or PPP law for infrastructure sectors. The power to issue a concession or contract for infrastructure projects with the private sector rests with different legal bodies for each sector and level of government. State governments have their own legislation and procedures for approval. This heterogeneous framework is inflexible and difficult for promoting private-sector participation in infrastructure.  To correct this situation, PPP contracts, called Service Project Provision (PPS), have been structured by regulations contained in the Public Acquisitions Law of 1983. However, this is not adequate for infrastructure investment projects because it does not allow for project modifications. The law also establishes the concept of financial equilibrium, which forces the state to take on risks and increases ex-post opportunism. In the transport sector, federal law grants supervisory roles to the departments within the Ministry of Transport for all steps of every project. In the water sanitation sector, PPS contracts can be offered by municipal firms, which are also responsible for the supervision of each project stage. This sector is much atomised, since each municipality is responsible for service provision. In a few metropolitan areas, larger companies have developed to span several municipalities.  The preservation of the autonomy of the states and municipalities complicates the investment process.</v>
      </c>
      <c r="G53" s="64"/>
      <c r="H53" s="64"/>
      <c r="I53" s="64"/>
      <c r="J53" s="62"/>
      <c r="K53" s="62"/>
      <c r="L53" s="62"/>
      <c r="M53" s="62"/>
      <c r="N53" s="62"/>
      <c r="O53" s="62"/>
      <c r="P53" s="62"/>
      <c r="Q53" s="62"/>
      <c r="R53" s="64"/>
      <c r="S53" s="64"/>
      <c r="T53" s="64"/>
      <c r="U53" s="62"/>
      <c r="V53" s="62"/>
      <c r="W53" s="62"/>
      <c r="X53" s="62"/>
      <c r="Y53" s="62"/>
      <c r="Z53" s="62"/>
      <c r="AA53" s="62"/>
      <c r="AB53" s="62"/>
    </row>
    <row r="54" spans="1:35" s="65" customFormat="1">
      <c r="A54" s="62">
        <f ca="1">tblIndicators!C5</f>
        <v>2</v>
      </c>
      <c r="B54" s="62" t="str">
        <f ca="1">tblIndicators!A5</f>
        <v>LEGF02</v>
      </c>
      <c r="C54" s="62">
        <f t="shared" ca="1" si="33"/>
        <v>4</v>
      </c>
      <c r="D54" s="62" t="str">
        <f ca="1">tblIndicators!H5</f>
        <v>Effective PPP selection and decision making</v>
      </c>
      <c r="E54" s="62">
        <f t="shared" ca="1" si="34"/>
        <v>25</v>
      </c>
      <c r="F54" s="62" t="str">
        <f t="shared" ca="1" si="35"/>
        <v>Mexico has a national investment system which is overseen by the Ministry of Finance. The law requires cost-benefit analyses to be conducted when considering public investment projects and concessions. At the federal level, investments in infrastructure are planned for each five-year presidential term.  This process still has a political component that involves negotiation with state and local stakeholders, which reduces the profitability of investments. In the case of road concessions, free alternatives to expensive toll road systems lead to low profitability. There is no evaluation procedure that compares PPP projects and public investment with regard to cost and value. The public accounting system is biased against public investment since debt from deferred payments for PPS is not accounted for in the same way as public investment debt. This is often the fundamental consideration when determining investment modalities. In the water sector, decisions are typically influenced by politics, tariffs do not cover the cost of conserving water systems, and private participation is very complicated.</v>
      </c>
      <c r="G54" s="64"/>
      <c r="H54" s="64"/>
      <c r="I54" s="64"/>
      <c r="J54" s="62"/>
      <c r="K54" s="62"/>
      <c r="L54" s="62"/>
      <c r="M54" s="62"/>
      <c r="N54" s="62"/>
      <c r="O54" s="62"/>
      <c r="P54" s="62"/>
      <c r="Q54" s="62"/>
      <c r="R54" s="64"/>
      <c r="S54" s="64"/>
      <c r="T54" s="64"/>
      <c r="U54" s="62"/>
      <c r="V54" s="62"/>
      <c r="W54" s="62"/>
      <c r="X54" s="62"/>
      <c r="Y54" s="62"/>
      <c r="Z54" s="62"/>
      <c r="AA54" s="62"/>
      <c r="AB54" s="62"/>
    </row>
    <row r="55" spans="1:35" s="65" customFormat="1">
      <c r="A55" s="62">
        <f ca="1">tblIndicators!C6</f>
        <v>2</v>
      </c>
      <c r="B55" s="62" t="str">
        <f ca="1">tblIndicators!A6</f>
        <v>LEGF03</v>
      </c>
      <c r="C55" s="62">
        <f t="shared" ca="1" si="33"/>
        <v>5</v>
      </c>
      <c r="D55" s="62" t="str">
        <f ca="1">tblIndicators!H6</f>
        <v>Fairness/openness of bids, contract changes</v>
      </c>
      <c r="E55" s="62">
        <f t="shared" ca="1" si="34"/>
        <v>25</v>
      </c>
      <c r="F55" s="62" t="str">
        <f t="shared" ca="1" si="35"/>
        <v>Mexico requires that all federal-level projects be tendered, although large projects are negotiated directly in certain cases. In general, the bidding process involves ample public notification, even though contracts and their modifications are not always public. There is no obligation to tender or bid out contract adjustments, although the PPS juridical structure prevents additions to PPS contracts. In the case of concessions, additions are financed with contributions from users, although tariff conditions can be modified without independent mechanisms to ensure transparency.  The Public Comptroller’s office conducts audits, but staff members often do not have the technical knowledge to investigate contracts from a regulatory perspective. At the municipal level, the degree of transparency when private-sector participants are involved is low. Indeed, in many cases projects are negotiated with the private sector, and the Municipal Councils do not exercise an adequate supervisory role. Contract changes are common, but without safeguards for equity or transparency.</v>
      </c>
      <c r="G55" s="64"/>
      <c r="H55" s="64"/>
      <c r="I55" s="64"/>
      <c r="J55" s="62"/>
      <c r="K55" s="62"/>
      <c r="L55" s="62"/>
      <c r="M55" s="62"/>
      <c r="N55" s="62"/>
      <c r="O55" s="62"/>
      <c r="P55" s="62"/>
      <c r="Q55" s="62"/>
      <c r="R55" s="64"/>
      <c r="S55" s="64"/>
      <c r="T55" s="64"/>
      <c r="U55" s="62"/>
      <c r="V55" s="62"/>
      <c r="W55" s="62"/>
      <c r="X55" s="62"/>
      <c r="Y55" s="62"/>
      <c r="Z55" s="62"/>
      <c r="AA55" s="62"/>
      <c r="AB55" s="62"/>
    </row>
    <row r="56" spans="1:35" s="65" customFormat="1">
      <c r="A56" s="62">
        <f ca="1">tblIndicators!C7</f>
        <v>2</v>
      </c>
      <c r="B56" s="62" t="str">
        <f ca="1">tblIndicators!A7</f>
        <v>LEGF04</v>
      </c>
      <c r="C56" s="62">
        <f t="shared" ca="1" si="33"/>
        <v>6</v>
      </c>
      <c r="D56" s="62" t="str">
        <f ca="1">tblIndicators!H7</f>
        <v>Dispute resolution mechanisms</v>
      </c>
      <c r="E56" s="62">
        <f t="shared" ca="1" si="34"/>
        <v>50</v>
      </c>
      <c r="F56" s="62" t="str">
        <f t="shared" ca="1" si="35"/>
        <v>By constitutional requirement, disputes between the federal government and private sector actors must be resolved by the Contencioso-Administrativo tribunals, which enjoy a relative degree of independence. Only technical issues, such as disputes over construction techniques, quality of engineering, cost factors, and the quality of demand measures, can be brought to arbitration. Nevertheless, there is ambiguity over whether certain disputes belong to the courts or to arbitration, especially for decisions that involve political and judicial risk to government officials. Conciliation schemes to guarantee equity and transparency are not in place, and in practice disputes are often resolved by direct negotiations between parties, which avoids the use of tribunals. In the case of water services, the resolution system depends on the terms of each contract. If a municipality enters a concession directly, disputes are resolved by tribunals. However most PPP water projects are contracted by municipal companies, which have the power to establish ad hoc arbitration schemes. Mexico is a signatory of the International Centre for Settlement of Investment Disputes (ICSID).</v>
      </c>
      <c r="G56" s="64"/>
      <c r="H56" s="64"/>
      <c r="I56" s="64"/>
      <c r="J56" s="62"/>
      <c r="K56" s="62"/>
      <c r="L56" s="62"/>
      <c r="M56" s="62"/>
      <c r="N56" s="62"/>
      <c r="O56" s="62"/>
      <c r="P56" s="62"/>
      <c r="Q56" s="62"/>
      <c r="R56" s="64"/>
      <c r="S56" s="64"/>
      <c r="T56" s="64"/>
      <c r="U56" s="62"/>
      <c r="V56" s="62"/>
      <c r="W56" s="62"/>
      <c r="X56" s="62"/>
      <c r="Y56" s="62"/>
      <c r="Z56" s="62"/>
      <c r="AA56" s="62"/>
      <c r="AB56" s="62"/>
    </row>
    <row r="57" spans="1:35" s="65" customFormat="1">
      <c r="A57" s="62">
        <f ca="1">tblIndicators!C8</f>
        <v>1</v>
      </c>
      <c r="B57" s="62" t="str">
        <f ca="1">tblIndicators!A8</f>
        <v>INST</v>
      </c>
      <c r="C57" s="62">
        <f t="shared" ca="1" si="33"/>
        <v>7</v>
      </c>
      <c r="D57" s="62" t="str">
        <f ca="1">tblIndicators!H8</f>
        <v>Institutional framework</v>
      </c>
      <c r="E57" s="62">
        <f t="shared" ca="1" si="34"/>
        <v>37.5</v>
      </c>
      <c r="F57" s="62">
        <f t="shared" ca="1" si="35"/>
        <v>0</v>
      </c>
      <c r="G57" s="64"/>
      <c r="H57" s="64"/>
      <c r="I57" s="64"/>
      <c r="J57" s="62"/>
      <c r="K57" s="62"/>
      <c r="L57" s="62"/>
      <c r="M57" s="62"/>
      <c r="N57" s="62"/>
      <c r="O57" s="62"/>
      <c r="P57" s="62"/>
      <c r="Q57" s="62"/>
      <c r="R57" s="64"/>
      <c r="S57" s="64"/>
      <c r="T57" s="64"/>
      <c r="U57" s="62"/>
      <c r="V57" s="62"/>
      <c r="W57" s="62"/>
      <c r="X57" s="62"/>
      <c r="Y57" s="62"/>
      <c r="Z57" s="62"/>
      <c r="AA57" s="62"/>
      <c r="AB57" s="62"/>
    </row>
    <row r="58" spans="1:35" s="65" customFormat="1">
      <c r="A58" s="62">
        <f ca="1">tblIndicators!C9</f>
        <v>2</v>
      </c>
      <c r="B58" s="62" t="str">
        <f ca="1">tblIndicators!A9</f>
        <v>INST01</v>
      </c>
      <c r="C58" s="62">
        <f t="shared" ca="1" si="33"/>
        <v>8</v>
      </c>
      <c r="D58" s="62" t="str">
        <f ca="1">tblIndicators!H9</f>
        <v>Quality of institutional design</v>
      </c>
      <c r="E58" s="62">
        <f t="shared" ca="1" si="34"/>
        <v>25</v>
      </c>
      <c r="F58" s="62" t="str">
        <f t="shared" ca="1" si="35"/>
        <v>The Mexican institutional system is highly fragmented; each sector and level of government is responsible for planning, implementing and supervising projects. There is no council at the ministerial level that establishes policies and oversees the system. There is no agency to advise on financial or contractual issues, nor is there supervision of service standards and economic regulation. On the other hand, the Ministry of Finance must approve federal level projects, although the ministry still needs to formalise and develop evaluation procedures for fiscal risks and contingencies. This ministry is in charge of the management of the national investment system, which exercises a certain disciplinary role in project supervision and selection.</v>
      </c>
      <c r="G58" s="64"/>
      <c r="H58" s="64"/>
      <c r="I58" s="64"/>
      <c r="J58" s="62"/>
      <c r="K58" s="62"/>
      <c r="L58" s="62"/>
      <c r="M58" s="62"/>
      <c r="N58" s="62"/>
      <c r="O58" s="62"/>
      <c r="P58" s="62"/>
      <c r="Q58" s="62"/>
      <c r="R58" s="64"/>
      <c r="S58" s="64"/>
      <c r="T58" s="64"/>
      <c r="U58" s="62"/>
      <c r="V58" s="62"/>
      <c r="W58" s="62"/>
      <c r="X58" s="62"/>
      <c r="Y58" s="62"/>
      <c r="Z58" s="62"/>
      <c r="AA58" s="62"/>
      <c r="AB58" s="62"/>
    </row>
    <row r="59" spans="1:35" s="65" customFormat="1">
      <c r="A59" s="62">
        <f ca="1">tblIndicators!C10</f>
        <v>2</v>
      </c>
      <c r="B59" s="62" t="str">
        <f ca="1">tblIndicators!A10</f>
        <v>INST02</v>
      </c>
      <c r="C59" s="62">
        <f t="shared" ca="1" si="33"/>
        <v>9</v>
      </c>
      <c r="D59" s="62" t="str">
        <f ca="1">tblIndicators!H10</f>
        <v>PPP contract, hold-up and expropriation risk</v>
      </c>
      <c r="E59" s="62">
        <f t="shared" ca="1" si="34"/>
        <v>50</v>
      </c>
      <c r="F59" s="62" t="str">
        <f t="shared" ca="1" si="35"/>
        <v>The general legal framework and the constitution protect property rights, requiring compensation in cases of expropriation for public interest reason.  Tribunals have enough prestige and independence to secure reasonable protection for investors. There are general laws that regulate the termination of contracts with the state and which generate a reasonable level of legal security. Mexico has developed a system called Fideicomiso,  which protects creditors’ rights in case of non-compliance by operators or the state in a particular contract. Transfer mechanisms for concessions are complicated and do not allow an expedited exit from a contract for investors. Regulations for obtaining rights of way for road or other infrastructure projects are extremely bureaucratic and often lead to legal paralysis and opportunism by property owners. Environmental and social issues often generate political conflicts as well, which filter through the judicial system, triggering cumbersome and frustrating legal procedures. The use of judicial procedures to delay projects and increase the value of compensation for property owners is widespread.  The government is planning legislation to speed up this process and reduce hold-up risk.</v>
      </c>
      <c r="G59" s="64"/>
      <c r="H59" s="64"/>
      <c r="I59" s="64"/>
      <c r="J59" s="62"/>
      <c r="K59" s="62"/>
      <c r="L59" s="62"/>
      <c r="M59" s="62"/>
      <c r="N59" s="62"/>
      <c r="O59" s="62"/>
      <c r="P59" s="62"/>
      <c r="Q59" s="62"/>
      <c r="R59" s="64"/>
      <c r="S59" s="64"/>
      <c r="T59" s="64"/>
      <c r="U59" s="62"/>
      <c r="V59" s="62"/>
      <c r="W59" s="62"/>
      <c r="X59" s="62"/>
      <c r="Y59" s="62"/>
      <c r="Z59" s="62"/>
      <c r="AA59" s="62"/>
      <c r="AB59" s="62"/>
    </row>
    <row r="60" spans="1:35" s="65" customFormat="1">
      <c r="A60" s="62">
        <f ca="1">tblIndicators!C11</f>
        <v>1</v>
      </c>
      <c r="B60" s="62" t="str">
        <f ca="1">tblIndicators!A11</f>
        <v>OPER</v>
      </c>
      <c r="C60" s="62">
        <f t="shared" ca="1" si="33"/>
        <v>10</v>
      </c>
      <c r="D60" s="62" t="str">
        <f ca="1">tblIndicators!H11</f>
        <v>Operational maturity</v>
      </c>
      <c r="E60" s="62">
        <f t="shared" ca="1" si="34"/>
        <v>54.061699948796729</v>
      </c>
      <c r="F60" s="62">
        <f t="shared" ca="1" si="35"/>
        <v>0</v>
      </c>
      <c r="G60" s="64"/>
      <c r="H60" s="64"/>
      <c r="I60" s="64"/>
      <c r="J60" s="62"/>
      <c r="K60" s="62"/>
      <c r="L60" s="62"/>
      <c r="M60" s="62"/>
      <c r="N60" s="62"/>
      <c r="O60" s="62"/>
      <c r="P60" s="62"/>
      <c r="Q60" s="62"/>
      <c r="R60" s="64"/>
      <c r="S60" s="64"/>
      <c r="T60" s="64"/>
      <c r="U60" s="62"/>
      <c r="V60" s="62"/>
      <c r="W60" s="62"/>
      <c r="X60" s="62"/>
      <c r="Y60" s="62"/>
      <c r="Z60" s="62"/>
      <c r="AA60" s="62"/>
      <c r="AB60" s="62"/>
    </row>
    <row r="61" spans="1:35" s="65" customFormat="1">
      <c r="A61" s="62">
        <f ca="1">tblIndicators!C12</f>
        <v>2</v>
      </c>
      <c r="B61" s="62" t="str">
        <f ca="1">tblIndicators!A12</f>
        <v>OPER01</v>
      </c>
      <c r="C61" s="62">
        <f t="shared" ca="1" si="33"/>
        <v>11</v>
      </c>
      <c r="D61" s="62" t="str">
        <f ca="1">tblIndicators!H12</f>
        <v>Public capacity to plan and oversee PPPs</v>
      </c>
      <c r="E61" s="62">
        <f t="shared" ca="1" si="34"/>
        <v>25</v>
      </c>
      <c r="F61" s="62" t="str">
        <f t="shared" ca="1" si="35"/>
        <v>The capacity for project planning and development is very limited at all levels of government. Resources are especially limited at the municipal level, which constitutes a significant bottleneck for implementing PPP programs. The efforts and expertise dedicated to supervision of PPP contracts are minimal. The limited human resources dedicated to public works focus on project preparation rather than oversight of service quality. The fiscal adjustment following the financial crisis of the 1990s led to a dramatic reduction in public investment; this reduced significantly the number of engineers working in project preparation at all levels of government</v>
      </c>
      <c r="G61" s="64"/>
      <c r="H61" s="64"/>
      <c r="I61" s="64"/>
      <c r="J61" s="62"/>
      <c r="K61" s="62"/>
      <c r="L61" s="62"/>
      <c r="M61" s="62"/>
      <c r="N61" s="62"/>
      <c r="O61" s="62"/>
      <c r="P61" s="62"/>
      <c r="Q61" s="62"/>
      <c r="R61" s="64"/>
      <c r="S61" s="64"/>
      <c r="T61" s="64"/>
      <c r="U61" s="62"/>
      <c r="V61" s="62"/>
      <c r="W61" s="62"/>
      <c r="X61" s="62"/>
      <c r="Y61" s="62"/>
      <c r="Z61" s="62"/>
      <c r="AA61" s="62"/>
      <c r="AB61" s="62"/>
    </row>
    <row r="62" spans="1:35" s="65" customFormat="1">
      <c r="A62" s="62">
        <f ca="1">tblIndicators!C13</f>
        <v>2</v>
      </c>
      <c r="B62" s="62" t="str">
        <f ca="1">tblIndicators!A13</f>
        <v>OPER02</v>
      </c>
      <c r="C62" s="62">
        <f t="shared" ca="1" si="33"/>
        <v>12</v>
      </c>
      <c r="D62" s="62" t="str">
        <f ca="1">tblIndicators!H13</f>
        <v xml:space="preserve">Methods and criteria for awarding projects </v>
      </c>
      <c r="E62" s="62">
        <f t="shared" ca="1" si="34"/>
        <v>25</v>
      </c>
      <c r="F62" s="62" t="str">
        <f t="shared" ca="1" si="35"/>
        <v>In the transport sector, public bidding mechanisms to award PPP investment projects are used at the federal level. The variables for awarding a contract are principally economic in nature, although well-regarded measures such as the present value of revenue are not used. Not using the latter measure, which incorporates the possibility of adjusting the length of the concession when demand falls and shortening it when demand rises, increases the need for renegotiation. Fixed terms imply lost profits when demand is lower than expected and excessive profits when demand is higher than expected. In the case of recent bids for toll highways, such as the Farac project, the unusually high prices and profits demonstrate insufficient planning capacity during bidding. In the sanitary and water sector, processes are not competitive and contract award criteria are highly subjective.</v>
      </c>
      <c r="G62" s="64"/>
      <c r="H62" s="64"/>
      <c r="I62" s="64"/>
      <c r="J62" s="62"/>
      <c r="K62" s="62"/>
      <c r="L62" s="62"/>
      <c r="M62" s="62"/>
      <c r="N62" s="62"/>
      <c r="O62" s="62"/>
      <c r="P62" s="62"/>
      <c r="Q62" s="62"/>
      <c r="R62" s="64"/>
      <c r="S62" s="64"/>
      <c r="T62" s="64"/>
      <c r="U62" s="62"/>
      <c r="V62" s="62"/>
      <c r="W62" s="62"/>
      <c r="X62" s="62"/>
      <c r="Y62" s="62"/>
      <c r="Z62" s="62"/>
      <c r="AA62" s="62"/>
      <c r="AB62" s="62"/>
    </row>
    <row r="63" spans="1:35" s="65" customFormat="1">
      <c r="A63" s="62">
        <f ca="1">tblIndicators!C14</f>
        <v>2</v>
      </c>
      <c r="B63" s="62" t="str">
        <f ca="1">tblIndicators!A14</f>
        <v>OPER03</v>
      </c>
      <c r="C63" s="62">
        <f t="shared" ca="1" si="33"/>
        <v>13</v>
      </c>
      <c r="D63" s="62" t="str">
        <f ca="1">tblIndicators!H14</f>
        <v>Regulators' risk allocation record</v>
      </c>
      <c r="E63" s="62">
        <f t="shared" ca="1" si="34"/>
        <v>25</v>
      </c>
      <c r="F63" s="62" t="str">
        <f t="shared" ca="1" si="35"/>
        <v xml:space="preserve">Experience with the first generation of concessions has shown that the state has not been able to transfer commercial risk to the private sector as it should. The concept of maintaining financial equilibrium for projects explains this dilemma. In the newer wave of roadway concessions, the present value criteria has not been used; rather, the state has established as award criteria the highest payment to the government promised by the private sector operator or the lowest government subsidy proposed by the concessionaire and do not guarantee income for a minimum traffic level. </v>
      </c>
      <c r="G63" s="64"/>
      <c r="H63" s="64"/>
      <c r="I63" s="64"/>
      <c r="J63" s="62"/>
      <c r="K63" s="62"/>
      <c r="L63" s="62"/>
      <c r="M63" s="62"/>
      <c r="N63" s="62"/>
      <c r="O63" s="62"/>
      <c r="P63" s="62"/>
      <c r="Q63" s="62"/>
      <c r="R63" s="64"/>
      <c r="S63" s="64"/>
      <c r="T63" s="64"/>
      <c r="U63" s="62"/>
      <c r="V63" s="62"/>
      <c r="W63" s="62"/>
      <c r="X63" s="62"/>
      <c r="Y63" s="62"/>
      <c r="Z63" s="62"/>
      <c r="AA63" s="62"/>
      <c r="AB63" s="62"/>
    </row>
    <row r="64" spans="1:35">
      <c r="A64" s="62">
        <f ca="1">tblIndicators!C15</f>
        <v>2</v>
      </c>
      <c r="B64" s="62" t="str">
        <f ca="1">tblIndicators!A15</f>
        <v>OPER04</v>
      </c>
      <c r="C64" s="62">
        <f t="shared" ca="1" si="33"/>
        <v>14</v>
      </c>
      <c r="D64" s="62" t="str">
        <f ca="1">tblIndicators!H15</f>
        <v>Experience in transport &amp; water concessions</v>
      </c>
      <c r="E64" s="62">
        <f t="shared" ca="1" si="34"/>
        <v>59.047619047619051</v>
      </c>
      <c r="F64" s="62" t="str">
        <f t="shared" ca="1" si="35"/>
        <v xml:space="preserve">According to data from the World Bank, in the past ten years Mexico had a total of 62 projects in the water and transport sectors. Across the four major infrastructure sectors (ie, water, transport, energy and telecoms), transport concessions represented 42% of all projects and water represented 16%. (Figures do not include management and lease contracts or divestitures. Please note that numbers do not necessarily match explanations for other indicators in this index due to different counting methods and time frames.) </v>
      </c>
      <c r="G64" s="64"/>
      <c r="H64" s="64"/>
      <c r="I64" s="64"/>
      <c r="J64" s="62"/>
      <c r="K64" s="62"/>
      <c r="L64" s="62"/>
      <c r="M64" s="62"/>
      <c r="N64" s="62"/>
      <c r="O64" s="62"/>
      <c r="P64" s="62"/>
      <c r="Q64" s="62"/>
      <c r="R64" s="64"/>
      <c r="S64" s="64"/>
      <c r="T64" s="64"/>
      <c r="U64" s="62"/>
      <c r="V64" s="62"/>
      <c r="W64" s="62"/>
      <c r="X64" s="62"/>
      <c r="Y64" s="62"/>
      <c r="Z64" s="62"/>
      <c r="AA64" s="62"/>
      <c r="AB64" s="62"/>
    </row>
    <row r="65" spans="1:28">
      <c r="A65" s="62">
        <f ca="1">tblIndicators!C16</f>
        <v>2</v>
      </c>
      <c r="B65" s="62" t="str">
        <f ca="1">tblIndicators!A16</f>
        <v>OPER05</v>
      </c>
      <c r="C65" s="62">
        <f t="shared" ca="1" si="33"/>
        <v>15</v>
      </c>
      <c r="D65" s="62" t="str">
        <f ca="1">tblIndicators!H16</f>
        <v>Quality of transport and water concessions</v>
      </c>
      <c r="E65" s="62">
        <f t="shared" ca="1" si="34"/>
        <v>95.161290322580655</v>
      </c>
      <c r="F65" s="62" t="str">
        <f t="shared" ca="1" si="35"/>
        <v>Out of 62 projects in the World Bank PPI database for the transport and water sectors, Mexico had 1 failed/distressed project in transport and 2 failed/distressed projects in the water sector, for an overall failure/distress rate of 4.8%. (Figures do not include management and lease contracts or divestitures. Please note that numbers do not necessarily match explanations for other indicators in this index due to different counting methods and time frames.)</v>
      </c>
      <c r="G65" s="64"/>
      <c r="H65" s="64"/>
      <c r="I65" s="64"/>
      <c r="J65" s="62"/>
      <c r="K65" s="62"/>
      <c r="L65" s="62"/>
      <c r="M65" s="62"/>
      <c r="N65" s="62"/>
      <c r="O65" s="62"/>
      <c r="P65" s="62"/>
      <c r="Q65" s="62"/>
      <c r="R65" s="64"/>
      <c r="S65" s="64"/>
      <c r="T65" s="64"/>
      <c r="U65" s="62"/>
      <c r="V65" s="62"/>
      <c r="W65" s="62"/>
      <c r="X65" s="62"/>
      <c r="Y65" s="62"/>
      <c r="Z65" s="62"/>
      <c r="AA65" s="62"/>
      <c r="AB65" s="62"/>
    </row>
    <row r="66" spans="1:28">
      <c r="A66" s="62">
        <f ca="1">tblIndicators!C17</f>
        <v>1</v>
      </c>
      <c r="B66" s="62" t="str">
        <f ca="1">tblIndicators!A17</f>
        <v>INVT</v>
      </c>
      <c r="C66" s="62">
        <f t="shared" ca="1" si="33"/>
        <v>16</v>
      </c>
      <c r="D66" s="62" t="str">
        <f ca="1">tblIndicators!H17</f>
        <v>Investment climate</v>
      </c>
      <c r="E66" s="62">
        <f t="shared" ca="1" si="34"/>
        <v>65.144555625543859</v>
      </c>
      <c r="F66" s="62">
        <f t="shared" ca="1" si="35"/>
        <v>0</v>
      </c>
      <c r="G66" s="64"/>
      <c r="H66" s="64"/>
      <c r="I66" s="64"/>
      <c r="J66" s="62"/>
      <c r="K66" s="62"/>
      <c r="L66" s="62"/>
      <c r="M66" s="62"/>
      <c r="N66" s="62"/>
      <c r="O66" s="62"/>
      <c r="P66" s="62"/>
      <c r="Q66" s="62"/>
      <c r="R66" s="64"/>
      <c r="S66" s="64"/>
      <c r="T66" s="64"/>
      <c r="U66" s="62"/>
      <c r="V66" s="62"/>
      <c r="W66" s="62"/>
      <c r="X66" s="62"/>
      <c r="Y66" s="62"/>
      <c r="Z66" s="62"/>
      <c r="AA66" s="62"/>
      <c r="AB66" s="62"/>
    </row>
    <row r="67" spans="1:28">
      <c r="A67" s="62">
        <f ca="1">tblIndicators!C18</f>
        <v>2</v>
      </c>
      <c r="B67" s="62" t="str">
        <f ca="1">tblIndicators!A18</f>
        <v>INVT01</v>
      </c>
      <c r="C67" s="62">
        <f t="shared" ca="1" si="33"/>
        <v>17</v>
      </c>
      <c r="D67" s="62" t="str">
        <f ca="1">tblIndicators!H18</f>
        <v>Political distortion</v>
      </c>
      <c r="E67" s="62">
        <f t="shared" ca="1" si="34"/>
        <v>46.133081820896692</v>
      </c>
      <c r="F67" s="62" t="str">
        <f t="shared" ca="1" si="35"/>
        <v>Since 2000, Mexico has moved from a system in which political power was highly concentrated in the presidency to one in which the legislature and the state governors have been empowered and the executive weakened. This shift has exposed institutional weaknesses that impair political effectiveness. Once again, no single party has a majority in the Congress elected in 2006. Mr Calderón of the Partido Acción Nacional (PAN), who took office at the end of 2006, faces the same challenges in pushing his agenda through Congress as his predecessor, Vicente Fox. Although governability initially improved under Mr Calderón, looming mid-term elections in July 2009 have since slowed the legislative agenda. Several initiatives have been put forward to tackle pervasive corruption. Advances will be slow, but such efforts may receive impetus from growing media coverage of misconduct. The influence of interest groups remains prevalent despite various efforts to promote more transparent rules.</v>
      </c>
      <c r="G67" s="64"/>
      <c r="H67" s="64"/>
      <c r="I67" s="64"/>
      <c r="J67" s="62"/>
      <c r="K67" s="62"/>
      <c r="L67" s="62"/>
      <c r="M67" s="62"/>
      <c r="N67" s="62"/>
      <c r="O67" s="62"/>
      <c r="P67" s="62"/>
      <c r="Q67" s="62"/>
      <c r="R67" s="64"/>
      <c r="S67" s="64"/>
      <c r="T67" s="64"/>
      <c r="U67" s="62"/>
      <c r="V67" s="62"/>
      <c r="W67" s="62"/>
      <c r="X67" s="62"/>
      <c r="Y67" s="62"/>
      <c r="Z67" s="62"/>
      <c r="AA67" s="62"/>
      <c r="AB67" s="62"/>
    </row>
    <row r="68" spans="1:28">
      <c r="A68" s="62">
        <f ca="1">tblIndicators!C19</f>
        <v>2</v>
      </c>
      <c r="B68" s="62" t="str">
        <f ca="1">tblIndicators!A19</f>
        <v>INVT02</v>
      </c>
      <c r="C68" s="62">
        <f t="shared" ca="1" si="33"/>
        <v>18</v>
      </c>
      <c r="D68" s="62" t="str">
        <f ca="1">tblIndicators!H19</f>
        <v>Business environment</v>
      </c>
      <c r="E68" s="62">
        <f t="shared" ca="1" si="34"/>
        <v>79.16774811494497</v>
      </c>
      <c r="F68" s="62" t="str">
        <f t="shared" ca="1" si="35"/>
        <v>Macroeconomic risk has risen sharply. Although monetary and fiscal policy management has become more disciplined in recent years, Mexico faces the prospect of a sharp economic decline in 2009 as the US - its main trading partner - enters a recession. Worsening external conditions will highlight the extent to which Mexican growth remains acutely vulnerable to economic cycles in the US. Notwithstanding recent capital inflows related to a widening interest rate differential with the US, a further depreciation of the peso is likely in coming months as the external balance weakens. The collapse in domestic demand is at least likely to allow inflation to fall back within the 2-4% target by the end of 2009, even assuming a cycle of monetary easing by the central bank.</v>
      </c>
      <c r="G68" s="27"/>
      <c r="H68" s="27"/>
      <c r="I68" s="27"/>
      <c r="J68" s="27"/>
      <c r="K68" s="27"/>
      <c r="L68" s="27"/>
      <c r="M68" s="27"/>
      <c r="N68" s="27"/>
      <c r="O68" s="27"/>
      <c r="P68" s="27"/>
      <c r="Q68" s="27"/>
      <c r="R68" s="27"/>
      <c r="S68" s="27"/>
      <c r="T68" s="27"/>
      <c r="U68" s="27"/>
      <c r="V68" s="27"/>
      <c r="W68" s="62"/>
      <c r="X68" s="62"/>
      <c r="Y68" s="62"/>
      <c r="Z68" s="62"/>
      <c r="AA68" s="62"/>
      <c r="AB68" s="62"/>
    </row>
    <row r="69" spans="1:28">
      <c r="A69" s="62">
        <f ca="1">tblIndicators!C20</f>
        <v>2</v>
      </c>
      <c r="B69" s="62" t="str">
        <f ca="1">tblIndicators!A20</f>
        <v>INVT03</v>
      </c>
      <c r="C69" s="62">
        <f t="shared" ca="1" si="33"/>
        <v>19</v>
      </c>
      <c r="D69" s="62" t="str">
        <f ca="1">tblIndicators!H20</f>
        <v>Social attitudes towards privatisation</v>
      </c>
      <c r="E69" s="62">
        <f t="shared" ca="1" si="34"/>
        <v>67.63869628316688</v>
      </c>
      <c r="F69" s="62" t="str">
        <f t="shared" ca="1" si="35"/>
        <v>Events surrounding the 2006 presidential election suggest that there is still some risk of social unrest, although there are no direct links between armed rebels and the left-wing political opposition. Protests are a regular occurrence in the capital, but are rarely violent and do not generally obstruct business.</v>
      </c>
      <c r="G69" s="27"/>
      <c r="H69" s="27"/>
      <c r="I69" s="27"/>
      <c r="J69" s="27"/>
      <c r="K69" s="27"/>
      <c r="L69" s="27"/>
      <c r="M69" s="27"/>
      <c r="N69" s="27"/>
      <c r="O69" s="27"/>
      <c r="P69" s="27"/>
      <c r="Q69" s="27"/>
      <c r="R69" s="27"/>
      <c r="S69" s="27"/>
      <c r="T69" s="27"/>
      <c r="U69" s="27"/>
      <c r="V69" s="27"/>
      <c r="W69" s="62"/>
      <c r="X69" s="62"/>
      <c r="Y69" s="62"/>
      <c r="Z69" s="62"/>
      <c r="AA69" s="62"/>
      <c r="AB69" s="62"/>
    </row>
    <row r="70" spans="1:28">
      <c r="A70" s="62">
        <f ca="1">tblIndicators!C21</f>
        <v>1</v>
      </c>
      <c r="B70" s="62" t="str">
        <f ca="1">tblIndicators!A21</f>
        <v>FINC</v>
      </c>
      <c r="C70" s="62">
        <f t="shared" ca="1" si="33"/>
        <v>20</v>
      </c>
      <c r="D70" s="62" t="str">
        <f ca="1">tblIndicators!H21</f>
        <v>Financial facilities</v>
      </c>
      <c r="E70" s="62">
        <f t="shared" ca="1" si="34"/>
        <v>66.666666666666671</v>
      </c>
      <c r="F70" s="62">
        <f t="shared" ca="1" si="35"/>
        <v>0</v>
      </c>
      <c r="G70" s="27"/>
      <c r="H70" s="27"/>
      <c r="I70" s="27"/>
      <c r="J70" s="27"/>
      <c r="K70" s="27"/>
      <c r="L70" s="27"/>
      <c r="M70" s="27"/>
      <c r="N70" s="27"/>
      <c r="O70" s="27"/>
      <c r="P70" s="27"/>
      <c r="Q70" s="27"/>
      <c r="R70" s="27"/>
      <c r="S70" s="27"/>
      <c r="T70" s="27"/>
      <c r="U70" s="27"/>
      <c r="V70" s="27"/>
      <c r="W70" s="62"/>
      <c r="X70" s="62"/>
      <c r="Y70" s="62"/>
      <c r="Z70" s="62"/>
      <c r="AA70" s="62"/>
      <c r="AB70" s="62"/>
    </row>
    <row r="71" spans="1:28">
      <c r="A71" s="62">
        <f ca="1">tblIndicators!C22</f>
        <v>2</v>
      </c>
      <c r="B71" s="62" t="str">
        <f ca="1">tblIndicators!A22</f>
        <v>FINC01</v>
      </c>
      <c r="C71" s="62">
        <f t="shared" ca="1" si="33"/>
        <v>21</v>
      </c>
      <c r="D71" s="62" t="str">
        <f ca="1">tblIndicators!H22</f>
        <v>Government payment risk</v>
      </c>
      <c r="E71" s="62">
        <f t="shared" ca="1" si="34"/>
        <v>75</v>
      </c>
      <c r="F71" s="62" t="str">
        <f t="shared" ca="1" si="35"/>
        <v xml:space="preserve">In general, the federal government has a good track record and fulfills its obligations to PPP projects in a timely manner. The record is more mixed on a sub-national level. However, the structuring of PPP projects usually considers the Fideicomiso as a separate entity managed by a bank trust, to which the government must anticipate the payment of a proportion of future subsidies. The bank trust is responsible for disbursing government subsidies according to the contract specification. This scheme has reduced drastically illiquidity problems for federal and sub-national entities. </v>
      </c>
      <c r="G71" s="27"/>
      <c r="H71" s="27"/>
      <c r="I71" s="27"/>
      <c r="J71" s="27"/>
      <c r="K71" s="27"/>
      <c r="L71" s="27"/>
      <c r="M71" s="27"/>
      <c r="N71" s="27"/>
      <c r="O71" s="27"/>
      <c r="P71" s="27"/>
      <c r="Q71" s="27"/>
      <c r="R71" s="27"/>
      <c r="S71" s="27"/>
      <c r="T71" s="27"/>
      <c r="U71" s="27"/>
      <c r="V71" s="27"/>
      <c r="W71" s="62"/>
      <c r="X71" s="62"/>
      <c r="Y71" s="62"/>
      <c r="Z71" s="62"/>
      <c r="AA71" s="62"/>
      <c r="AB71" s="62"/>
    </row>
    <row r="72" spans="1:28">
      <c r="A72" s="62">
        <f ca="1">tblIndicators!C23</f>
        <v>2</v>
      </c>
      <c r="B72" s="62" t="str">
        <f ca="1">tblIndicators!A23</f>
        <v>FINC02</v>
      </c>
      <c r="C72" s="62">
        <f t="shared" ca="1" si="33"/>
        <v>22</v>
      </c>
      <c r="D72" s="62" t="str">
        <f ca="1">tblIndicators!H23</f>
        <v>Capital market: private infrastructure finance</v>
      </c>
      <c r="E72" s="62">
        <f t="shared" ca="1" si="34"/>
        <v>75</v>
      </c>
      <c r="F72" s="62" t="str">
        <f t="shared" ca="1" si="35"/>
        <v xml:space="preserve">Mexico’s capital markets are well developed and serve institutional investors linked to the pension system, which invests in long-term instruments. Firms and the state have developed debt instruments that are indexed to inflation for the medium and long term to capture resources from institutional investors. There has been only moderate development of risk diversification instruments that are useful for infrastructure projects. Exchange-rate risk hedging instruments are available, but these are largely short-term. Completion risk markets remain underdeveloped. </v>
      </c>
      <c r="G72" s="27"/>
      <c r="H72" s="27"/>
      <c r="I72" s="27"/>
      <c r="J72" s="27"/>
      <c r="K72" s="27"/>
      <c r="L72" s="27"/>
      <c r="M72" s="27"/>
      <c r="N72" s="27"/>
      <c r="O72" s="27"/>
      <c r="P72" s="27"/>
      <c r="Q72" s="27"/>
      <c r="R72" s="27"/>
      <c r="S72" s="27"/>
      <c r="T72" s="27"/>
      <c r="U72" s="27"/>
      <c r="V72" s="27"/>
      <c r="W72" s="62"/>
      <c r="X72" s="62"/>
      <c r="Y72" s="62"/>
      <c r="Z72" s="62"/>
      <c r="AA72" s="62"/>
      <c r="AB72" s="62"/>
    </row>
    <row r="73" spans="1:28">
      <c r="A73" s="62">
        <f ca="1">tblIndicators!C24</f>
        <v>2</v>
      </c>
      <c r="B73" s="62" t="str">
        <f ca="1">tblIndicators!A24</f>
        <v>FINC03</v>
      </c>
      <c r="C73" s="62">
        <f t="shared" ca="1" si="33"/>
        <v>23</v>
      </c>
      <c r="D73" s="62" t="str">
        <f ca="1">tblIndicators!H24</f>
        <v>Marketable debt</v>
      </c>
      <c r="E73" s="62">
        <f t="shared" ca="1" si="34"/>
        <v>75</v>
      </c>
      <c r="F73" s="62" t="str">
        <f t="shared" ca="1" si="35"/>
        <v>Commercial banks offer medium and long-term loans. Their market is principally medium-sized and large companies, but penetration of the small-business sector is growing.(In 2005 it issued its first-ever 30-year bond.)  The government is attempting to build a reference yield curve for the private-debt market by issuing longer-term paper. However companies in Mexico with access to dollars generally opt to finance in dollars (for both short- and long-term needs). Three-year fixed-rate loans are the most common for longer-term projects and are typically obtained through a foreign syndicate.</v>
      </c>
      <c r="G73" s="27"/>
      <c r="H73" s="27"/>
      <c r="I73" s="27"/>
      <c r="J73" s="27"/>
      <c r="K73" s="27"/>
      <c r="L73" s="27"/>
      <c r="M73" s="27"/>
      <c r="N73" s="27"/>
      <c r="O73" s="27"/>
      <c r="P73" s="27"/>
      <c r="Q73" s="27"/>
      <c r="R73" s="27"/>
      <c r="S73" s="27"/>
      <c r="T73" s="27"/>
      <c r="U73" s="27"/>
      <c r="V73" s="27"/>
      <c r="W73" s="62"/>
      <c r="X73" s="62"/>
      <c r="Y73" s="62"/>
      <c r="Z73" s="62"/>
      <c r="AA73" s="62"/>
      <c r="AB73" s="62"/>
    </row>
    <row r="74" spans="1:28">
      <c r="A74" s="62">
        <f ca="1">tblIndicators!C25</f>
        <v>2</v>
      </c>
      <c r="B74" s="62" t="str">
        <f ca="1">tblIndicators!A25</f>
        <v>FINC04</v>
      </c>
      <c r="C74" s="62">
        <f t="shared" ca="1" si="33"/>
        <v>24</v>
      </c>
      <c r="D74" s="62" t="str">
        <f ca="1">tblIndicators!H25</f>
        <v>Government support for low income users</v>
      </c>
      <c r="E74" s="62">
        <f t="shared" ca="1" si="34"/>
        <v>25</v>
      </c>
      <c r="F74" s="62" t="str">
        <f t="shared" ca="1" si="35"/>
        <v xml:space="preserve">In general, the government does not offer demand-based subsidies of basic services for a targeted segment of the poor population; sanitation services are subsidised for the general population. Tariffs are low and do not even pay for replacing the service costs of infrastructure; as a result, there is a chronic deficit that inhibits private participation and equitable access. Public transport is indirectly subsidised by general subsidies for gasoline and the low taxes on diesel. </v>
      </c>
      <c r="G74" s="27"/>
      <c r="H74" s="27"/>
      <c r="I74" s="27"/>
      <c r="J74" s="27"/>
      <c r="K74" s="27"/>
      <c r="L74" s="27"/>
      <c r="M74" s="27"/>
      <c r="N74" s="27"/>
      <c r="O74" s="27"/>
      <c r="P74" s="27"/>
      <c r="Q74" s="27"/>
      <c r="R74" s="27"/>
      <c r="S74" s="27"/>
      <c r="T74" s="27"/>
      <c r="U74" s="27"/>
      <c r="V74" s="27"/>
      <c r="W74" s="62"/>
      <c r="X74" s="62"/>
      <c r="Y74" s="62"/>
      <c r="Z74" s="62"/>
      <c r="AA74" s="62"/>
      <c r="AB74" s="62"/>
    </row>
    <row r="75" spans="1:28">
      <c r="A75" s="62">
        <f ca="1">tblIndicators!C26</f>
        <v>1</v>
      </c>
      <c r="B75" s="62" t="str">
        <f ca="1">tblIndicators!A26</f>
        <v>ENDX</v>
      </c>
      <c r="C75" s="62" t="e">
        <f t="shared" ca="1" si="33"/>
        <v>#N/A</v>
      </c>
      <c r="D75" s="62" t="str">
        <f ca="1">tblIndicators!H26</f>
        <v>END</v>
      </c>
      <c r="E75" s="62" t="e">
        <f t="shared" ca="1" si="34"/>
        <v>#N/A</v>
      </c>
      <c r="F75" s="62" t="e">
        <f t="shared" ca="1" si="35"/>
        <v>#N/A</v>
      </c>
      <c r="G75" s="27"/>
      <c r="H75" s="27"/>
      <c r="I75" s="27"/>
      <c r="J75" s="27"/>
      <c r="K75" s="27"/>
      <c r="L75" s="27"/>
      <c r="M75" s="27"/>
      <c r="N75" s="27"/>
      <c r="O75" s="27"/>
      <c r="P75" s="27"/>
      <c r="Q75" s="27"/>
      <c r="R75" s="27"/>
      <c r="S75" s="27"/>
      <c r="T75" s="27"/>
      <c r="U75" s="27"/>
      <c r="V75" s="27"/>
      <c r="W75" s="62"/>
      <c r="X75" s="62"/>
      <c r="Y75" s="62"/>
      <c r="Z75" s="62"/>
      <c r="AA75" s="62"/>
      <c r="AB75" s="62"/>
    </row>
    <row r="76" spans="1:28">
      <c r="A76" s="62">
        <f ca="1">tblIndicators!C27</f>
        <v>0</v>
      </c>
      <c r="B76" s="62">
        <f ca="1">tblIndicators!A27</f>
        <v>0</v>
      </c>
      <c r="C76" s="62" t="e">
        <f t="shared" ca="1" si="33"/>
        <v>#N/A</v>
      </c>
      <c r="D76" s="62">
        <f ca="1">tblIndicators!H27</f>
        <v>0</v>
      </c>
      <c r="E76" s="62" t="e">
        <f t="shared" ca="1" si="34"/>
        <v>#N/A</v>
      </c>
      <c r="F76" s="62" t="e">
        <f t="shared" ca="1" si="35"/>
        <v>#N/A</v>
      </c>
      <c r="G76" s="27"/>
      <c r="H76" s="27"/>
      <c r="I76" s="27"/>
      <c r="J76" s="27"/>
      <c r="K76" s="27"/>
      <c r="L76" s="27"/>
      <c r="M76" s="27"/>
      <c r="N76" s="27"/>
      <c r="O76" s="27"/>
      <c r="P76" s="27"/>
      <c r="Q76" s="27"/>
      <c r="R76" s="27"/>
      <c r="S76" s="27"/>
      <c r="T76" s="27"/>
      <c r="U76" s="27"/>
      <c r="V76" s="27"/>
      <c r="W76" s="62"/>
      <c r="X76" s="62"/>
      <c r="Y76" s="62"/>
      <c r="Z76" s="62"/>
      <c r="AA76" s="62"/>
      <c r="AB76" s="62"/>
    </row>
    <row r="77" spans="1:28">
      <c r="A77" s="62">
        <f ca="1">tblIndicators!C28</f>
        <v>2</v>
      </c>
      <c r="B77" s="62" t="str">
        <f ca="1">tblIndicators!A28</f>
        <v>ENDX03</v>
      </c>
      <c r="C77" s="62" t="e">
        <f t="shared" ca="1" si="33"/>
        <v>#N/A</v>
      </c>
      <c r="D77" s="62" t="str">
        <f ca="1">tblIndicators!H28</f>
        <v>Spare</v>
      </c>
      <c r="E77" s="62" t="e">
        <f t="shared" ca="1" si="34"/>
        <v>#N/A</v>
      </c>
      <c r="F77" s="62" t="e">
        <f t="shared" ca="1" si="35"/>
        <v>#N/A</v>
      </c>
      <c r="G77" s="27"/>
      <c r="H77" s="27"/>
      <c r="I77" s="27"/>
      <c r="J77" s="27"/>
      <c r="K77" s="27"/>
      <c r="L77" s="27"/>
      <c r="M77" s="27"/>
      <c r="N77" s="27"/>
      <c r="O77" s="27"/>
      <c r="P77" s="27"/>
      <c r="Q77" s="27"/>
      <c r="R77" s="27"/>
      <c r="S77" s="27"/>
      <c r="T77" s="27"/>
      <c r="U77" s="27"/>
      <c r="V77" s="27"/>
      <c r="W77" s="62"/>
      <c r="X77" s="62"/>
      <c r="Y77" s="62"/>
      <c r="Z77" s="62"/>
      <c r="AA77" s="62"/>
      <c r="AB77" s="62"/>
    </row>
  </sheetData>
  <phoneticPr fontId="3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19</vt:i4>
      </vt:variant>
    </vt:vector>
  </HeadingPairs>
  <TitlesOfParts>
    <vt:vector size="46" baseType="lpstr">
      <vt:lpstr>uxb_profile4</vt:lpstr>
      <vt:lpstr>Title page</vt:lpstr>
      <vt:lpstr>Summary_2</vt:lpstr>
      <vt:lpstr>Rankings summary</vt:lpstr>
      <vt:lpstr>Scatter</vt:lpstr>
      <vt:lpstr>Indicator_ranking</vt:lpstr>
      <vt:lpstr>uxb_rank</vt:lpstr>
      <vt:lpstr>CountryProfile</vt:lpstr>
      <vt:lpstr>uxb_profile</vt:lpstr>
      <vt:lpstr>CountrySplit</vt:lpstr>
      <vt:lpstr>CountryData</vt:lpstr>
      <vt:lpstr>CountryCompare</vt:lpstr>
      <vt:lpstr>Weights</vt:lpstr>
      <vt:lpstr>Data</vt:lpstr>
      <vt:lpstr>Scores</vt:lpstr>
      <vt:lpstr>Text</vt:lpstr>
      <vt:lpstr>tblIndicators</vt:lpstr>
      <vt:lpstr>uxb_weights</vt:lpstr>
      <vt:lpstr>tblSections</vt:lpstr>
      <vt:lpstr>uxb_summary_rank</vt:lpstr>
      <vt:lpstr>uxb_scatter</vt:lpstr>
      <vt:lpstr>uxb_profile2</vt:lpstr>
      <vt:lpstr>tblCountries</vt:lpstr>
      <vt:lpstr>uxb_profile3</vt:lpstr>
      <vt:lpstr>uxb_secrank</vt:lpstr>
      <vt:lpstr>uxb_works</vt:lpstr>
      <vt:lpstr>CountryProfile3</vt:lpstr>
      <vt:lpstr>cityName</vt:lpstr>
      <vt:lpstr>cityRegionFilter</vt:lpstr>
      <vt:lpstr>cityRegionHighlight</vt:lpstr>
      <vt:lpstr>countryName</vt:lpstr>
      <vt:lpstr>data</vt:lpstr>
      <vt:lpstr>indi_code</vt:lpstr>
      <vt:lpstr>indi_dependent</vt:lpstr>
      <vt:lpstr>indi_formatted</vt:lpstr>
      <vt:lpstr>indi_formatted2</vt:lpstr>
      <vt:lpstr>indi_short</vt:lpstr>
      <vt:lpstr>indiFull</vt:lpstr>
      <vt:lpstr>indiGoodBad</vt:lpstr>
      <vt:lpstr>indiUnit</vt:lpstr>
      <vt:lpstr>regionDD</vt:lpstr>
      <vt:lpstr>regionDD2</vt:lpstr>
      <vt:lpstr>score_indicode</vt:lpstr>
      <vt:lpstr>scores</vt:lpstr>
      <vt:lpstr>text</vt:lpstr>
      <vt:lpstr>WeightsPercent</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anarod</cp:lastModifiedBy>
  <dcterms:created xsi:type="dcterms:W3CDTF">1996-10-14T23:33:28Z</dcterms:created>
  <dcterms:modified xsi:type="dcterms:W3CDTF">2010-07-09T23:36:01Z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ies>
</file>